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10" windowHeight="5655" tabRatio="593" activeTab="0"/>
  </bookViews>
  <sheets>
    <sheet name="Haberes jubilados" sheetId="1" r:id="rId1"/>
    <sheet name="Cargos" sheetId="2" r:id="rId2"/>
    <sheet name="Para varios cargos" sheetId="3" state="hidden" r:id="rId3"/>
  </sheets>
  <externalReferences>
    <externalReference r:id="rId6"/>
  </externalReferences>
  <definedNames>
    <definedName name="adicdir">'Cargos'!$H$3:$H$317</definedName>
    <definedName name="adicdir2013">'Cargos'!$I$3:$I$317</definedName>
    <definedName name="adicdirvarios1">'Para varios cargos'!$J$48</definedName>
    <definedName name="adicdirvarios2">'Para varios cargos'!$J$126</definedName>
    <definedName name="adicdirvarios3">'Para varios cargos'!$J$205</definedName>
    <definedName name="adicdirvarios4">'Para varios cargos'!$J$284</definedName>
    <definedName name="adicnina">'Cargos'!$N$3:$N$317</definedName>
    <definedName name="aum06ago2013">'Haberes jubilados'!$N$69</definedName>
    <definedName name="aum06mar2013">'Haberes jubilados'!$G$69</definedName>
    <definedName name="cargosascenso">'Haberes jubilados'!#REF!</definedName>
    <definedName name="cargosingreso">'Haberes jubilados'!$C$164</definedName>
    <definedName name="cargosproljor">'Haberes jubilados'!#REF!</definedName>
    <definedName name="cod06ago13">'Haberes jubilados'!$I$62</definedName>
    <definedName name="cod06cargo120">'Haberes jubilados'!#REF!</definedName>
    <definedName name="cod06cargos">'Haberes jubilados'!#REF!</definedName>
    <definedName name="cod06cargos24jul12">'Haberes jubilados'!$C$82:$C$93</definedName>
    <definedName name="cod06cargosago13">'Haberes jubilados'!$C$113:$C$124</definedName>
    <definedName name="cod06cargosmar13">'Haberes jubilados'!$C$97:$C$108</definedName>
    <definedName name="cod06cargosoct13">'Haberes jubilados'!$C$129:$C$140</definedName>
    <definedName name="cod06horas">'Haberes jubilados'!#REF!</definedName>
    <definedName name="cod06jul12">'Haberes jubilados'!$I$59</definedName>
    <definedName name="cod06mar13">'Haberes jubilados'!$I$60</definedName>
    <definedName name="cod06med">'[1]Prop 24 feb 06'!$D$71</definedName>
    <definedName name="cod06oct13">'Haberes jubilados'!$I$65</definedName>
    <definedName name="cod06sup">'[1]Prop 24 feb 06'!$D$77</definedName>
    <definedName name="compbasico">'Haberes jubilados'!$F$167</definedName>
    <definedName name="compbasico2013">'Haberes jubilados'!$H$169</definedName>
    <definedName name="compbasicovarios1">'Para varios cargos'!$I$48</definedName>
    <definedName name="compbasicovarios2">'Para varios cargos'!$I$126</definedName>
    <definedName name="compbasicovarios3">'Para varios cargos'!$I$205</definedName>
    <definedName name="compbasicovarios4">'Para varios cargos'!$I$284</definedName>
    <definedName name="cuartocargo">'Para varios cargos'!$E$281</definedName>
    <definedName name="frac">'Haberes jubilados'!$F$170</definedName>
    <definedName name="frac1">'Para varios cargos'!$I$51</definedName>
    <definedName name="frac2">'Para varios cargos'!$I$129</definedName>
    <definedName name="frac3">'Para varios cargos'!$I$208</definedName>
    <definedName name="frac4">'Para varios cargos'!$I$287</definedName>
    <definedName name="horasmedia">'Haberes jubilados'!$B$206</definedName>
    <definedName name="horassuperior">'Haberes jubilados'!$B$238</definedName>
    <definedName name="indice2013">'Haberes jubilados'!$H$110</definedName>
    <definedName name="indiceago13">'Haberes jubilados'!$N$63</definedName>
    <definedName name="indicejul12">'Haberes jubilados'!$I$54</definedName>
    <definedName name="indicemar2013">'Haberes jubilados'!$G$63</definedName>
    <definedName name="indiceoct13">'Haberes jubilados'!$P$63</definedName>
    <definedName name="indiceproljor">'Haberes jubilados'!#REF!</definedName>
    <definedName name="Indiceproljor2013">'Haberes jubilados'!#REF!</definedName>
    <definedName name="indiceproljorago13">'Haberes jubilados'!$N$68</definedName>
    <definedName name="indiceproljorjul12">'Haberes jubilados'!#REF!</definedName>
    <definedName name="Indiceproljormar2013">'Haberes jubilados'!$G$68</definedName>
    <definedName name="indiceproljoroct13">'Haberes jubilados'!$P$68</definedName>
    <definedName name="indjul12">'Haberes jubilados'!$D$110</definedName>
    <definedName name="instructivo">'Haberes jubilados'!$A$19</definedName>
    <definedName name="jorcom">'Cargos'!$M$3:$M$317</definedName>
    <definedName name="nombrecargo">'Cargos'!$B$3:$B$317</definedName>
    <definedName name="nuevocod038">'Haberes jubilados'!#REF!</definedName>
    <definedName name="nuevocod06cargo">'Haberes jubilados'!#REF!</definedName>
    <definedName name="nuevocod06cargovarios">'Para varios cargos'!#REF!</definedName>
    <definedName name="nuevocod06horas">'Haberes jubilados'!#REF!</definedName>
    <definedName name="nuevocod06med">'[1]Prop 24 feb 06'!$G$71</definedName>
    <definedName name="nuevocod06sup">'[1]Prop 24 feb 06'!$G$77</definedName>
    <definedName name="nuevoindproljor">'Haberes jubilados'!#REF!</definedName>
    <definedName name="nuevoproljornada">'[1]Prop 24 feb 06'!$G$63</definedName>
    <definedName name="nuevopuntoindice">'Haberes jubilados'!#REF!</definedName>
    <definedName name="nuevopuntoíndice">'[1]Prop 24 feb 06'!$G$57</definedName>
    <definedName name="numerocargo">'Cargos'!$A$3:$A$317</definedName>
    <definedName name="numhorasmed">'Haberes jubilados'!$D$208</definedName>
    <definedName name="numhorassup">'Haberes jubilados'!$D$240</definedName>
    <definedName name="porant">'Haberes jubilados'!$B$82:$B$93</definedName>
    <definedName name="porantvar1">'Para varios cargos'!$E$11:$E$22</definedName>
    <definedName name="porantvar2">'Para varios cargos'!$E$88:$E$99</definedName>
    <definedName name="porantvar3">'Para varios cargos'!$E$168:$E$179</definedName>
    <definedName name="porantvar4">'Para varios cargos'!$E$246:$E$257</definedName>
    <definedName name="porcantigcargo">'Haberes jubilados'!$D$175</definedName>
    <definedName name="porcantighorasmed">'Haberes jubilados'!$D$209</definedName>
    <definedName name="porcantigsup">'Haberes jubilados'!$D$241</definedName>
    <definedName name="porczona">'Haberes jubilados'!$C$172</definedName>
    <definedName name="porjubcar">'Haberes jubilados'!$F$172</definedName>
    <definedName name="porjubhormed">'Haberes jubilados'!$D$210</definedName>
    <definedName name="porjubhorsup">'Haberes jubilados'!$D$242</definedName>
    <definedName name="porjubvarcar">'Para varios cargos'!$F$6</definedName>
    <definedName name="primercargo">'Para varios cargos'!$E$45</definedName>
    <definedName name="proljor">'Cargos'!$L$3:$L$317</definedName>
    <definedName name="proljorcargo">'Cargos'!$J$3:$J$317</definedName>
    <definedName name="proljorjul12">'Haberes jubilados'!$I$57</definedName>
    <definedName name="punbasjub">'Haberes jubilados'!$D$177</definedName>
    <definedName name="punbasjubvarios1">'Para varios cargos'!$F$58</definedName>
    <definedName name="punbasjubvarios2">'Para varios cargos'!$F$136</definedName>
    <definedName name="punbasjubvarios3">'Para varios cargos'!$F$215</definedName>
    <definedName name="punbasjubvarios4">'Para varios cargos'!$F$294</definedName>
    <definedName name="punproljor">'Haberes jubilados'!$G$208</definedName>
    <definedName name="puntardifvar1">'Para varios cargos'!$F$48</definedName>
    <definedName name="puntardifvar2">'Para varios cargos'!$F$126</definedName>
    <definedName name="puntardifvar3">'Para varios cargos'!$F$205</definedName>
    <definedName name="puntardifvar4">'Para varios cargos'!$F$284</definedName>
    <definedName name="punto_índice">'[1]Prop 24 feb 06'!$D$57</definedName>
    <definedName name="puntoindice">'Haberes jubilados'!#REF!</definedName>
    <definedName name="puntosadicdir">'Haberes jubilados'!$G$167</definedName>
    <definedName name="puntosadicdir2013">'Haberes jubilados'!$H$167</definedName>
    <definedName name="PUNTOSbasicos">'Haberes jubilados'!$B$167</definedName>
    <definedName name="puntosbasicoscargo">'Cargos'!$C$3:$C$317</definedName>
    <definedName name="puntoscompbas2013">'Cargos'!$F$3:$F$316</definedName>
    <definedName name="puntoscompbasico">'Cargos'!$E$3:$E$316</definedName>
    <definedName name="puntosjornadacompleta">'Haberes jubilados'!$E$167</definedName>
    <definedName name="puntosproljor">'Haberes jubilados'!$G$177</definedName>
    <definedName name="puntosproljornada">'Haberes jubilados'!$D$167</definedName>
    <definedName name="puntosproljorvarios1">'Para varios cargos'!$I$58</definedName>
    <definedName name="puntosproljorvarios2">'Para varios cargos'!$I$136</definedName>
    <definedName name="puntosproljorvarios3">'Para varios cargos'!$I$215</definedName>
    <definedName name="puntosproljorvarios4">'Para varios cargos'!$I$294</definedName>
    <definedName name="puntostareadifer">'Haberes jubilados'!$C$167</definedName>
    <definedName name="puntostotalhorassup">'Haberes jubilados'!$D$244</definedName>
    <definedName name="puntotalhorasmed">'Haberes jubilados'!$D$212</definedName>
    <definedName name="recibofinal">'Para varios cargos'!$G$321</definedName>
    <definedName name="salminjorcom">'Haberes jubilados'!#REF!</definedName>
    <definedName name="segundocargo">'Para varios cargos'!$E$123</definedName>
    <definedName name="tardif">'Cargos'!$K$3:$K$317</definedName>
    <definedName name="tercercargo">'Para varios cargos'!$E$202</definedName>
    <definedName name="valor_prol_jor">'[1]Prop 24 feb 06'!$D$63</definedName>
    <definedName name="viejocompbas">'Haberes jubilados'!$G$169</definedName>
    <definedName name="viejocompbasico">'Cargos'!$D$3:$D$316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67" authorId="0">
      <text>
        <r>
          <rPr>
            <sz val="8"/>
            <rFont val="Tahoma"/>
            <family val="2"/>
          </rPr>
          <t>Si no saben el número del cargo, lo pueden buscar en la hoja cargos, cuya pestaña aparece en parte inferior izquierda de la pantalla.</t>
        </r>
      </text>
    </comment>
    <comment ref="C17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E170" authorId="0">
      <text>
        <r>
          <rPr>
            <sz val="8"/>
            <rFont val="Tahoma"/>
            <family val="2"/>
          </rPr>
          <t>Si trabajaron en el mismo cargo en los últimos 10 años, dejar el 120. De lo contraro fraccionar con la cantidad de meses.</t>
        </r>
      </text>
    </comment>
    <comment ref="D17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he encontrado otros valores en algunos recibos.</t>
        </r>
      </text>
    </comment>
  </commentList>
</comments>
</file>

<file path=xl/comments3.xml><?xml version="1.0" encoding="utf-8"?>
<comments xmlns="http://schemas.openxmlformats.org/spreadsheetml/2006/main">
  <authors>
    <author>V?ctor</author>
  </authors>
  <commentList>
    <comment ref="D4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5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5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5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126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12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131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13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05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08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1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1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  <comment ref="D284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no saben el número del cargo, lo pueden buscar en la hoja cargos, cuya pestaña aparece en parte inferior izquierda de la pantalla.</t>
        </r>
      </text>
    </comment>
    <comment ref="H287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Si trabajaron en el mismo cargo en los últimos 10 años, dejar el 120. De lo contraro fraccionar con la cantidad de meses.</t>
        </r>
      </text>
    </comment>
    <comment ref="E289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Completar con el porcentaje de zona que corresponda.</t>
        </r>
      </text>
    </comment>
    <comment ref="F29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<sst xmlns="http://schemas.openxmlformats.org/spreadsheetml/2006/main" count="1097" uniqueCount="479">
  <si>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</si>
  <si>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</si>
  <si>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</si>
  <si>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</si>
  <si>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</si>
  <si>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</si>
  <si>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</si>
  <si>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</si>
  <si>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</si>
  <si>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</si>
  <si>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</si>
  <si>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</si>
  <si>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</si>
  <si>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</si>
  <si>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</si>
  <si>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</si>
  <si>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</si>
  <si>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</si>
  <si>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</si>
  <si>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</si>
  <si>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</si>
  <si>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</si>
  <si>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</si>
  <si>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</si>
  <si>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</si>
  <si>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</si>
  <si>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</si>
  <si>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</si>
  <si>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</si>
  <si>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</si>
  <si>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</si>
  <si>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</si>
  <si>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</si>
  <si>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</si>
  <si>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</si>
  <si>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</si>
  <si>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</si>
  <si>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</si>
  <si>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</si>
  <si>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</si>
  <si>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</si>
  <si>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</si>
  <si>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</si>
  <si>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</si>
  <si>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</si>
  <si>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</si>
  <si>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</si>
  <si>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</si>
  <si>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</si>
  <si>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</si>
  <si>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</si>
  <si>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</si>
  <si>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</si>
  <si>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</si>
  <si>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</si>
  <si>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</si>
  <si>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</si>
  <si>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</si>
  <si>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</si>
  <si>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</si>
  <si>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</si>
  <si>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</si>
  <si>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</si>
  <si>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</si>
  <si>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</si>
  <si>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</si>
  <si>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</si>
  <si>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</si>
  <si>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</si>
  <si>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</si>
  <si>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</si>
  <si>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</si>
  <si>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</si>
  <si>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</si>
  <si>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</si>
  <si>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</si>
  <si>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</si>
  <si>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</si>
  <si>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</si>
  <si>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</si>
  <si>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</si>
  <si>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</si>
  <si>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</si>
  <si>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</si>
  <si>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</si>
  <si>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</si>
  <si>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</si>
  <si>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</si>
  <si>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</si>
  <si>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</si>
  <si>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</si>
  <si>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</si>
  <si>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</si>
  <si>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</si>
  <si>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</si>
  <si>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</si>
  <si>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</si>
  <si>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</si>
  <si>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</si>
  <si>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</si>
  <si>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</si>
  <si>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</si>
  <si>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</si>
  <si>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</si>
  <si>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</si>
  <si>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</si>
  <si>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</si>
  <si>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</si>
  <si>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</si>
  <si>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</si>
  <si>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</si>
  <si>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</si>
  <si>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</si>
  <si>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</si>
  <si>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</si>
  <si>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</si>
  <si>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</si>
  <si>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</si>
  <si>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</si>
  <si>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</si>
  <si>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</si>
  <si>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</si>
  <si>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</si>
  <si>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</si>
  <si>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</si>
  <si>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</si>
  <si>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</si>
  <si>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</si>
  <si>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</si>
  <si>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</si>
  <si>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</si>
  <si>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</si>
  <si>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</si>
  <si>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</si>
  <si>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</si>
  <si>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</si>
  <si>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</si>
  <si>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</si>
  <si>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</si>
  <si>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</si>
  <si>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</si>
  <si>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</si>
  <si>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</si>
  <si>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</si>
  <si>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</si>
  <si>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</si>
  <si>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</si>
  <si>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</si>
  <si>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</si>
  <si>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</si>
  <si>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</si>
  <si>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</si>
  <si>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</si>
  <si>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</si>
  <si>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</si>
  <si>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</si>
  <si>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</si>
  <si>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</si>
  <si>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</si>
  <si>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</si>
  <si>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</si>
  <si>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</si>
  <si>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</si>
  <si>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</si>
  <si>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</si>
  <si>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</si>
  <si>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</si>
  <si>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</si>
  <si>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</si>
  <si>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</si>
  <si>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</si>
  <si>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</si>
  <si>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</si>
  <si>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</si>
  <si>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</si>
  <si>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</si>
  <si>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</si>
  <si>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</si>
  <si>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</si>
  <si>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</si>
  <si>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</si>
  <si>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</si>
  <si>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</si>
  <si>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</si>
  <si>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</si>
  <si>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</si>
  <si>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</si>
  <si>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</si>
  <si>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</si>
  <si>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</si>
  <si>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</si>
  <si>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</si>
  <si>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</si>
  <si>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</si>
  <si>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</si>
  <si>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</si>
  <si>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</si>
  <si>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</si>
  <si>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</si>
  <si>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</si>
  <si>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</si>
  <si>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</si>
  <si>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</si>
  <si>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</si>
  <si>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</si>
  <si>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</si>
  <si>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</si>
  <si>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</si>
  <si>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</si>
  <si>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</si>
  <si>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</si>
  <si>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</si>
  <si>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</si>
  <si>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</si>
  <si>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</si>
  <si>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</si>
  <si>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</si>
  <si>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</si>
  <si>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</si>
  <si>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</si>
  <si>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</si>
  <si>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</si>
  <si>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</si>
  <si>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</si>
  <si>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</si>
  <si>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</si>
  <si>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</si>
  <si>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</si>
  <si>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</si>
  <si>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</si>
  <si>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</si>
  <si>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</si>
  <si>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</si>
  <si>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</si>
  <si>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</si>
  <si>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</si>
  <si>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</si>
  <si>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</si>
  <si>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</si>
  <si>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</si>
  <si>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</si>
  <si>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</si>
  <si>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</si>
  <si>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</si>
  <si>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</si>
  <si>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</si>
  <si>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</si>
  <si>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</si>
  <si>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</si>
  <si>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</si>
  <si>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</si>
  <si>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</si>
  <si>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</si>
  <si>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</si>
  <si>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</si>
  <si>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</si>
  <si>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</si>
  <si>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</si>
  <si>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</si>
  <si>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</si>
  <si>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</si>
  <si>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</si>
  <si>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</si>
  <si>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</si>
  <si>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</si>
  <si>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</si>
  <si>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</si>
  <si>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</si>
  <si>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</si>
  <si>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</si>
  <si>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</si>
  <si>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</si>
  <si>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</si>
  <si>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</si>
  <si>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</si>
  <si>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</si>
  <si>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</si>
  <si>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</si>
  <si>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</si>
  <si>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</si>
  <si>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</si>
  <si>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</si>
  <si>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</si>
  <si>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</si>
  <si>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</si>
  <si>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</si>
  <si>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</si>
  <si>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</si>
  <si>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</si>
  <si>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</si>
  <si>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</si>
  <si>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</si>
  <si>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</si>
  <si>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</si>
  <si>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</si>
  <si>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</si>
  <si>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</si>
  <si>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</si>
  <si>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</si>
  <si>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</si>
  <si>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</si>
  <si>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</si>
  <si>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</si>
  <si>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</si>
  <si>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</si>
  <si>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</si>
  <si>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</si>
  <si>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</si>
  <si>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</si>
  <si>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</si>
  <si>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</si>
  <si>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</si>
  <si>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</si>
  <si>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</si>
  <si>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</si>
  <si>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</si>
  <si>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</si>
  <si>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</si>
  <si>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</si>
  <si>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</si>
  <si>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</si>
  <si>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</si>
  <si>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</si>
  <si>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</si>
  <si>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</si>
  <si>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</si>
  <si>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</si>
  <si>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</si>
  <si>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</si>
  <si>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</si>
  <si>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</si>
  <si>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</si>
  <si>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</si>
  <si>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</si>
  <si>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</si>
  <si>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</si>
  <si>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</si>
  <si>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</si>
  <si>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</si>
  <si>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</si>
  <si>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</si>
  <si>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</si>
  <si>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</si>
  <si>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</si>
  <si>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</si>
  <si>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</si>
  <si>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</si>
  <si>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</si>
  <si>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</si>
  <si>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</si>
  <si>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</si>
  <si>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</si>
  <si>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</si>
  <si>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</si>
  <si>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</si>
  <si>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</si>
  <si>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</si>
  <si>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</si>
  <si>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</si>
  <si>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</si>
  <si>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</si>
  <si>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victorhutt@victorhutt.com.ar</t>
  </si>
  <si>
    <t>Control 120 meses: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</si>
  <si>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</si>
  <si>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</si>
  <si>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</si>
  <si>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</si>
  <si>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</si>
  <si>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</si>
  <si>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</si>
  <si>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</si>
  <si>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</si>
  <si>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</si>
  <si>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</si>
  <si>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</si>
  <si>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</si>
  <si>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</si>
  <si>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</si>
  <si>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</si>
  <si>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</si>
  <si>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</si>
  <si>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</si>
  <si>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</si>
  <si>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</si>
  <si>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Jubilados Docentes de Entre Ríós</t>
  </si>
  <si>
    <t>Para ello deben ingresar en "para varios cargos" seleccionando en la solapa que aparece en la parte inferior.</t>
  </si>
  <si>
    <t xml:space="preserve">Se deberá completar la cantidad de meses en cada cargo en el lugar señalado, </t>
  </si>
  <si>
    <t>Luego controlar que en el recibo final aparezcan 120 meses en total.</t>
  </si>
  <si>
    <t>Recibo Final</t>
  </si>
  <si>
    <t>Autor</t>
  </si>
  <si>
    <t>Dec 1266/08 Art 4º</t>
  </si>
  <si>
    <t>aum06mar10</t>
  </si>
  <si>
    <t>aum06jul10</t>
  </si>
  <si>
    <t>Porcentaje de jubilación</t>
  </si>
  <si>
    <t>Aumento</t>
  </si>
  <si>
    <t>Aumento porcentual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</si>
  <si>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</si>
  <si>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</si>
  <si>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</si>
  <si>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Debe sumar 120 meses</t>
  </si>
  <si>
    <t>Los meses se refieren a aumentos a activos, Los jubilados lo recibirán 30 o 60 días después</t>
  </si>
  <si>
    <t>proljorsep2010</t>
  </si>
  <si>
    <t>indicesep2010</t>
  </si>
  <si>
    <t>Aumento de Bolsillo</t>
  </si>
  <si>
    <t>Aun me falta armar la hoja para combinación de varios cargos, en breve lo termino</t>
  </si>
  <si>
    <t>VICEDIRECTOR 1ERA. CAT. C.E.F.</t>
  </si>
  <si>
    <t>REGENTE 1ERA. CAT. C.E.F.</t>
  </si>
  <si>
    <t>Adic directivos</t>
  </si>
  <si>
    <t>Comp Directivos</t>
  </si>
  <si>
    <t>indicemar2011</t>
  </si>
  <si>
    <t>proljormar2011</t>
  </si>
  <si>
    <t>otro código</t>
  </si>
  <si>
    <t>cod06mar11</t>
  </si>
  <si>
    <t>Salario hasta febrero 2011</t>
  </si>
  <si>
    <t>Salario Desde marzo de 2.011</t>
  </si>
  <si>
    <t>cod06feb11varios1</t>
  </si>
  <si>
    <t>cod06mar11varios1</t>
  </si>
  <si>
    <t>cod06feb11varios2</t>
  </si>
  <si>
    <t>cod06mar11varios2</t>
  </si>
  <si>
    <t>cod06feb11varios3</t>
  </si>
  <si>
    <t>cod06mar11varios3</t>
  </si>
  <si>
    <t>cod06feb11varios4</t>
  </si>
  <si>
    <t>cod06mar11varios4</t>
  </si>
  <si>
    <t>Adicional Directivos</t>
  </si>
  <si>
    <t>De acuerdo al aumento de Marzo de 2011</t>
  </si>
  <si>
    <t>Otro código</t>
  </si>
  <si>
    <t>Adic Directivos media</t>
  </si>
  <si>
    <t>indicefeb12</t>
  </si>
  <si>
    <t>proljorfeb12</t>
  </si>
  <si>
    <t>cod06feb12</t>
  </si>
  <si>
    <t>indicejul12</t>
  </si>
  <si>
    <t>proljorjul12</t>
  </si>
  <si>
    <t>cod06jul12</t>
  </si>
  <si>
    <t>Julio de 2012</t>
  </si>
  <si>
    <t>Aum de Bolsillo total</t>
  </si>
  <si>
    <t>Aum porcentual total</t>
  </si>
  <si>
    <t>Haberes jubilados Julio 12</t>
  </si>
  <si>
    <t>Comp basico feb 12</t>
  </si>
  <si>
    <t>SI(canthor06med&gt;33;589,05;17,85*canthor06med)</t>
  </si>
  <si>
    <t>Desc AGMER 1 %</t>
  </si>
  <si>
    <t>indicemar2013</t>
  </si>
  <si>
    <t>indicesep13</t>
  </si>
  <si>
    <t>Indiceproljormar2013</t>
  </si>
  <si>
    <t>indiceproljorsep13</t>
  </si>
  <si>
    <t>aum06mar2013</t>
  </si>
  <si>
    <t>Puntos Comp basico 2013</t>
  </si>
  <si>
    <t>Haberes jubilados Marzo 13</t>
  </si>
  <si>
    <t>Comp Direct 2013</t>
  </si>
  <si>
    <t>cod06mar13</t>
  </si>
  <si>
    <t>cod06sep13</t>
  </si>
  <si>
    <t>comp básico 2013</t>
  </si>
  <si>
    <r>
      <t>Si encuentran errores, por favor avisenme.</t>
    </r>
    <r>
      <rPr>
        <sz val="11"/>
        <color indexed="17"/>
        <rFont val="Arial"/>
        <family val="2"/>
      </rPr>
      <t>victorhutt@victorhutt.com.ar</t>
    </r>
  </si>
  <si>
    <t>aum06ago2013</t>
  </si>
  <si>
    <t>Haberes jubilados Agosto 13</t>
  </si>
  <si>
    <t>Secretario Esc. Nivel Inicial 1ra CAT</t>
  </si>
  <si>
    <t>Vicedirector DPTO. Aplicación 2da CAT</t>
  </si>
  <si>
    <t>Director Jardín de Infantes</t>
  </si>
  <si>
    <t>Vicedirector Nivel Inicial 1ra Categoría</t>
  </si>
  <si>
    <t xml:space="preserve"> </t>
  </si>
  <si>
    <t>Adic</t>
  </si>
  <si>
    <t>viejo Comp basico</t>
  </si>
  <si>
    <t>repito cargo</t>
  </si>
  <si>
    <t>Adicional directivos</t>
  </si>
  <si>
    <t>Nina</t>
  </si>
  <si>
    <t>Director Dpto. Aplicación 1ra Cat.</t>
  </si>
  <si>
    <t>Vicedirector Dpto Aplicación 1ra CAT</t>
  </si>
  <si>
    <t>Secretario 3ra. CAT Educ. Jóvenes y Adultos</t>
  </si>
  <si>
    <t>Octubre de 2013</t>
  </si>
  <si>
    <t>indiceago13</t>
  </si>
  <si>
    <t>indiceproljorago13</t>
  </si>
  <si>
    <t>indiceoct13</t>
  </si>
  <si>
    <t>indiceproljoroct13</t>
  </si>
  <si>
    <t>aum mar, ago</t>
  </si>
  <si>
    <t>Haberes jubilados Octubre 13</t>
  </si>
  <si>
    <t>aum mar, ago, Oct</t>
  </si>
  <si>
    <t>cod06ago13</t>
  </si>
  <si>
    <t>cod06oct13</t>
  </si>
  <si>
    <t>Hoja de cálculo  para simular oferta salarial</t>
  </si>
  <si>
    <t>realizada el 24/07/2013 para Octubre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</si>
</sst>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  <numFmt numFmtId="186" formatCode="&quot;$&quot;\ #,##0.00"/>
    <numFmt numFmtId="187" formatCode="[$€-2]\ #,##0.00_);[Red]\([$€-2]\ #,##0.00\)"/>
    <numFmt numFmtId="188" formatCode="0.00000000"/>
  </numFmts>
  <fonts count="130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0"/>
      <color indexed="52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15"/>
      <name val="Arial"/>
      <family val="2"/>
    </font>
    <font>
      <b/>
      <sz val="12"/>
      <color indexed="15"/>
      <name val="Arial"/>
      <family val="2"/>
    </font>
    <font>
      <b/>
      <sz val="12"/>
      <color indexed="16"/>
      <name val="Arial"/>
      <family val="2"/>
    </font>
    <font>
      <b/>
      <sz val="16"/>
      <color indexed="56"/>
      <name val="Arial"/>
      <family val="2"/>
    </font>
    <font>
      <b/>
      <sz val="10"/>
      <color indexed="53"/>
      <name val="Arial"/>
      <family val="2"/>
    </font>
    <font>
      <b/>
      <sz val="16"/>
      <color indexed="1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4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3" tint="-0.4999699890613556"/>
      <name val="Arial"/>
      <family val="2"/>
    </font>
    <font>
      <sz val="9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51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1" applyNumberFormat="0" applyAlignment="0" applyProtection="0"/>
    <xf numFmtId="0" fontId="103" fillId="22" borderId="2" applyNumberFormat="0" applyAlignment="0" applyProtection="0"/>
    <xf numFmtId="0" fontId="104" fillId="0" borderId="3" applyNumberFormat="0" applyFill="0" applyAlignment="0" applyProtection="0"/>
    <xf numFmtId="0" fontId="105" fillId="0" borderId="0" applyNumberFormat="0" applyFill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6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9" fillId="21" borderId="5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05" fillId="0" borderId="8" applyNumberFormat="0" applyFill="0" applyAlignment="0" applyProtection="0"/>
    <xf numFmtId="0" fontId="115" fillId="0" borderId="9" applyNumberFormat="0" applyFill="0" applyAlignment="0" applyProtection="0"/>
  </cellStyleXfs>
  <cellXfs count="551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0" fillId="0" borderId="11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2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22" fillId="0" borderId="16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9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13" xfId="50" applyNumberFormat="1" applyFont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/>
    </xf>
    <xf numFmtId="0" fontId="28" fillId="35" borderId="20" xfId="45" applyFont="1" applyFill="1" applyBorder="1" applyAlignment="1" applyProtection="1">
      <alignment/>
      <protection/>
    </xf>
    <xf numFmtId="0" fontId="36" fillId="33" borderId="12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28" fillId="35" borderId="22" xfId="45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37" fillId="35" borderId="24" xfId="45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7" fillId="0" borderId="0" xfId="45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/>
    </xf>
    <xf numFmtId="0" fontId="10" fillId="37" borderId="28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45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9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31" xfId="0" applyFont="1" applyBorder="1" applyAlignment="1" applyProtection="1">
      <alignment/>
      <protection/>
    </xf>
    <xf numFmtId="1" fontId="21" fillId="0" borderId="31" xfId="0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left"/>
      <protection/>
    </xf>
    <xf numFmtId="0" fontId="3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2" fontId="3" fillId="0" borderId="27" xfId="0" applyNumberFormat="1" applyFont="1" applyBorder="1" applyAlignment="1" applyProtection="1">
      <alignment horizontal="center"/>
      <protection/>
    </xf>
    <xf numFmtId="9" fontId="0" fillId="0" borderId="15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right"/>
      <protection/>
    </xf>
    <xf numFmtId="172" fontId="2" fillId="0" borderId="26" xfId="0" applyNumberFormat="1" applyFont="1" applyBorder="1" applyAlignment="1" applyProtection="1">
      <alignment/>
      <protection/>
    </xf>
    <xf numFmtId="2" fontId="34" fillId="0" borderId="27" xfId="0" applyNumberFormat="1" applyFont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26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/>
      <protection/>
    </xf>
    <xf numFmtId="2" fontId="2" fillId="0" borderId="27" xfId="0" applyNumberFormat="1" applyFont="1" applyBorder="1" applyAlignment="1" applyProtection="1">
      <alignment horizontal="right"/>
      <protection/>
    </xf>
    <xf numFmtId="2" fontId="24" fillId="0" borderId="27" xfId="0" applyNumberFormat="1" applyFont="1" applyBorder="1" applyAlignment="1" applyProtection="1">
      <alignment horizontal="right"/>
      <protection/>
    </xf>
    <xf numFmtId="2" fontId="21" fillId="0" borderId="31" xfId="0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9" fontId="20" fillId="0" borderId="33" xfId="0" applyNumberFormat="1" applyFont="1" applyBorder="1" applyAlignment="1" applyProtection="1">
      <alignment horizontal="center"/>
      <protection locked="0"/>
    </xf>
    <xf numFmtId="0" fontId="2" fillId="38" borderId="34" xfId="0" applyFont="1" applyFill="1" applyBorder="1" applyAlignment="1" applyProtection="1">
      <alignment/>
      <protection/>
    </xf>
    <xf numFmtId="0" fontId="2" fillId="39" borderId="35" xfId="0" applyFont="1" applyFill="1" applyBorder="1" applyAlignment="1" applyProtection="1">
      <alignment/>
      <protection/>
    </xf>
    <xf numFmtId="0" fontId="0" fillId="39" borderId="36" xfId="0" applyFill="1" applyBorder="1" applyAlignment="1" applyProtection="1">
      <alignment/>
      <protection/>
    </xf>
    <xf numFmtId="9" fontId="24" fillId="40" borderId="37" xfId="54" applyFont="1" applyFill="1" applyBorder="1" applyAlignment="1" applyProtection="1">
      <alignment/>
      <protection/>
    </xf>
    <xf numFmtId="9" fontId="24" fillId="40" borderId="16" xfId="54" applyFont="1" applyFill="1" applyBorder="1" applyAlignment="1" applyProtection="1">
      <alignment/>
      <protection/>
    </xf>
    <xf numFmtId="9" fontId="24" fillId="35" borderId="16" xfId="54" applyFont="1" applyFill="1" applyBorder="1" applyAlignment="1" applyProtection="1">
      <alignment/>
      <protection/>
    </xf>
    <xf numFmtId="9" fontId="24" fillId="35" borderId="17" xfId="54" applyFont="1" applyFill="1" applyBorder="1" applyAlignment="1" applyProtection="1">
      <alignment/>
      <protection/>
    </xf>
    <xf numFmtId="0" fontId="20" fillId="39" borderId="38" xfId="0" applyFont="1" applyFill="1" applyBorder="1" applyAlignment="1" applyProtection="1">
      <alignment/>
      <protection locked="0"/>
    </xf>
    <xf numFmtId="0" fontId="2" fillId="41" borderId="39" xfId="0" applyFont="1" applyFill="1" applyBorder="1" applyAlignment="1" applyProtection="1">
      <alignment horizontal="right"/>
      <protection/>
    </xf>
    <xf numFmtId="0" fontId="2" fillId="41" borderId="40" xfId="0" applyFont="1" applyFill="1" applyBorder="1" applyAlignment="1" applyProtection="1">
      <alignment/>
      <protection/>
    </xf>
    <xf numFmtId="9" fontId="20" fillId="0" borderId="33" xfId="54" applyFont="1" applyBorder="1" applyAlignment="1" applyProtection="1">
      <alignment horizontal="center"/>
      <protection locked="0"/>
    </xf>
    <xf numFmtId="9" fontId="22" fillId="36" borderId="41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9" fillId="42" borderId="0" xfId="0" applyFont="1" applyFill="1" applyBorder="1" applyAlignment="1" applyProtection="1">
      <alignment/>
      <protection/>
    </xf>
    <xf numFmtId="0" fontId="2" fillId="42" borderId="0" xfId="0" applyFont="1" applyFill="1" applyBorder="1" applyAlignment="1" applyProtection="1">
      <alignment/>
      <protection/>
    </xf>
    <xf numFmtId="0" fontId="0" fillId="42" borderId="0" xfId="0" applyFill="1" applyBorder="1" applyAlignment="1" applyProtection="1">
      <alignment/>
      <protection/>
    </xf>
    <xf numFmtId="0" fontId="0" fillId="43" borderId="0" xfId="0" applyFill="1" applyAlignment="1">
      <alignment/>
    </xf>
    <xf numFmtId="0" fontId="0" fillId="34" borderId="0" xfId="0" applyFill="1" applyAlignment="1">
      <alignment/>
    </xf>
    <xf numFmtId="9" fontId="24" fillId="34" borderId="0" xfId="54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9" fillId="39" borderId="35" xfId="0" applyFont="1" applyFill="1" applyBorder="1" applyAlignment="1" applyProtection="1">
      <alignment/>
      <protection/>
    </xf>
    <xf numFmtId="0" fontId="50" fillId="39" borderId="38" xfId="0" applyFont="1" applyFill="1" applyBorder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/>
    </xf>
    <xf numFmtId="9" fontId="0" fillId="34" borderId="0" xfId="54" applyFont="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172" fontId="0" fillId="34" borderId="0" xfId="0" applyNumberFormat="1" applyFill="1" applyBorder="1" applyAlignment="1" applyProtection="1">
      <alignment/>
      <protection/>
    </xf>
    <xf numFmtId="2" fontId="18" fillId="34" borderId="0" xfId="0" applyNumberFormat="1" applyFont="1" applyFill="1" applyBorder="1" applyAlignment="1" applyProtection="1">
      <alignment horizontal="right"/>
      <protection/>
    </xf>
    <xf numFmtId="172" fontId="25" fillId="34" borderId="0" xfId="0" applyNumberFormat="1" applyFont="1" applyFill="1" applyBorder="1" applyAlignment="1" applyProtection="1">
      <alignment/>
      <protection/>
    </xf>
    <xf numFmtId="10" fontId="25" fillId="34" borderId="0" xfId="54" applyNumberFormat="1" applyFont="1" applyFill="1" applyBorder="1" applyAlignment="1" applyProtection="1">
      <alignment horizontal="right"/>
      <protection/>
    </xf>
    <xf numFmtId="9" fontId="24" fillId="35" borderId="0" xfId="54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9" fontId="20" fillId="0" borderId="33" xfId="0" applyNumberFormat="1" applyFont="1" applyFill="1" applyBorder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9" fontId="0" fillId="35" borderId="0" xfId="54" applyFont="1" applyFill="1" applyAlignment="1" applyProtection="1">
      <alignment/>
      <protection/>
    </xf>
    <xf numFmtId="9" fontId="24" fillId="37" borderId="0" xfId="54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1" fontId="0" fillId="37" borderId="0" xfId="0" applyNumberFormat="1" applyFill="1" applyAlignment="1" applyProtection="1">
      <alignment/>
      <protection/>
    </xf>
    <xf numFmtId="0" fontId="20" fillId="37" borderId="0" xfId="0" applyFont="1" applyFill="1" applyBorder="1" applyAlignment="1" applyProtection="1">
      <alignment horizontal="center"/>
      <protection/>
    </xf>
    <xf numFmtId="9" fontId="0" fillId="37" borderId="0" xfId="54" applyFont="1" applyFill="1" applyAlignment="1" applyProtection="1">
      <alignment/>
      <protection/>
    </xf>
    <xf numFmtId="9" fontId="24" fillId="44" borderId="0" xfId="54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1" fontId="0" fillId="44" borderId="0" xfId="0" applyNumberFormat="1" applyFill="1" applyAlignment="1" applyProtection="1">
      <alignment/>
      <protection/>
    </xf>
    <xf numFmtId="0" fontId="20" fillId="44" borderId="0" xfId="0" applyFont="1" applyFill="1" applyBorder="1" applyAlignment="1" applyProtection="1">
      <alignment horizontal="center"/>
      <protection/>
    </xf>
    <xf numFmtId="9" fontId="0" fillId="44" borderId="0" xfId="54" applyFont="1" applyFill="1" applyAlignment="1" applyProtection="1">
      <alignment/>
      <protection/>
    </xf>
    <xf numFmtId="0" fontId="8" fillId="36" borderId="26" xfId="0" applyFont="1" applyFill="1" applyBorder="1" applyAlignment="1" applyProtection="1">
      <alignment/>
      <protection/>
    </xf>
    <xf numFmtId="0" fontId="51" fillId="36" borderId="19" xfId="0" applyFont="1" applyFill="1" applyBorder="1" applyAlignment="1">
      <alignment/>
    </xf>
    <xf numFmtId="0" fontId="52" fillId="36" borderId="19" xfId="0" applyFont="1" applyFill="1" applyBorder="1" applyAlignment="1" applyProtection="1">
      <alignment/>
      <protection/>
    </xf>
    <xf numFmtId="0" fontId="8" fillId="36" borderId="27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0" fontId="26" fillId="0" borderId="42" xfId="0" applyFont="1" applyBorder="1" applyAlignment="1">
      <alignment/>
    </xf>
    <xf numFmtId="0" fontId="56" fillId="34" borderId="42" xfId="45" applyFont="1" applyFill="1" applyBorder="1" applyAlignment="1" applyProtection="1">
      <alignment/>
      <protection/>
    </xf>
    <xf numFmtId="0" fontId="56" fillId="35" borderId="42" xfId="45" applyFont="1" applyFill="1" applyBorder="1" applyAlignment="1" applyProtection="1">
      <alignment/>
      <protection/>
    </xf>
    <xf numFmtId="0" fontId="57" fillId="37" borderId="42" xfId="45" applyFont="1" applyFill="1" applyBorder="1" applyAlignment="1" applyProtection="1">
      <alignment/>
      <protection/>
    </xf>
    <xf numFmtId="0" fontId="56" fillId="44" borderId="42" xfId="45" applyFont="1" applyFill="1" applyBorder="1" applyAlignment="1" applyProtection="1">
      <alignment/>
      <protection/>
    </xf>
    <xf numFmtId="0" fontId="37" fillId="0" borderId="42" xfId="45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32" xfId="0" applyNumberFormat="1" applyBorder="1" applyAlignment="1" applyProtection="1">
      <alignment/>
      <protection hidden="1"/>
    </xf>
    <xf numFmtId="0" fontId="3" fillId="0" borderId="43" xfId="0" applyFont="1" applyBorder="1" applyAlignment="1" applyProtection="1">
      <alignment horizontal="center"/>
      <protection/>
    </xf>
    <xf numFmtId="9" fontId="24" fillId="40" borderId="44" xfId="54" applyFont="1" applyFill="1" applyBorder="1" applyAlignment="1" applyProtection="1">
      <alignment/>
      <protection/>
    </xf>
    <xf numFmtId="0" fontId="20" fillId="0" borderId="45" xfId="0" applyFont="1" applyFill="1" applyBorder="1" applyAlignment="1" applyProtection="1">
      <alignment horizontal="center"/>
      <protection/>
    </xf>
    <xf numFmtId="9" fontId="24" fillId="40" borderId="46" xfId="54" applyFont="1" applyFill="1" applyBorder="1" applyAlignment="1" applyProtection="1">
      <alignment/>
      <protection/>
    </xf>
    <xf numFmtId="9" fontId="24" fillId="35" borderId="46" xfId="54" applyFont="1" applyFill="1" applyBorder="1" applyAlignment="1" applyProtection="1">
      <alignment/>
      <protection/>
    </xf>
    <xf numFmtId="9" fontId="24" fillId="35" borderId="47" xfId="54" applyFont="1" applyFill="1" applyBorder="1" applyAlignment="1" applyProtection="1">
      <alignment/>
      <protection/>
    </xf>
    <xf numFmtId="0" fontId="20" fillId="0" borderId="48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2" fontId="0" fillId="0" borderId="50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left"/>
      <protection/>
    </xf>
    <xf numFmtId="2" fontId="0" fillId="0" borderId="52" xfId="0" applyNumberFormat="1" applyBorder="1" applyAlignment="1" applyProtection="1">
      <alignment horizontal="left"/>
      <protection/>
    </xf>
    <xf numFmtId="2" fontId="22" fillId="0" borderId="53" xfId="0" applyNumberFormat="1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/>
      <protection/>
    </xf>
    <xf numFmtId="2" fontId="0" fillId="0" borderId="54" xfId="0" applyNumberFormat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2" fontId="0" fillId="0" borderId="51" xfId="0" applyNumberFormat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/>
    </xf>
    <xf numFmtId="175" fontId="22" fillId="0" borderId="53" xfId="50" applyNumberFormat="1" applyFont="1" applyBorder="1" applyAlignment="1" applyProtection="1">
      <alignment horizontal="right"/>
      <protection locked="0"/>
    </xf>
    <xf numFmtId="0" fontId="0" fillId="0" borderId="46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2" fontId="2" fillId="0" borderId="55" xfId="0" applyNumberFormat="1" applyFont="1" applyBorder="1" applyAlignment="1" applyProtection="1">
      <alignment horizontal="left"/>
      <protection/>
    </xf>
    <xf numFmtId="0" fontId="0" fillId="0" borderId="47" xfId="0" applyBorder="1" applyAlignment="1" applyProtection="1">
      <alignment horizontal="right"/>
      <protection/>
    </xf>
    <xf numFmtId="0" fontId="0" fillId="0" borderId="0" xfId="0" applyFill="1" applyAlignment="1">
      <alignment/>
    </xf>
    <xf numFmtId="9" fontId="24" fillId="0" borderId="0" xfId="54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172" fontId="58" fillId="0" borderId="0" xfId="0" applyNumberFormat="1" applyFont="1" applyFill="1" applyBorder="1" applyAlignment="1" applyProtection="1">
      <alignment/>
      <protection/>
    </xf>
    <xf numFmtId="10" fontId="58" fillId="0" borderId="0" xfId="54" applyNumberFormat="1" applyFont="1" applyFill="1" applyAlignment="1">
      <alignment/>
    </xf>
    <xf numFmtId="0" fontId="29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29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2" fontId="0" fillId="35" borderId="0" xfId="0" applyNumberFormat="1" applyFill="1" applyBorder="1" applyAlignment="1" applyProtection="1">
      <alignment/>
      <protection/>
    </xf>
    <xf numFmtId="2" fontId="18" fillId="35" borderId="0" xfId="0" applyNumberFormat="1" applyFont="1" applyFill="1" applyBorder="1" applyAlignment="1" applyProtection="1">
      <alignment horizontal="right"/>
      <protection/>
    </xf>
    <xf numFmtId="172" fontId="25" fillId="35" borderId="0" xfId="0" applyNumberFormat="1" applyFont="1" applyFill="1" applyBorder="1" applyAlignment="1" applyProtection="1">
      <alignment/>
      <protection/>
    </xf>
    <xf numFmtId="10" fontId="25" fillId="35" borderId="0" xfId="54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40" fillId="34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29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2" fontId="0" fillId="37" borderId="0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right"/>
      <protection/>
    </xf>
    <xf numFmtId="172" fontId="2" fillId="37" borderId="0" xfId="0" applyNumberFormat="1" applyFont="1" applyFill="1" applyBorder="1" applyAlignment="1" applyProtection="1">
      <alignment/>
      <protection/>
    </xf>
    <xf numFmtId="2" fontId="34" fillId="37" borderId="0" xfId="0" applyNumberFormat="1" applyFont="1" applyFill="1" applyBorder="1" applyAlignment="1" applyProtection="1">
      <alignment horizontal="center"/>
      <protection/>
    </xf>
    <xf numFmtId="10" fontId="34" fillId="37" borderId="0" xfId="54" applyNumberFormat="1" applyFont="1" applyFill="1" applyBorder="1" applyAlignment="1" applyProtection="1">
      <alignment horizontal="center"/>
      <protection/>
    </xf>
    <xf numFmtId="0" fontId="4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 applyProtection="1">
      <alignment horizontal="right"/>
      <protection/>
    </xf>
    <xf numFmtId="0" fontId="0" fillId="44" borderId="0" xfId="0" applyFill="1" applyBorder="1" applyAlignment="1">
      <alignment/>
    </xf>
    <xf numFmtId="0" fontId="0" fillId="44" borderId="0" xfId="0" applyFill="1" applyAlignment="1">
      <alignment/>
    </xf>
    <xf numFmtId="0" fontId="29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/>
      <protection/>
    </xf>
    <xf numFmtId="2" fontId="0" fillId="44" borderId="0" xfId="0" applyNumberFormat="1" applyFill="1" applyBorder="1" applyAlignment="1" applyProtection="1">
      <alignment/>
      <protection/>
    </xf>
    <xf numFmtId="0" fontId="0" fillId="44" borderId="0" xfId="0" applyFill="1" applyBorder="1" applyAlignment="1" applyProtection="1">
      <alignment horizontal="right"/>
      <protection/>
    </xf>
    <xf numFmtId="172" fontId="2" fillId="44" borderId="0" xfId="0" applyNumberFormat="1" applyFont="1" applyFill="1" applyBorder="1" applyAlignment="1" applyProtection="1">
      <alignment/>
      <protection/>
    </xf>
    <xf numFmtId="2" fontId="34" fillId="44" borderId="0" xfId="0" applyNumberFormat="1" applyFont="1" applyFill="1" applyBorder="1" applyAlignment="1" applyProtection="1">
      <alignment horizontal="center"/>
      <protection/>
    </xf>
    <xf numFmtId="0" fontId="40" fillId="44" borderId="0" xfId="0" applyFont="1" applyFill="1" applyBorder="1" applyAlignment="1" applyProtection="1">
      <alignment/>
      <protection/>
    </xf>
    <xf numFmtId="0" fontId="2" fillId="44" borderId="0" xfId="0" applyFont="1" applyFill="1" applyBorder="1" applyAlignment="1" applyProtection="1">
      <alignment horizontal="right"/>
      <protection/>
    </xf>
    <xf numFmtId="0" fontId="5" fillId="43" borderId="0" xfId="0" applyFont="1" applyFill="1" applyAlignment="1">
      <alignment/>
    </xf>
    <xf numFmtId="0" fontId="59" fillId="43" borderId="0" xfId="0" applyFont="1" applyFill="1" applyAlignment="1">
      <alignment/>
    </xf>
    <xf numFmtId="43" fontId="0" fillId="0" borderId="0" xfId="48" applyFont="1" applyFill="1" applyAlignment="1" applyProtection="1">
      <alignment/>
      <protection/>
    </xf>
    <xf numFmtId="2" fontId="22" fillId="0" borderId="11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46" fillId="35" borderId="56" xfId="0" applyFont="1" applyFill="1" applyBorder="1" applyAlignment="1" applyProtection="1">
      <alignment/>
      <protection/>
    </xf>
    <xf numFmtId="0" fontId="46" fillId="35" borderId="57" xfId="0" applyFont="1" applyFill="1" applyBorder="1" applyAlignment="1" applyProtection="1">
      <alignment/>
      <protection/>
    </xf>
    <xf numFmtId="0" fontId="46" fillId="35" borderId="0" xfId="0" applyFont="1" applyFill="1" applyBorder="1" applyAlignment="1" applyProtection="1">
      <alignment/>
      <protection/>
    </xf>
    <xf numFmtId="0" fontId="47" fillId="35" borderId="57" xfId="45" applyFont="1" applyFill="1" applyBorder="1" applyAlignment="1" applyProtection="1">
      <alignment/>
      <protection/>
    </xf>
    <xf numFmtId="0" fontId="45" fillId="35" borderId="57" xfId="45" applyFont="1" applyFill="1" applyBorder="1" applyAlignment="1" applyProtection="1">
      <alignment/>
      <protection/>
    </xf>
    <xf numFmtId="0" fontId="46" fillId="35" borderId="58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 locked="0"/>
    </xf>
    <xf numFmtId="0" fontId="29" fillId="0" borderId="29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left"/>
      <protection/>
    </xf>
    <xf numFmtId="0" fontId="60" fillId="45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54" applyFont="1" applyFill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1" fontId="21" fillId="0" borderId="31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45" borderId="0" xfId="0" applyFon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46" borderId="0" xfId="0" applyFill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0" fontId="1" fillId="46" borderId="0" xfId="0" applyFont="1" applyFill="1" applyAlignment="1" applyProtection="1">
      <alignment horizontal="left"/>
      <protection/>
    </xf>
    <xf numFmtId="2" fontId="22" fillId="0" borderId="53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9" fillId="39" borderId="59" xfId="0" applyFont="1" applyFill="1" applyBorder="1" applyAlignment="1" applyProtection="1">
      <alignment/>
      <protection/>
    </xf>
    <xf numFmtId="0" fontId="7" fillId="39" borderId="60" xfId="45" applyFont="1" applyFill="1" applyBorder="1" applyAlignment="1" applyProtection="1">
      <alignment/>
      <protection/>
    </xf>
    <xf numFmtId="0" fontId="0" fillId="39" borderId="60" xfId="0" applyFill="1" applyBorder="1" applyAlignment="1" applyProtection="1">
      <alignment/>
      <protection/>
    </xf>
    <xf numFmtId="0" fontId="0" fillId="39" borderId="61" xfId="0" applyFill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/>
      <protection/>
    </xf>
    <xf numFmtId="0" fontId="35" fillId="46" borderId="62" xfId="0" applyFont="1" applyFill="1" applyBorder="1" applyAlignment="1" applyProtection="1">
      <alignment/>
      <protection/>
    </xf>
    <xf numFmtId="0" fontId="35" fillId="46" borderId="63" xfId="0" applyFont="1" applyFill="1" applyBorder="1" applyAlignment="1" applyProtection="1">
      <alignment/>
      <protection/>
    </xf>
    <xf numFmtId="0" fontId="0" fillId="46" borderId="64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 horizontal="right"/>
      <protection/>
    </xf>
    <xf numFmtId="172" fontId="0" fillId="46" borderId="0" xfId="0" applyNumberFormat="1" applyFill="1" applyBorder="1" applyAlignment="1" applyProtection="1">
      <alignment/>
      <protection/>
    </xf>
    <xf numFmtId="2" fontId="18" fillId="46" borderId="0" xfId="0" applyNumberFormat="1" applyFont="1" applyFill="1" applyBorder="1" applyAlignment="1" applyProtection="1">
      <alignment horizontal="right"/>
      <protection/>
    </xf>
    <xf numFmtId="172" fontId="25" fillId="46" borderId="0" xfId="0" applyNumberFormat="1" applyFont="1" applyFill="1" applyBorder="1" applyAlignment="1" applyProtection="1">
      <alignment/>
      <protection/>
    </xf>
    <xf numFmtId="10" fontId="25" fillId="46" borderId="0" xfId="54" applyNumberFormat="1" applyFont="1" applyFill="1" applyBorder="1" applyAlignment="1" applyProtection="1">
      <alignment horizontal="right"/>
      <protection/>
    </xf>
    <xf numFmtId="0" fontId="47" fillId="35" borderId="65" xfId="45" applyFont="1" applyFill="1" applyBorder="1" applyAlignment="1" applyProtection="1">
      <alignment/>
      <protection/>
    </xf>
    <xf numFmtId="0" fontId="48" fillId="46" borderId="28" xfId="0" applyFont="1" applyFill="1" applyBorder="1" applyAlignment="1">
      <alignment/>
    </xf>
    <xf numFmtId="0" fontId="22" fillId="35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/>
      <protection locked="0"/>
    </xf>
    <xf numFmtId="0" fontId="20" fillId="37" borderId="0" xfId="0" applyFont="1" applyFill="1" applyBorder="1" applyAlignment="1" applyProtection="1">
      <alignment/>
      <protection locked="0"/>
    </xf>
    <xf numFmtId="0" fontId="22" fillId="37" borderId="0" xfId="0" applyFont="1" applyFill="1" applyBorder="1" applyAlignment="1" applyProtection="1">
      <alignment/>
      <protection/>
    </xf>
    <xf numFmtId="0" fontId="20" fillId="44" borderId="0" xfId="0" applyFont="1" applyFill="1" applyBorder="1" applyAlignment="1" applyProtection="1">
      <alignment/>
      <protection locked="0"/>
    </xf>
    <xf numFmtId="0" fontId="22" fillId="4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/>
      <protection/>
    </xf>
    <xf numFmtId="0" fontId="48" fillId="46" borderId="62" xfId="0" applyFont="1" applyFill="1" applyBorder="1" applyAlignment="1" applyProtection="1">
      <alignment/>
      <protection/>
    </xf>
    <xf numFmtId="0" fontId="48" fillId="46" borderId="63" xfId="0" applyFont="1" applyFill="1" applyBorder="1" applyAlignment="1" applyProtection="1">
      <alignment/>
      <protection/>
    </xf>
    <xf numFmtId="0" fontId="62" fillId="46" borderId="58" xfId="0" applyFont="1" applyFill="1" applyBorder="1" applyAlignment="1" applyProtection="1">
      <alignment/>
      <protection/>
    </xf>
    <xf numFmtId="0" fontId="62" fillId="46" borderId="64" xfId="0" applyFon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/>
      <protection/>
    </xf>
    <xf numFmtId="2" fontId="26" fillId="46" borderId="0" xfId="0" applyNumberFormat="1" applyFont="1" applyFill="1" applyBorder="1" applyAlignment="1" applyProtection="1">
      <alignment horizontal="left"/>
      <protection/>
    </xf>
    <xf numFmtId="0" fontId="0" fillId="46" borderId="0" xfId="0" applyFill="1" applyBorder="1" applyAlignment="1" applyProtection="1">
      <alignment/>
      <protection/>
    </xf>
    <xf numFmtId="0" fontId="0" fillId="46" borderId="0" xfId="0" applyNumberFormat="1" applyFill="1" applyBorder="1" applyAlignment="1" applyProtection="1">
      <alignment/>
      <protection/>
    </xf>
    <xf numFmtId="2" fontId="0" fillId="46" borderId="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left"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9" fontId="0" fillId="0" borderId="0" xfId="54" applyFont="1" applyAlignment="1" applyProtection="1">
      <alignment/>
      <protection/>
    </xf>
    <xf numFmtId="172" fontId="0" fillId="0" borderId="0" xfId="54" applyNumberFormat="1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" fontId="24" fillId="42" borderId="0" xfId="0" applyNumberFormat="1" applyFont="1" applyFill="1" applyBorder="1" applyAlignment="1" applyProtection="1">
      <alignment horizontal="center"/>
      <protection/>
    </xf>
    <xf numFmtId="9" fontId="22" fillId="36" borderId="66" xfId="0" applyNumberFormat="1" applyFont="1" applyFill="1" applyBorder="1" applyAlignment="1" applyProtection="1">
      <alignment/>
      <protection locked="0"/>
    </xf>
    <xf numFmtId="0" fontId="64" fillId="39" borderId="26" xfId="0" applyFont="1" applyFill="1" applyBorder="1" applyAlignment="1" applyProtection="1">
      <alignment/>
      <protection locked="0"/>
    </xf>
    <xf numFmtId="0" fontId="65" fillId="39" borderId="19" xfId="0" applyFont="1" applyFill="1" applyBorder="1" applyAlignment="1" applyProtection="1">
      <alignment/>
      <protection/>
    </xf>
    <xf numFmtId="0" fontId="5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33" borderId="0" xfId="0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72" fontId="3" fillId="0" borderId="0" xfId="54" applyNumberFormat="1" applyFont="1" applyBorder="1" applyAlignment="1" applyProtection="1">
      <alignment horizontal="center"/>
      <protection/>
    </xf>
    <xf numFmtId="172" fontId="2" fillId="36" borderId="20" xfId="0" applyNumberFormat="1" applyFont="1" applyFill="1" applyBorder="1" applyAlignment="1" applyProtection="1">
      <alignment/>
      <protection/>
    </xf>
    <xf numFmtId="2" fontId="3" fillId="36" borderId="21" xfId="0" applyNumberFormat="1" applyFont="1" applyFill="1" applyBorder="1" applyAlignment="1" applyProtection="1">
      <alignment horizontal="center"/>
      <protection/>
    </xf>
    <xf numFmtId="172" fontId="2" fillId="36" borderId="24" xfId="0" applyNumberFormat="1" applyFont="1" applyFill="1" applyBorder="1" applyAlignment="1" applyProtection="1">
      <alignment/>
      <protection/>
    </xf>
    <xf numFmtId="172" fontId="3" fillId="36" borderId="25" xfId="54" applyNumberFormat="1" applyFont="1" applyFill="1" applyBorder="1" applyAlignment="1" applyProtection="1">
      <alignment horizontal="center"/>
      <protection/>
    </xf>
    <xf numFmtId="0" fontId="66" fillId="43" borderId="0" xfId="0" applyFont="1" applyFill="1" applyAlignment="1">
      <alignment/>
    </xf>
    <xf numFmtId="0" fontId="67" fillId="43" borderId="0" xfId="0" applyFont="1" applyFill="1" applyAlignment="1">
      <alignment/>
    </xf>
    <xf numFmtId="0" fontId="68" fillId="47" borderId="26" xfId="0" applyFont="1" applyFill="1" applyBorder="1" applyAlignment="1">
      <alignment/>
    </xf>
    <xf numFmtId="0" fontId="68" fillId="47" borderId="19" xfId="0" applyFont="1" applyFill="1" applyBorder="1" applyAlignment="1">
      <alignment/>
    </xf>
    <xf numFmtId="0" fontId="69" fillId="43" borderId="0" xfId="0" applyFont="1" applyFill="1" applyAlignment="1">
      <alignment/>
    </xf>
    <xf numFmtId="9" fontId="24" fillId="43" borderId="0" xfId="54" applyFont="1" applyFill="1" applyBorder="1" applyAlignment="1" applyProtection="1">
      <alignment/>
      <protection/>
    </xf>
    <xf numFmtId="0" fontId="24" fillId="43" borderId="0" xfId="0" applyFont="1" applyFill="1" applyBorder="1" applyAlignment="1" applyProtection="1">
      <alignment/>
      <protection/>
    </xf>
    <xf numFmtId="0" fontId="14" fillId="43" borderId="0" xfId="0" applyFont="1" applyFill="1" applyBorder="1" applyAlignment="1">
      <alignment horizontal="center"/>
    </xf>
    <xf numFmtId="0" fontId="2" fillId="43" borderId="0" xfId="0" applyFont="1" applyFill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3" fillId="43" borderId="0" xfId="0" applyFont="1" applyFill="1" applyBorder="1" applyAlignment="1" applyProtection="1">
      <alignment/>
      <protection/>
    </xf>
    <xf numFmtId="0" fontId="62" fillId="43" borderId="0" xfId="0" applyFont="1" applyFill="1" applyAlignment="1">
      <alignment/>
    </xf>
    <xf numFmtId="9" fontId="8" fillId="47" borderId="27" xfId="0" applyNumberFormat="1" applyFont="1" applyFill="1" applyBorder="1" applyAlignment="1" applyProtection="1">
      <alignment/>
      <protection locked="0"/>
    </xf>
    <xf numFmtId="9" fontId="15" fillId="39" borderId="12" xfId="0" applyNumberFormat="1" applyFont="1" applyFill="1" applyBorder="1" applyAlignment="1" applyProtection="1">
      <alignment/>
      <protection locked="0"/>
    </xf>
    <xf numFmtId="1" fontId="0" fillId="42" borderId="0" xfId="0" applyNumberFormat="1" applyFill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70" fillId="34" borderId="67" xfId="0" applyFont="1" applyFill="1" applyBorder="1" applyAlignment="1" applyProtection="1">
      <alignment/>
      <protection/>
    </xf>
    <xf numFmtId="0" fontId="70" fillId="34" borderId="68" xfId="0" applyFont="1" applyFill="1" applyBorder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53" fillId="35" borderId="0" xfId="0" applyFont="1" applyFill="1" applyAlignment="1" applyProtection="1">
      <alignment/>
      <protection/>
    </xf>
    <xf numFmtId="0" fontId="0" fillId="0" borderId="69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48" borderId="11" xfId="0" applyFill="1" applyBorder="1" applyAlignment="1" applyProtection="1">
      <alignment/>
      <protection/>
    </xf>
    <xf numFmtId="44" fontId="70" fillId="34" borderId="67" xfId="50" applyFont="1" applyFill="1" applyBorder="1" applyAlignment="1" applyProtection="1">
      <alignment horizontal="left"/>
      <protection/>
    </xf>
    <xf numFmtId="10" fontId="70" fillId="34" borderId="68" xfId="54" applyNumberFormat="1" applyFont="1" applyFill="1" applyBorder="1" applyAlignment="1" applyProtection="1">
      <alignment horizontal="right"/>
      <protection/>
    </xf>
    <xf numFmtId="10" fontId="70" fillId="0" borderId="0" xfId="54" applyNumberFormat="1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0" fontId="72" fillId="36" borderId="11" xfId="0" applyFont="1" applyFill="1" applyBorder="1" applyAlignment="1" applyProtection="1">
      <alignment horizontal="right"/>
      <protection/>
    </xf>
    <xf numFmtId="0" fontId="72" fillId="36" borderId="11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30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5" fontId="22" fillId="0" borderId="0" xfId="50" applyNumberFormat="1" applyFont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left"/>
      <protection locked="0"/>
    </xf>
    <xf numFmtId="175" fontId="22" fillId="0" borderId="0" xfId="5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left"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2" fontId="0" fillId="0" borderId="32" xfId="0" applyNumberFormat="1" applyBorder="1" applyAlignment="1" applyProtection="1">
      <alignment horizontal="left"/>
      <protection/>
    </xf>
    <xf numFmtId="0" fontId="0" fillId="49" borderId="11" xfId="0" applyFill="1" applyBorder="1" applyAlignment="1" applyProtection="1">
      <alignment/>
      <protection/>
    </xf>
    <xf numFmtId="0" fontId="2" fillId="49" borderId="11" xfId="0" applyFont="1" applyFill="1" applyBorder="1" applyAlignment="1" applyProtection="1">
      <alignment/>
      <protection/>
    </xf>
    <xf numFmtId="2" fontId="0" fillId="48" borderId="32" xfId="0" applyNumberFormat="1" applyFill="1" applyBorder="1" applyAlignment="1" applyProtection="1">
      <alignment horizontal="left"/>
      <protection/>
    </xf>
    <xf numFmtId="2" fontId="0" fillId="48" borderId="11" xfId="0" applyNumberFormat="1" applyFill="1" applyBorder="1" applyAlignment="1" applyProtection="1">
      <alignment horizontal="left"/>
      <protection/>
    </xf>
    <xf numFmtId="0" fontId="73" fillId="43" borderId="0" xfId="0" applyFont="1" applyFill="1" applyAlignment="1">
      <alignment/>
    </xf>
    <xf numFmtId="0" fontId="26" fillId="0" borderId="42" xfId="0" applyFont="1" applyBorder="1" applyAlignment="1" applyProtection="1">
      <alignment/>
      <protection locked="0"/>
    </xf>
    <xf numFmtId="0" fontId="3" fillId="0" borderId="42" xfId="0" applyFont="1" applyBorder="1" applyAlignment="1" applyProtection="1">
      <alignment/>
      <protection locked="0"/>
    </xf>
    <xf numFmtId="0" fontId="20" fillId="34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2" fillId="44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6" borderId="11" xfId="0" applyFill="1" applyBorder="1" applyAlignment="1" applyProtection="1">
      <alignment/>
      <protection/>
    </xf>
    <xf numFmtId="2" fontId="0" fillId="36" borderId="11" xfId="0" applyNumberFormat="1" applyFill="1" applyBorder="1" applyAlignment="1" applyProtection="1">
      <alignment horizontal="left"/>
      <protection/>
    </xf>
    <xf numFmtId="0" fontId="71" fillId="13" borderId="0" xfId="0" applyFont="1" applyFill="1" applyBorder="1" applyAlignment="1" applyProtection="1">
      <alignment horizontal="left"/>
      <protection/>
    </xf>
    <xf numFmtId="0" fontId="23" fillId="13" borderId="0" xfId="0" applyFont="1" applyFill="1" applyBorder="1" applyAlignment="1" applyProtection="1">
      <alignment horizontal="left"/>
      <protection/>
    </xf>
    <xf numFmtId="15" fontId="74" fillId="42" borderId="0" xfId="0" applyNumberFormat="1" applyFont="1" applyFill="1" applyBorder="1" applyAlignment="1" applyProtection="1">
      <alignment horizontal="left"/>
      <protection/>
    </xf>
    <xf numFmtId="2" fontId="0" fillId="0" borderId="22" xfId="0" applyNumberFormat="1" applyFont="1" applyBorder="1" applyAlignment="1" applyProtection="1">
      <alignment/>
      <protection/>
    </xf>
    <xf numFmtId="0" fontId="63" fillId="50" borderId="65" xfId="45" applyFont="1" applyFill="1" applyBorder="1" applyAlignment="1" applyProtection="1">
      <alignment/>
      <protection/>
    </xf>
    <xf numFmtId="0" fontId="116" fillId="50" borderId="70" xfId="0" applyFont="1" applyFill="1" applyBorder="1" applyAlignment="1" applyProtection="1">
      <alignment/>
      <protection/>
    </xf>
    <xf numFmtId="0" fontId="116" fillId="46" borderId="56" xfId="0" applyFont="1" applyFill="1" applyBorder="1" applyAlignment="1" applyProtection="1">
      <alignment/>
      <protection/>
    </xf>
    <xf numFmtId="0" fontId="116" fillId="50" borderId="57" xfId="0" applyFont="1" applyFill="1" applyBorder="1" applyAlignment="1" applyProtection="1">
      <alignment/>
      <protection/>
    </xf>
    <xf numFmtId="0" fontId="116" fillId="46" borderId="0" xfId="0" applyFont="1" applyFill="1" applyBorder="1" applyAlignment="1" applyProtection="1">
      <alignment/>
      <protection/>
    </xf>
    <xf numFmtId="0" fontId="117" fillId="50" borderId="57" xfId="45" applyFont="1" applyFill="1" applyBorder="1" applyAlignment="1" applyProtection="1">
      <alignment/>
      <protection/>
    </xf>
    <xf numFmtId="0" fontId="0" fillId="50" borderId="0" xfId="0" applyFill="1" applyBorder="1" applyAlignment="1" applyProtection="1">
      <alignment/>
      <protection/>
    </xf>
    <xf numFmtId="0" fontId="0" fillId="50" borderId="0" xfId="0" applyNumberFormat="1" applyFill="1" applyBorder="1" applyAlignment="1" applyProtection="1">
      <alignment/>
      <protection/>
    </xf>
    <xf numFmtId="2" fontId="0" fillId="50" borderId="0" xfId="0" applyNumberFormat="1" applyFill="1" applyBorder="1" applyAlignment="1" applyProtection="1">
      <alignment horizontal="right"/>
      <protection/>
    </xf>
    <xf numFmtId="0" fontId="0" fillId="50" borderId="0" xfId="0" applyFill="1" applyAlignment="1" applyProtection="1">
      <alignment/>
      <protection/>
    </xf>
    <xf numFmtId="0" fontId="118" fillId="51" borderId="0" xfId="0" applyFont="1" applyFill="1" applyAlignment="1" applyProtection="1">
      <alignment/>
      <protection/>
    </xf>
    <xf numFmtId="0" fontId="119" fillId="51" borderId="0" xfId="0" applyFont="1" applyFill="1" applyAlignment="1" applyProtection="1">
      <alignment/>
      <protection/>
    </xf>
    <xf numFmtId="0" fontId="0" fillId="52" borderId="0" xfId="0" applyFill="1" applyAlignment="1" applyProtection="1">
      <alignment/>
      <protection/>
    </xf>
    <xf numFmtId="2" fontId="0" fillId="52" borderId="0" xfId="0" applyNumberFormat="1" applyFill="1" applyAlignment="1" applyProtection="1">
      <alignment/>
      <protection/>
    </xf>
    <xf numFmtId="0" fontId="0" fillId="52" borderId="0" xfId="0" applyFill="1" applyBorder="1" applyAlignment="1" applyProtection="1">
      <alignment/>
      <protection/>
    </xf>
    <xf numFmtId="0" fontId="0" fillId="53" borderId="0" xfId="0" applyFill="1" applyAlignment="1" applyProtection="1">
      <alignment/>
      <protection/>
    </xf>
    <xf numFmtId="0" fontId="60" fillId="53" borderId="0" xfId="0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/>
    </xf>
    <xf numFmtId="0" fontId="120" fillId="0" borderId="0" xfId="0" applyFont="1" applyFill="1" applyBorder="1" applyAlignment="1" applyProtection="1">
      <alignment/>
      <protection/>
    </xf>
    <xf numFmtId="0" fontId="121" fillId="0" borderId="0" xfId="0" applyFont="1" applyFill="1" applyAlignment="1" applyProtection="1">
      <alignment/>
      <protection/>
    </xf>
    <xf numFmtId="10" fontId="120" fillId="0" borderId="0" xfId="54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/>
    </xf>
    <xf numFmtId="0" fontId="120" fillId="54" borderId="71" xfId="0" applyFont="1" applyFill="1" applyBorder="1" applyAlignment="1" applyProtection="1">
      <alignment/>
      <protection/>
    </xf>
    <xf numFmtId="2" fontId="120" fillId="54" borderId="72" xfId="0" applyNumberFormat="1" applyFont="1" applyFill="1" applyBorder="1" applyAlignment="1" applyProtection="1">
      <alignment/>
      <protection/>
    </xf>
    <xf numFmtId="0" fontId="120" fillId="54" borderId="73" xfId="0" applyFont="1" applyFill="1" applyBorder="1" applyAlignment="1" applyProtection="1">
      <alignment/>
      <protection/>
    </xf>
    <xf numFmtId="10" fontId="120" fillId="54" borderId="74" xfId="54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right"/>
    </xf>
    <xf numFmtId="0" fontId="24" fillId="33" borderId="0" xfId="0" applyFont="1" applyFill="1" applyBorder="1" applyAlignment="1" applyProtection="1">
      <alignment/>
      <protection hidden="1"/>
    </xf>
    <xf numFmtId="0" fontId="2" fillId="41" borderId="75" xfId="0" applyFont="1" applyFill="1" applyBorder="1" applyAlignment="1" applyProtection="1">
      <alignment horizontal="right"/>
      <protection/>
    </xf>
    <xf numFmtId="0" fontId="2" fillId="0" borderId="76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/>
      <protection/>
    </xf>
    <xf numFmtId="0" fontId="122" fillId="13" borderId="0" xfId="0" applyFont="1" applyFill="1" applyAlignment="1" applyProtection="1">
      <alignment/>
      <protection/>
    </xf>
    <xf numFmtId="0" fontId="120" fillId="55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3" fillId="0" borderId="78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20" fillId="0" borderId="79" xfId="0" applyFont="1" applyFill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/>
      <protection locked="0"/>
    </xf>
    <xf numFmtId="1" fontId="3" fillId="0" borderId="80" xfId="0" applyNumberFormat="1" applyFont="1" applyFill="1" applyBorder="1" applyAlignment="1" applyProtection="1">
      <alignment/>
      <protection/>
    </xf>
    <xf numFmtId="0" fontId="20" fillId="0" borderId="81" xfId="0" applyFont="1" applyFill="1" applyBorder="1" applyAlignment="1" applyProtection="1">
      <alignment horizontal="center"/>
      <protection/>
    </xf>
    <xf numFmtId="2" fontId="20" fillId="0" borderId="79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Border="1" applyAlignment="1">
      <alignment horizontal="right"/>
    </xf>
    <xf numFmtId="2" fontId="20" fillId="0" borderId="81" xfId="0" applyNumberFormat="1" applyFont="1" applyFill="1" applyBorder="1" applyAlignment="1" applyProtection="1">
      <alignment horizontal="center"/>
      <protection/>
    </xf>
    <xf numFmtId="17" fontId="7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Alignment="1">
      <alignment/>
    </xf>
    <xf numFmtId="0" fontId="123" fillId="0" borderId="13" xfId="0" applyNumberFormat="1" applyFont="1" applyBorder="1" applyAlignment="1" applyProtection="1">
      <alignment/>
      <protection hidden="1"/>
    </xf>
    <xf numFmtId="0" fontId="123" fillId="0" borderId="0" xfId="0" applyNumberFormat="1" applyFont="1" applyAlignment="1" applyProtection="1">
      <alignment/>
      <protection hidden="1"/>
    </xf>
    <xf numFmtId="0" fontId="124" fillId="0" borderId="69" xfId="0" applyNumberFormat="1" applyFont="1" applyBorder="1" applyAlignment="1" applyProtection="1">
      <alignment/>
      <protection hidden="1"/>
    </xf>
    <xf numFmtId="0" fontId="124" fillId="56" borderId="69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24" fillId="0" borderId="0" xfId="0" applyNumberFormat="1" applyFont="1" applyAlignment="1">
      <alignment/>
    </xf>
    <xf numFmtId="0" fontId="119" fillId="57" borderId="0" xfId="0" applyFont="1" applyFill="1" applyAlignment="1" applyProtection="1">
      <alignment/>
      <protection/>
    </xf>
    <xf numFmtId="0" fontId="125" fillId="57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18" fillId="58" borderId="0" xfId="0" applyFont="1" applyFill="1" applyAlignment="1" applyProtection="1">
      <alignment/>
      <protection/>
    </xf>
    <xf numFmtId="0" fontId="119" fillId="58" borderId="0" xfId="0" applyFont="1" applyFill="1" applyAlignment="1" applyProtection="1">
      <alignment/>
      <protection/>
    </xf>
    <xf numFmtId="0" fontId="2" fillId="56" borderId="0" xfId="0" applyFont="1" applyFill="1" applyAlignment="1" applyProtection="1">
      <alignment/>
      <protection/>
    </xf>
    <xf numFmtId="0" fontId="0" fillId="56" borderId="0" xfId="0" applyFill="1" applyAlignment="1" applyProtection="1">
      <alignment/>
      <protection/>
    </xf>
    <xf numFmtId="10" fontId="120" fillId="0" borderId="0" xfId="54" applyNumberFormat="1" applyFont="1" applyFill="1" applyBorder="1" applyAlignment="1" applyProtection="1">
      <alignment/>
      <protection/>
    </xf>
    <xf numFmtId="2" fontId="5" fillId="50" borderId="0" xfId="0" applyNumberFormat="1" applyFont="1" applyFill="1" applyBorder="1" applyAlignment="1" applyProtection="1">
      <alignment horizontal="left"/>
      <protection/>
    </xf>
    <xf numFmtId="0" fontId="0" fillId="59" borderId="11" xfId="0" applyFill="1" applyBorder="1" applyAlignment="1" applyProtection="1">
      <alignment/>
      <protection hidden="1"/>
    </xf>
    <xf numFmtId="0" fontId="0" fillId="59" borderId="32" xfId="0" applyNumberFormat="1" applyFill="1" applyBorder="1" applyAlignment="1" applyProtection="1">
      <alignment/>
      <protection hidden="1"/>
    </xf>
    <xf numFmtId="0" fontId="0" fillId="59" borderId="69" xfId="0" applyNumberFormat="1" applyFill="1" applyBorder="1" applyAlignment="1" applyProtection="1">
      <alignment/>
      <protection hidden="1"/>
    </xf>
    <xf numFmtId="0" fontId="124" fillId="59" borderId="69" xfId="0" applyNumberFormat="1" applyFont="1" applyFill="1" applyBorder="1" applyAlignment="1" applyProtection="1">
      <alignment/>
      <protection hidden="1"/>
    </xf>
    <xf numFmtId="0" fontId="0" fillId="59" borderId="16" xfId="0" applyFill="1" applyBorder="1" applyAlignment="1" applyProtection="1">
      <alignment/>
      <protection hidden="1"/>
    </xf>
    <xf numFmtId="0" fontId="0" fillId="59" borderId="0" xfId="0" applyFill="1" applyAlignment="1">
      <alignment/>
    </xf>
    <xf numFmtId="0" fontId="0" fillId="13" borderId="11" xfId="0" applyFill="1" applyBorder="1" applyAlignment="1" applyProtection="1">
      <alignment/>
      <protection hidden="1"/>
    </xf>
    <xf numFmtId="0" fontId="126" fillId="13" borderId="11" xfId="0" applyFont="1" applyFill="1" applyBorder="1" applyAlignment="1" applyProtection="1">
      <alignment/>
      <protection hidden="1"/>
    </xf>
    <xf numFmtId="0" fontId="127" fillId="13" borderId="11" xfId="0" applyFont="1" applyFill="1" applyBorder="1" applyAlignment="1" applyProtection="1">
      <alignment/>
      <protection hidden="1"/>
    </xf>
    <xf numFmtId="0" fontId="127" fillId="13" borderId="69" xfId="0" applyNumberFormat="1" applyFont="1" applyFill="1" applyBorder="1" applyAlignment="1" applyProtection="1">
      <alignment/>
      <protection hidden="1"/>
    </xf>
    <xf numFmtId="0" fontId="4" fillId="0" borderId="0" xfId="45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0" fillId="0" borderId="82" xfId="0" applyNumberForma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56" borderId="11" xfId="0" applyFill="1" applyBorder="1" applyAlignment="1" applyProtection="1">
      <alignment/>
      <protection hidden="1"/>
    </xf>
    <xf numFmtId="0" fontId="30" fillId="56" borderId="11" xfId="0" applyFont="1" applyFill="1" applyBorder="1" applyAlignment="1" applyProtection="1">
      <alignment/>
      <protection hidden="1"/>
    </xf>
    <xf numFmtId="0" fontId="0" fillId="56" borderId="32" xfId="0" applyNumberFormat="1" applyFill="1" applyBorder="1" applyAlignment="1" applyProtection="1">
      <alignment/>
      <protection hidden="1"/>
    </xf>
    <xf numFmtId="0" fontId="0" fillId="56" borderId="69" xfId="0" applyNumberFormat="1" applyFill="1" applyBorder="1" applyAlignment="1" applyProtection="1">
      <alignment/>
      <protection hidden="1"/>
    </xf>
    <xf numFmtId="0" fontId="0" fillId="56" borderId="82" xfId="0" applyNumberFormat="1" applyFill="1" applyBorder="1" applyAlignment="1" applyProtection="1">
      <alignment/>
      <protection hidden="1"/>
    </xf>
    <xf numFmtId="0" fontId="0" fillId="56" borderId="16" xfId="0" applyFill="1" applyBorder="1" applyAlignment="1" applyProtection="1">
      <alignment/>
      <protection hidden="1"/>
    </xf>
    <xf numFmtId="0" fontId="0" fillId="56" borderId="11" xfId="0" applyFill="1" applyBorder="1" applyAlignment="1">
      <alignment/>
    </xf>
    <xf numFmtId="0" fontId="30" fillId="59" borderId="11" xfId="0" applyFont="1" applyFill="1" applyBorder="1" applyAlignment="1" applyProtection="1">
      <alignment/>
      <protection hidden="1"/>
    </xf>
    <xf numFmtId="0" fontId="127" fillId="59" borderId="0" xfId="0" applyFont="1" applyFill="1" applyAlignment="1">
      <alignment/>
    </xf>
    <xf numFmtId="0" fontId="0" fillId="59" borderId="82" xfId="0" applyNumberFormat="1" applyFill="1" applyBorder="1" applyAlignment="1" applyProtection="1">
      <alignment/>
      <protection hidden="1"/>
    </xf>
    <xf numFmtId="0" fontId="0" fillId="59" borderId="11" xfId="0" applyFill="1" applyBorder="1" applyAlignment="1">
      <alignment/>
    </xf>
    <xf numFmtId="0" fontId="127" fillId="59" borderId="69" xfId="0" applyNumberFormat="1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127" fillId="13" borderId="32" xfId="0" applyNumberFormat="1" applyFont="1" applyFill="1" applyBorder="1" applyAlignment="1" applyProtection="1">
      <alignment/>
      <protection hidden="1"/>
    </xf>
    <xf numFmtId="0" fontId="0" fillId="13" borderId="82" xfId="0" applyNumberFormat="1" applyFill="1" applyBorder="1" applyAlignment="1" applyProtection="1">
      <alignment/>
      <protection hidden="1"/>
    </xf>
    <xf numFmtId="0" fontId="0" fillId="13" borderId="16" xfId="0" applyFill="1" applyBorder="1" applyAlignment="1" applyProtection="1">
      <alignment/>
      <protection hidden="1"/>
    </xf>
    <xf numFmtId="0" fontId="128" fillId="59" borderId="69" xfId="0" applyNumberFormat="1" applyFont="1" applyFill="1" applyBorder="1" applyAlignment="1" applyProtection="1">
      <alignment/>
      <protection hidden="1"/>
    </xf>
    <xf numFmtId="0" fontId="0" fillId="13" borderId="32" xfId="0" applyNumberFormat="1" applyFill="1" applyBorder="1" applyAlignment="1" applyProtection="1">
      <alignment/>
      <protection hidden="1"/>
    </xf>
    <xf numFmtId="0" fontId="0" fillId="13" borderId="69" xfId="0" applyNumberFormat="1" applyFill="1" applyBorder="1" applyAlignment="1" applyProtection="1">
      <alignment/>
      <protection hidden="1"/>
    </xf>
    <xf numFmtId="0" fontId="124" fillId="13" borderId="69" xfId="0" applyNumberFormat="1" applyFont="1" applyFill="1" applyBorder="1" applyAlignment="1" applyProtection="1">
      <alignment/>
      <protection hidden="1"/>
    </xf>
    <xf numFmtId="0" fontId="0" fillId="13" borderId="11" xfId="0" applyFill="1" applyBorder="1" applyAlignment="1">
      <alignment/>
    </xf>
    <xf numFmtId="0" fontId="127" fillId="59" borderId="11" xfId="0" applyFont="1" applyFill="1" applyBorder="1" applyAlignment="1" applyProtection="1">
      <alignment/>
      <protection hidden="1"/>
    </xf>
    <xf numFmtId="0" fontId="127" fillId="59" borderId="32" xfId="0" applyNumberFormat="1" applyFont="1" applyFill="1" applyBorder="1" applyAlignment="1" applyProtection="1">
      <alignment/>
      <protection hidden="1"/>
    </xf>
    <xf numFmtId="0" fontId="127" fillId="13" borderId="82" xfId="0" applyNumberFormat="1" applyFont="1" applyFill="1" applyBorder="1" applyAlignment="1" applyProtection="1">
      <alignment/>
      <protection hidden="1"/>
    </xf>
    <xf numFmtId="0" fontId="127" fillId="13" borderId="16" xfId="0" applyFont="1" applyFill="1" applyBorder="1" applyAlignment="1" applyProtection="1">
      <alignment/>
      <protection hidden="1"/>
    </xf>
    <xf numFmtId="0" fontId="127" fillId="13" borderId="11" xfId="0" applyFont="1" applyFill="1" applyBorder="1" applyAlignment="1">
      <alignment/>
    </xf>
    <xf numFmtId="0" fontId="2" fillId="0" borderId="8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right"/>
      <protection/>
    </xf>
    <xf numFmtId="2" fontId="0" fillId="0" borderId="50" xfId="0" applyNumberFormat="1" applyFont="1" applyFill="1" applyBorder="1" applyAlignment="1" applyProtection="1">
      <alignment horizontal="left"/>
      <protection/>
    </xf>
    <xf numFmtId="0" fontId="29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4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1" fontId="0" fillId="0" borderId="11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2549"/>
        <xdr:cNvSpPr>
          <a:spLocks/>
        </xdr:cNvSpPr>
      </xdr:nvSpPr>
      <xdr:spPr>
        <a:xfrm>
          <a:off x="0" y="0"/>
          <a:ext cx="1983676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Uruguay\Datos%20de%20programa\Microsoft\Excel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27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10" customWidth="1"/>
    <col min="2" max="2" width="14.140625" style="10" customWidth="1"/>
    <col min="3" max="3" width="24.00390625" style="10" customWidth="1"/>
    <col min="4" max="4" width="23.57421875" style="10" customWidth="1"/>
    <col min="5" max="5" width="15.28125" style="10" customWidth="1"/>
    <col min="6" max="6" width="21.140625" style="10" customWidth="1"/>
    <col min="7" max="7" width="29.7109375" style="10" customWidth="1"/>
    <col min="8" max="8" width="23.57421875" style="10" customWidth="1"/>
    <col min="9" max="9" width="14.421875" style="10" customWidth="1"/>
    <col min="10" max="10" width="22.8515625" style="10" customWidth="1"/>
    <col min="11" max="11" width="29.7109375" style="10" customWidth="1"/>
    <col min="12" max="12" width="21.00390625" style="10" customWidth="1"/>
    <col min="13" max="13" width="30.00390625" style="10" customWidth="1"/>
    <col min="14" max="14" width="20.00390625" style="10" customWidth="1"/>
    <col min="15" max="15" width="22.57421875" style="10" customWidth="1"/>
    <col min="16" max="16" width="16.7109375" style="10" customWidth="1"/>
    <col min="17" max="17" width="15.00390625" style="10" customWidth="1"/>
    <col min="18" max="18" width="30.00390625" style="10" customWidth="1"/>
    <col min="19" max="19" width="20.28125" style="10" customWidth="1"/>
    <col min="20" max="20" width="18.00390625" style="10" customWidth="1"/>
    <col min="21" max="21" width="16.00390625" style="10" bestFit="1" customWidth="1"/>
    <col min="22" max="24" width="11.421875" style="10" customWidth="1"/>
    <col min="25" max="25" width="13.28125" style="10" customWidth="1"/>
    <col min="26" max="16384" width="11.421875" style="10" customWidth="1"/>
  </cols>
  <sheetData>
    <row r="1" ht="12.75">
      <c r="A1" s="303"/>
    </row>
    <row r="2" spans="1:7" ht="12.75">
      <c r="A2" s="303"/>
      <c r="B2" s="160"/>
      <c r="C2" s="160"/>
      <c r="D2" s="160"/>
      <c r="E2" s="160"/>
      <c r="F2" s="160"/>
      <c r="G2" s="160"/>
    </row>
    <row r="3" spans="1:11" ht="20.25">
      <c r="A3" s="2"/>
      <c r="B3" s="300"/>
      <c r="C3" s="431" t="s">
        <v>477</v>
      </c>
      <c r="D3" s="432"/>
      <c r="E3" s="432"/>
      <c r="F3" s="432"/>
      <c r="G3" s="301"/>
      <c r="H3" s="3"/>
      <c r="I3" s="4"/>
      <c r="J3" s="1"/>
      <c r="K3" s="2"/>
    </row>
    <row r="4" spans="1:11" ht="20.25">
      <c r="A4" s="2"/>
      <c r="B4" s="300"/>
      <c r="C4" s="431" t="s">
        <v>384</v>
      </c>
      <c r="D4" s="432"/>
      <c r="E4" s="432"/>
      <c r="F4" s="432"/>
      <c r="G4" s="301"/>
      <c r="H4" s="3"/>
      <c r="I4" s="4"/>
      <c r="J4" s="1"/>
      <c r="K4" s="2"/>
    </row>
    <row r="5" spans="1:11" ht="18">
      <c r="A5" s="2"/>
      <c r="B5" s="300"/>
      <c r="C5" s="466" t="s">
        <v>478</v>
      </c>
      <c r="D5" s="432"/>
      <c r="E5" s="432"/>
      <c r="F5" s="432"/>
      <c r="G5" s="301"/>
      <c r="H5" s="3"/>
      <c r="I5" s="4"/>
      <c r="J5" s="1"/>
      <c r="K5" s="2"/>
    </row>
    <row r="6" spans="1:11" ht="15.75">
      <c r="A6" s="2"/>
      <c r="B6" s="333"/>
      <c r="C6" s="467"/>
      <c r="D6" s="335"/>
      <c r="E6" s="336"/>
      <c r="F6" s="335"/>
      <c r="G6" s="337"/>
      <c r="H6" s="6"/>
      <c r="I6" s="4"/>
      <c r="J6" s="2"/>
      <c r="K6" s="2"/>
    </row>
    <row r="7" spans="1:11" ht="15">
      <c r="A7" s="2"/>
      <c r="B7" s="333"/>
      <c r="C7" s="334"/>
      <c r="D7" s="335"/>
      <c r="E7" s="336"/>
      <c r="F7" s="335"/>
      <c r="G7" s="337"/>
      <c r="H7" s="6"/>
      <c r="I7" s="4"/>
      <c r="J7" s="2"/>
      <c r="K7" s="2"/>
    </row>
    <row r="8" spans="1:11" ht="18">
      <c r="A8" s="2"/>
      <c r="B8" s="498"/>
      <c r="C8" s="444"/>
      <c r="D8" s="441"/>
      <c r="E8" s="442"/>
      <c r="F8" s="441"/>
      <c r="G8" s="443"/>
      <c r="H8" s="6"/>
      <c r="I8" s="4"/>
      <c r="J8" s="2"/>
      <c r="K8" s="2"/>
    </row>
    <row r="9" spans="1:11" ht="15">
      <c r="A9" s="2"/>
      <c r="B9" s="333"/>
      <c r="C9" s="334"/>
      <c r="D9" s="335"/>
      <c r="E9" s="336"/>
      <c r="F9" s="335"/>
      <c r="G9" s="337"/>
      <c r="H9" s="6"/>
      <c r="I9" s="4"/>
      <c r="J9" s="2"/>
      <c r="K9" s="2"/>
    </row>
    <row r="10" spans="1:11" ht="13.5" thickBot="1">
      <c r="A10" s="2"/>
      <c r="B10" s="1"/>
      <c r="C10" s="1"/>
      <c r="D10" s="2"/>
      <c r="E10" s="1"/>
      <c r="F10" s="2"/>
      <c r="G10" s="5"/>
      <c r="H10" s="1"/>
      <c r="I10" s="4"/>
      <c r="J10" s="1"/>
      <c r="K10" s="2"/>
    </row>
    <row r="11" spans="1:11" ht="18.75" thickBot="1">
      <c r="A11" s="2"/>
      <c r="B11" s="5"/>
      <c r="C11" s="46" t="s">
        <v>0</v>
      </c>
      <c r="D11" s="45" t="s">
        <v>1</v>
      </c>
      <c r="E11" s="47"/>
      <c r="F11" s="46" t="s">
        <v>0</v>
      </c>
      <c r="G11" s="41"/>
      <c r="H11" s="7"/>
      <c r="I11" s="4"/>
      <c r="J11" s="7"/>
      <c r="K11" s="2"/>
    </row>
    <row r="12" spans="1:11" ht="18">
      <c r="A12" s="2"/>
      <c r="B12" s="2"/>
      <c r="C12" s="2"/>
      <c r="D12" s="48" t="s">
        <v>343</v>
      </c>
      <c r="E12" s="49"/>
      <c r="F12" s="40"/>
      <c r="G12" s="40"/>
      <c r="H12" s="1"/>
      <c r="I12" s="2"/>
      <c r="J12" s="1"/>
      <c r="K12" s="2"/>
    </row>
    <row r="13" spans="1:11" ht="18">
      <c r="A13" s="2"/>
      <c r="B13" s="2"/>
      <c r="C13" s="2"/>
      <c r="D13" s="48" t="s">
        <v>2</v>
      </c>
      <c r="E13" s="49"/>
      <c r="F13" s="40"/>
      <c r="G13" s="40"/>
      <c r="H13" s="1"/>
      <c r="I13" s="2"/>
      <c r="J13" s="1"/>
      <c r="K13" s="2"/>
    </row>
    <row r="14" spans="1:11" ht="18.75" thickBot="1">
      <c r="A14" s="2"/>
      <c r="B14" s="1"/>
      <c r="C14" s="4"/>
      <c r="D14" s="48" t="s">
        <v>3</v>
      </c>
      <c r="E14" s="49"/>
      <c r="F14" s="40"/>
      <c r="G14" s="42"/>
      <c r="H14" s="8"/>
      <c r="I14" s="4"/>
      <c r="J14" s="7"/>
      <c r="K14" s="2"/>
    </row>
    <row r="15" spans="1:11" ht="18.75" thickBot="1">
      <c r="A15" s="2"/>
      <c r="B15" s="1"/>
      <c r="C15" s="46" t="s">
        <v>0</v>
      </c>
      <c r="D15" s="50" t="s">
        <v>354</v>
      </c>
      <c r="E15" s="51"/>
      <c r="F15" s="46" t="s">
        <v>0</v>
      </c>
      <c r="G15" s="13"/>
      <c r="H15" s="8"/>
      <c r="I15" s="4"/>
      <c r="J15" s="7"/>
      <c r="K15" s="2"/>
    </row>
    <row r="16" spans="1:11" ht="15.75">
      <c r="A16" s="2"/>
      <c r="B16" s="1"/>
      <c r="C16" s="1"/>
      <c r="D16" s="4"/>
      <c r="E16" s="52"/>
      <c r="F16" s="2"/>
      <c r="G16" s="1"/>
      <c r="H16" s="8"/>
      <c r="I16" s="4"/>
      <c r="J16" s="7"/>
      <c r="K16" s="2"/>
    </row>
    <row r="17" spans="1:11" ht="12.75">
      <c r="A17" s="2"/>
      <c r="B17" s="2"/>
      <c r="C17" s="2"/>
      <c r="D17" s="2"/>
      <c r="E17" s="2"/>
      <c r="F17" s="2"/>
      <c r="G17" s="9"/>
      <c r="H17" s="1"/>
      <c r="I17" s="9"/>
      <c r="J17" s="2"/>
      <c r="K17" s="2"/>
    </row>
    <row r="18" spans="1:7" s="11" customFormat="1" ht="13.5" thickBot="1">
      <c r="A18" s="53"/>
      <c r="B18" s="53"/>
      <c r="C18" s="53"/>
      <c r="D18" s="54"/>
      <c r="E18" s="55"/>
      <c r="F18" s="10"/>
      <c r="G18" s="10"/>
    </row>
    <row r="19" spans="1:255" s="11" customFormat="1" ht="24.75" thickBot="1" thickTop="1">
      <c r="A19" s="56" t="s">
        <v>4</v>
      </c>
      <c r="B19" s="57"/>
      <c r="C19" s="58" t="s">
        <v>5</v>
      </c>
      <c r="D19" s="59" t="s">
        <v>5</v>
      </c>
      <c r="E19" s="60" t="s">
        <v>5</v>
      </c>
      <c r="F19" s="10"/>
      <c r="G19" s="10"/>
      <c r="I19" s="61"/>
      <c r="K19" s="62"/>
      <c r="L19" s="63"/>
      <c r="M19" s="64"/>
      <c r="Q19" s="61"/>
      <c r="S19" s="62"/>
      <c r="T19" s="62"/>
      <c r="U19" s="62"/>
      <c r="V19" s="62"/>
      <c r="W19" s="62"/>
      <c r="X19" s="63"/>
      <c r="Y19" s="64"/>
      <c r="AC19" s="61"/>
      <c r="AE19" s="62"/>
      <c r="AF19" s="63"/>
      <c r="AG19" s="64"/>
      <c r="AK19" s="61"/>
      <c r="AM19" s="62"/>
      <c r="AN19" s="63"/>
      <c r="AO19" s="64"/>
      <c r="AS19" s="61"/>
      <c r="AU19" s="62"/>
      <c r="AV19" s="63"/>
      <c r="AW19" s="64"/>
      <c r="BA19" s="61"/>
      <c r="BC19" s="62"/>
      <c r="BD19" s="63"/>
      <c r="BE19" s="64"/>
      <c r="BI19" s="61"/>
      <c r="BK19" s="62"/>
      <c r="BL19" s="63"/>
      <c r="BM19" s="64"/>
      <c r="BQ19" s="61"/>
      <c r="BS19" s="62"/>
      <c r="BT19" s="63"/>
      <c r="BU19" s="64"/>
      <c r="BY19" s="61"/>
      <c r="CA19" s="62"/>
      <c r="CB19" s="63"/>
      <c r="CC19" s="64"/>
      <c r="CG19" s="61"/>
      <c r="CI19" s="62"/>
      <c r="CJ19" s="63"/>
      <c r="CK19" s="64"/>
      <c r="CO19" s="61"/>
      <c r="CQ19" s="62"/>
      <c r="CR19" s="63"/>
      <c r="CS19" s="64"/>
      <c r="CW19" s="61"/>
      <c r="CY19" s="62"/>
      <c r="CZ19" s="63"/>
      <c r="DA19" s="64"/>
      <c r="DE19" s="61"/>
      <c r="DG19" s="62"/>
      <c r="DH19" s="63"/>
      <c r="DI19" s="64"/>
      <c r="DM19" s="61"/>
      <c r="DO19" s="62"/>
      <c r="DP19" s="63"/>
      <c r="DQ19" s="64"/>
      <c r="DU19" s="61"/>
      <c r="DW19" s="62"/>
      <c r="DX19" s="63"/>
      <c r="DY19" s="64"/>
      <c r="EC19" s="61"/>
      <c r="EE19" s="62"/>
      <c r="EF19" s="63"/>
      <c r="EG19" s="64"/>
      <c r="EK19" s="61"/>
      <c r="EM19" s="62"/>
      <c r="EN19" s="63"/>
      <c r="EO19" s="64"/>
      <c r="ES19" s="61"/>
      <c r="EU19" s="62"/>
      <c r="EV19" s="63"/>
      <c r="EW19" s="64"/>
      <c r="FA19" s="61"/>
      <c r="FC19" s="62"/>
      <c r="FD19" s="63"/>
      <c r="FE19" s="64"/>
      <c r="FI19" s="61"/>
      <c r="FK19" s="62"/>
      <c r="FL19" s="63"/>
      <c r="FM19" s="64"/>
      <c r="FQ19" s="61"/>
      <c r="FS19" s="62"/>
      <c r="FT19" s="63"/>
      <c r="FU19" s="64"/>
      <c r="FY19" s="61"/>
      <c r="GA19" s="62"/>
      <c r="GB19" s="63"/>
      <c r="GC19" s="64"/>
      <c r="GG19" s="61"/>
      <c r="GI19" s="62"/>
      <c r="GJ19" s="63"/>
      <c r="GK19" s="64"/>
      <c r="GO19" s="61"/>
      <c r="GQ19" s="62"/>
      <c r="GR19" s="63"/>
      <c r="GS19" s="64"/>
      <c r="GW19" s="61"/>
      <c r="GY19" s="62"/>
      <c r="GZ19" s="63"/>
      <c r="HA19" s="64"/>
      <c r="HE19" s="61"/>
      <c r="HG19" s="62"/>
      <c r="HH19" s="63"/>
      <c r="HI19" s="64"/>
      <c r="HM19" s="61"/>
      <c r="HO19" s="62"/>
      <c r="HP19" s="63"/>
      <c r="HQ19" s="64"/>
      <c r="HU19" s="61"/>
      <c r="HW19" s="62"/>
      <c r="HX19" s="63"/>
      <c r="HY19" s="64"/>
      <c r="IC19" s="61"/>
      <c r="IE19" s="62"/>
      <c r="IF19" s="63"/>
      <c r="IG19" s="64"/>
      <c r="IK19" s="61"/>
      <c r="IM19" s="62"/>
      <c r="IN19" s="63"/>
      <c r="IO19" s="64"/>
      <c r="IS19" s="61"/>
      <c r="IU19" s="62"/>
    </row>
    <row r="20" spans="1:253" s="11" customFormat="1" ht="20.25">
      <c r="A20" s="65"/>
      <c r="B20" s="66"/>
      <c r="C20" s="66"/>
      <c r="D20" s="54"/>
      <c r="E20" s="55"/>
      <c r="F20" s="10"/>
      <c r="G20" s="10"/>
      <c r="I20" s="67"/>
      <c r="Q20" s="67"/>
      <c r="AC20" s="67"/>
      <c r="AK20" s="67"/>
      <c r="AS20" s="67"/>
      <c r="BA20" s="67"/>
      <c r="BI20" s="67"/>
      <c r="BQ20" s="67"/>
      <c r="BY20" s="67"/>
      <c r="CG20" s="67"/>
      <c r="CO20" s="67"/>
      <c r="CW20" s="67"/>
      <c r="DE20" s="67"/>
      <c r="DM20" s="67"/>
      <c r="DU20" s="67"/>
      <c r="EC20" s="67"/>
      <c r="EK20" s="67"/>
      <c r="ES20" s="67"/>
      <c r="FA20" s="67"/>
      <c r="FI20" s="67"/>
      <c r="FQ20" s="67"/>
      <c r="FY20" s="67"/>
      <c r="GG20" s="67"/>
      <c r="GO20" s="67"/>
      <c r="GW20" s="67"/>
      <c r="HE20" s="67"/>
      <c r="HM20" s="67"/>
      <c r="HU20" s="67"/>
      <c r="IC20" s="67"/>
      <c r="IK20" s="67"/>
      <c r="IS20" s="67"/>
    </row>
    <row r="21" spans="1:253" s="11" customFormat="1" ht="15">
      <c r="A21" s="68"/>
      <c r="B21" s="69"/>
      <c r="C21" s="69"/>
      <c r="D21" s="69"/>
      <c r="E21" s="69"/>
      <c r="F21" s="69"/>
      <c r="G21" s="69"/>
      <c r="I21" s="70"/>
      <c r="Q21" s="70"/>
      <c r="AC21" s="70"/>
      <c r="AK21" s="70"/>
      <c r="AS21" s="70"/>
      <c r="BA21" s="70"/>
      <c r="BI21" s="70"/>
      <c r="BQ21" s="70"/>
      <c r="BY21" s="70"/>
      <c r="CG21" s="70"/>
      <c r="CO21" s="70"/>
      <c r="CW21" s="70"/>
      <c r="DE21" s="70"/>
      <c r="DM21" s="70"/>
      <c r="DU21" s="70"/>
      <c r="EC21" s="70"/>
      <c r="EK21" s="70"/>
      <c r="ES21" s="70"/>
      <c r="FA21" s="70"/>
      <c r="FI21" s="70"/>
      <c r="FQ21" s="70"/>
      <c r="FY21" s="70"/>
      <c r="GG21" s="70"/>
      <c r="GO21" s="70"/>
      <c r="GW21" s="70"/>
      <c r="HE21" s="70"/>
      <c r="HM21" s="70"/>
      <c r="HU21" s="70"/>
      <c r="IC21" s="70"/>
      <c r="IK21" s="70"/>
      <c r="IS21" s="70"/>
    </row>
    <row r="22" spans="1:7" s="11" customFormat="1" ht="15">
      <c r="A22" s="71" t="s">
        <v>6</v>
      </c>
      <c r="B22" s="69"/>
      <c r="C22" s="69"/>
      <c r="D22" s="69"/>
      <c r="E22" s="69"/>
      <c r="F22" s="69"/>
      <c r="G22" s="69"/>
    </row>
    <row r="23" spans="1:7" s="11" customFormat="1" ht="14.25">
      <c r="A23" s="71"/>
      <c r="B23" s="69"/>
      <c r="C23" s="69"/>
      <c r="D23" s="69"/>
      <c r="E23" s="69"/>
      <c r="F23" s="69"/>
      <c r="G23" s="69"/>
    </row>
    <row r="24" spans="1:7" s="11" customFormat="1" ht="15">
      <c r="A24" s="71" t="s">
        <v>7</v>
      </c>
      <c r="B24" s="69"/>
      <c r="C24" s="69"/>
      <c r="D24" s="69"/>
      <c r="E24" s="69"/>
      <c r="F24" s="69"/>
      <c r="G24" s="69"/>
    </row>
    <row r="25" spans="1:7" s="11" customFormat="1" ht="14.25">
      <c r="A25" s="71"/>
      <c r="B25" s="69"/>
      <c r="C25" s="69"/>
      <c r="D25" s="69"/>
      <c r="E25" s="69"/>
      <c r="F25" s="69"/>
      <c r="G25" s="69"/>
    </row>
    <row r="26" spans="1:7" s="11" customFormat="1" ht="14.25">
      <c r="A26" s="71" t="s">
        <v>360</v>
      </c>
      <c r="B26" s="69"/>
      <c r="C26" s="69"/>
      <c r="D26" s="69"/>
      <c r="E26" s="69"/>
      <c r="F26" s="69"/>
      <c r="G26" s="69"/>
    </row>
    <row r="27" spans="1:7" s="11" customFormat="1" ht="14.25">
      <c r="A27" s="71" t="s">
        <v>359</v>
      </c>
      <c r="B27" s="69"/>
      <c r="C27" s="69"/>
      <c r="D27" s="69"/>
      <c r="E27" s="69"/>
      <c r="F27" s="69"/>
      <c r="G27" s="69"/>
    </row>
    <row r="28" spans="1:7" s="11" customFormat="1" ht="14.25">
      <c r="A28" s="71"/>
      <c r="B28" s="69"/>
      <c r="C28" s="69"/>
      <c r="D28" s="69"/>
      <c r="E28" s="69"/>
      <c r="F28" s="69"/>
      <c r="G28" s="69"/>
    </row>
    <row r="29" spans="1:7" s="11" customFormat="1" ht="14.25">
      <c r="A29" s="71" t="s">
        <v>344</v>
      </c>
      <c r="B29" s="69"/>
      <c r="C29" s="69"/>
      <c r="D29" s="69"/>
      <c r="E29" s="69"/>
      <c r="F29" s="69"/>
      <c r="G29" s="69"/>
    </row>
    <row r="30" spans="1:7" s="11" customFormat="1" ht="14.25">
      <c r="A30" s="71" t="s">
        <v>345</v>
      </c>
      <c r="B30" s="69"/>
      <c r="C30" s="69"/>
      <c r="D30" s="69"/>
      <c r="E30" s="69"/>
      <c r="F30" s="69"/>
      <c r="G30" s="69"/>
    </row>
    <row r="31" spans="1:7" s="11" customFormat="1" ht="14.25">
      <c r="A31" s="71"/>
      <c r="B31" s="69"/>
      <c r="C31" s="69"/>
      <c r="D31" s="69"/>
      <c r="E31" s="69"/>
      <c r="F31" s="69"/>
      <c r="G31" s="69"/>
    </row>
    <row r="32" spans="1:7" s="11" customFormat="1" ht="14.25">
      <c r="A32" s="71" t="s">
        <v>346</v>
      </c>
      <c r="B32" s="69"/>
      <c r="C32" s="69"/>
      <c r="D32" s="69"/>
      <c r="E32" s="69"/>
      <c r="F32" s="69"/>
      <c r="G32" s="69"/>
    </row>
    <row r="33" spans="1:7" s="11" customFormat="1" ht="14.25">
      <c r="A33" s="71" t="s">
        <v>347</v>
      </c>
      <c r="B33" s="69"/>
      <c r="C33" s="69"/>
      <c r="D33" s="69"/>
      <c r="E33" s="69"/>
      <c r="F33" s="69"/>
      <c r="G33" s="69"/>
    </row>
    <row r="34" spans="1:7" s="11" customFormat="1" ht="14.25">
      <c r="A34" s="71" t="s">
        <v>348</v>
      </c>
      <c r="B34" s="69"/>
      <c r="C34" s="69"/>
      <c r="D34" s="69"/>
      <c r="F34" s="69"/>
      <c r="G34" s="69"/>
    </row>
    <row r="35" spans="1:7" s="11" customFormat="1" ht="15.75">
      <c r="A35" s="71"/>
      <c r="B35" s="72" t="s">
        <v>349</v>
      </c>
      <c r="C35" s="69"/>
      <c r="D35" s="69"/>
      <c r="E35" s="72"/>
      <c r="F35" s="69"/>
      <c r="G35" s="69"/>
    </row>
    <row r="36" spans="1:7" s="11" customFormat="1" ht="15.75">
      <c r="A36" s="71"/>
      <c r="B36" s="72"/>
      <c r="C36" s="69"/>
      <c r="D36" s="69"/>
      <c r="E36" s="72"/>
      <c r="F36" s="69"/>
      <c r="G36" s="69"/>
    </row>
    <row r="37" spans="1:7" s="11" customFormat="1" ht="15.75">
      <c r="A37" s="71" t="s">
        <v>351</v>
      </c>
      <c r="B37" s="72"/>
      <c r="C37" s="69"/>
      <c r="D37" s="69"/>
      <c r="E37" s="72"/>
      <c r="F37" s="69"/>
      <c r="G37" s="69"/>
    </row>
    <row r="38" spans="1:7" s="11" customFormat="1" ht="15.75">
      <c r="A38" s="71" t="s">
        <v>385</v>
      </c>
      <c r="B38" s="72"/>
      <c r="C38" s="69"/>
      <c r="D38" s="69"/>
      <c r="E38" s="72"/>
      <c r="F38" s="69"/>
      <c r="G38" s="69"/>
    </row>
    <row r="39" spans="1:7" s="11" customFormat="1" ht="16.5" thickBot="1">
      <c r="A39" s="71" t="s">
        <v>386</v>
      </c>
      <c r="B39" s="72"/>
      <c r="C39" s="69"/>
      <c r="D39" s="69"/>
      <c r="E39" s="72"/>
      <c r="F39" s="69"/>
      <c r="G39" s="69"/>
    </row>
    <row r="40" spans="1:7" s="11" customFormat="1" ht="16.5" thickBot="1">
      <c r="A40" s="304" t="s">
        <v>350</v>
      </c>
      <c r="B40" s="305"/>
      <c r="C40" s="306"/>
      <c r="D40" s="307"/>
      <c r="E40" s="72"/>
      <c r="F40" s="69"/>
      <c r="G40" s="69"/>
    </row>
    <row r="41" spans="1:6" s="11" customFormat="1" ht="15.75">
      <c r="A41" s="71" t="s">
        <v>387</v>
      </c>
      <c r="B41" s="72"/>
      <c r="C41" s="69"/>
      <c r="D41" s="69"/>
      <c r="E41" s="72"/>
      <c r="F41" s="69"/>
    </row>
    <row r="42" spans="1:7" s="11" customFormat="1" ht="15.75">
      <c r="A42" s="378" t="s">
        <v>404</v>
      </c>
      <c r="B42" s="72"/>
      <c r="C42" s="69"/>
      <c r="D42" s="69"/>
      <c r="E42" s="72"/>
      <c r="F42" s="69"/>
      <c r="G42" s="69"/>
    </row>
    <row r="43" spans="1:7" s="11" customFormat="1" ht="14.25">
      <c r="A43" s="71" t="s">
        <v>8</v>
      </c>
      <c r="B43" s="69"/>
      <c r="C43" s="69"/>
      <c r="D43" s="69"/>
      <c r="E43" s="69"/>
      <c r="F43" s="69"/>
      <c r="G43" s="69"/>
    </row>
    <row r="44" spans="1:7" s="11" customFormat="1" ht="14.25">
      <c r="A44" s="71" t="s">
        <v>9</v>
      </c>
      <c r="B44" s="69"/>
      <c r="C44" s="69"/>
      <c r="D44" s="69"/>
      <c r="E44" s="69"/>
      <c r="F44" s="69"/>
      <c r="G44" s="69"/>
    </row>
    <row r="45" spans="1:7" s="11" customFormat="1" ht="14.25">
      <c r="A45" s="71" t="s">
        <v>10</v>
      </c>
      <c r="B45" s="69"/>
      <c r="C45" s="69"/>
      <c r="D45" s="69"/>
      <c r="E45" s="69"/>
      <c r="F45" s="69"/>
      <c r="G45" s="69"/>
    </row>
    <row r="46" spans="1:7" s="11" customFormat="1" ht="14.25">
      <c r="A46" s="71"/>
      <c r="B46" s="69"/>
      <c r="C46" s="69"/>
      <c r="D46" s="69"/>
      <c r="E46" s="69"/>
      <c r="F46" s="69"/>
      <c r="G46" s="69"/>
    </row>
    <row r="47" spans="1:7" s="11" customFormat="1" ht="14.25">
      <c r="A47" s="71"/>
      <c r="B47" s="69"/>
      <c r="C47" s="69"/>
      <c r="D47" s="69"/>
      <c r="E47" s="69"/>
      <c r="F47" s="69"/>
      <c r="G47" s="69"/>
    </row>
    <row r="48" spans="1:7" s="11" customFormat="1" ht="15">
      <c r="A48" s="68" t="s">
        <v>400</v>
      </c>
      <c r="B48" s="69"/>
      <c r="C48" s="69"/>
      <c r="D48" s="69"/>
      <c r="E48" s="69"/>
      <c r="F48" s="69"/>
      <c r="G48" s="69"/>
    </row>
    <row r="49" spans="1:7" s="11" customFormat="1" ht="14.25">
      <c r="A49" s="71"/>
      <c r="B49" s="69"/>
      <c r="C49" s="69"/>
      <c r="D49" s="69"/>
      <c r="E49" s="69"/>
      <c r="F49" s="69"/>
      <c r="G49" s="69"/>
    </row>
    <row r="50" spans="1:7" s="11" customFormat="1" ht="14.25">
      <c r="A50" s="71" t="s">
        <v>451</v>
      </c>
      <c r="B50" s="69"/>
      <c r="C50" s="69"/>
      <c r="D50" s="69"/>
      <c r="E50" s="69"/>
      <c r="F50" s="69"/>
      <c r="G50" s="69"/>
    </row>
    <row r="51" spans="1:7" s="11" customFormat="1" ht="14.25">
      <c r="A51" s="71"/>
      <c r="B51" s="69"/>
      <c r="C51" s="69"/>
      <c r="D51" s="69"/>
      <c r="E51" s="69"/>
      <c r="F51" s="69"/>
      <c r="G51" s="69"/>
    </row>
    <row r="52" spans="1:7" s="11" customFormat="1" ht="12.75">
      <c r="A52" s="69"/>
      <c r="B52" s="69"/>
      <c r="C52" s="69"/>
      <c r="D52" s="69"/>
      <c r="E52" s="69"/>
      <c r="F52" s="69"/>
      <c r="G52" s="69"/>
    </row>
    <row r="53" s="11" customFormat="1" ht="12.75" hidden="1"/>
    <row r="54" spans="1:9" s="11" customFormat="1" ht="12.75" hidden="1">
      <c r="A54" s="11" t="s">
        <v>402</v>
      </c>
      <c r="B54" s="11">
        <v>0.9842</v>
      </c>
      <c r="C54" s="11" t="s">
        <v>409</v>
      </c>
      <c r="D54" s="11">
        <v>1.2303</v>
      </c>
      <c r="F54" s="395" t="s">
        <v>427</v>
      </c>
      <c r="G54" s="11">
        <v>1.4271</v>
      </c>
      <c r="H54" s="395" t="s">
        <v>430</v>
      </c>
      <c r="I54" s="11">
        <v>1.5127</v>
      </c>
    </row>
    <row r="55" spans="11:207" s="11" customFormat="1" ht="12.75" hidden="1">
      <c r="K55" s="73"/>
      <c r="O55" s="74"/>
      <c r="S55" s="73"/>
      <c r="W55" s="74"/>
      <c r="AA55" s="73"/>
      <c r="AE55" s="74"/>
      <c r="AI55" s="73"/>
      <c r="AM55" s="74"/>
      <c r="AQ55" s="73"/>
      <c r="AU55" s="74"/>
      <c r="AY55" s="73"/>
      <c r="BC55" s="74"/>
      <c r="BG55" s="73"/>
      <c r="BK55" s="74"/>
      <c r="BO55" s="73"/>
      <c r="BS55" s="74"/>
      <c r="BW55" s="73"/>
      <c r="CA55" s="74"/>
      <c r="CE55" s="73"/>
      <c r="CI55" s="74"/>
      <c r="CM55" s="73"/>
      <c r="CQ55" s="74"/>
      <c r="CU55" s="73"/>
      <c r="CY55" s="74"/>
      <c r="DC55" s="73"/>
      <c r="DG55" s="74"/>
      <c r="DK55" s="73"/>
      <c r="DO55" s="74"/>
      <c r="DS55" s="73"/>
      <c r="DW55" s="74"/>
      <c r="EA55" s="73"/>
      <c r="EE55" s="74"/>
      <c r="EI55" s="73"/>
      <c r="EM55" s="74"/>
      <c r="EQ55" s="73"/>
      <c r="EU55" s="74"/>
      <c r="EY55" s="73"/>
      <c r="FC55" s="74"/>
      <c r="FG55" s="73"/>
      <c r="FK55" s="74"/>
      <c r="FO55" s="73"/>
      <c r="FS55" s="74"/>
      <c r="FW55" s="73"/>
      <c r="GA55" s="74"/>
      <c r="GE55" s="73"/>
      <c r="GI55" s="74"/>
      <c r="GM55" s="73"/>
      <c r="GQ55" s="74"/>
      <c r="GU55" s="73"/>
      <c r="GY55" s="74"/>
    </row>
    <row r="56" ht="12.75" hidden="1"/>
    <row r="57" spans="1:9" ht="12.75" hidden="1">
      <c r="A57" s="129" t="s">
        <v>401</v>
      </c>
      <c r="B57" s="374">
        <f>B54*1.222222</f>
        <v>1.2029108923999998</v>
      </c>
      <c r="C57" s="129" t="s">
        <v>410</v>
      </c>
      <c r="D57" s="374">
        <v>1.564</v>
      </c>
      <c r="F57" s="434" t="s">
        <v>428</v>
      </c>
      <c r="G57" s="374">
        <v>2.033</v>
      </c>
      <c r="H57" s="434" t="s">
        <v>431</v>
      </c>
      <c r="I57" s="374">
        <v>2.236</v>
      </c>
    </row>
    <row r="58" ht="12.75" hidden="1"/>
    <row r="59" spans="6:9" ht="12.75" hidden="1">
      <c r="F59" s="434" t="s">
        <v>429</v>
      </c>
      <c r="G59" s="130" t="e">
        <f>LOOKUP(porcantigcargo,porant,cod06cargos24feb12)</f>
        <v>#NAME?</v>
      </c>
      <c r="H59" s="434" t="s">
        <v>432</v>
      </c>
      <c r="I59" s="130">
        <f>LOOKUP(porcantigcargo,porant,cod06cargos24jul12)</f>
        <v>1392</v>
      </c>
    </row>
    <row r="60" spans="1:9" ht="12.75" hidden="1">
      <c r="A60" s="129" t="s">
        <v>412</v>
      </c>
      <c r="B60" s="130" t="e">
        <f>LOOKUP(D175,porant,cod06cargosmar11)</f>
        <v>#NAME?</v>
      </c>
      <c r="H60" s="480" t="s">
        <v>448</v>
      </c>
      <c r="I60" s="10">
        <f>LOOKUP(porcantigcargo,porant,cod06cargosmar13)</f>
        <v>1535</v>
      </c>
    </row>
    <row r="61" spans="8:9" ht="12.75" hidden="1">
      <c r="H61" s="102" t="s">
        <v>449</v>
      </c>
      <c r="I61" s="10" t="e">
        <f>LOOKUP(porcantigcargo,porant,cod06cargossep13)</f>
        <v>#NAME?</v>
      </c>
    </row>
    <row r="62" spans="8:9" ht="12.75" hidden="1">
      <c r="H62" s="395" t="s">
        <v>475</v>
      </c>
      <c r="I62" s="10">
        <f>LOOKUP(porcantigcargo,porant,cod06cargosago13)</f>
        <v>1642</v>
      </c>
    </row>
    <row r="63" spans="6:16" ht="12.75" hidden="1">
      <c r="F63" s="10" t="s">
        <v>440</v>
      </c>
      <c r="G63" s="10">
        <v>1.785</v>
      </c>
      <c r="K63" s="10" t="s">
        <v>441</v>
      </c>
      <c r="L63" s="10">
        <v>1.8386</v>
      </c>
      <c r="M63" s="480" t="s">
        <v>468</v>
      </c>
      <c r="N63" s="10">
        <v>1.8921</v>
      </c>
      <c r="O63" s="480" t="s">
        <v>470</v>
      </c>
      <c r="P63" s="10">
        <v>1.9489</v>
      </c>
    </row>
    <row r="64" spans="2:4" ht="12.75" hidden="1">
      <c r="B64" s="10" t="s">
        <v>391</v>
      </c>
      <c r="C64" s="342">
        <v>0.15</v>
      </c>
      <c r="D64" s="344">
        <f>1+C64</f>
        <v>1.15</v>
      </c>
    </row>
    <row r="65" spans="8:9" ht="12.75" hidden="1">
      <c r="H65" s="395" t="s">
        <v>476</v>
      </c>
      <c r="I65" s="10">
        <f>LOOKUP(porcantigcargo,porant,cod06cargosoct13)</f>
        <v>1691.26</v>
      </c>
    </row>
    <row r="66" spans="2:4" ht="12.75" hidden="1">
      <c r="B66" s="10" t="s">
        <v>392</v>
      </c>
      <c r="C66" s="343">
        <v>0.242</v>
      </c>
      <c r="D66" s="345">
        <f>1+C66</f>
        <v>1.242</v>
      </c>
    </row>
    <row r="67" ht="12.75" hidden="1"/>
    <row r="68" spans="6:16" ht="12.75" hidden="1">
      <c r="F68" s="10" t="s">
        <v>442</v>
      </c>
      <c r="G68" s="10">
        <v>2.683</v>
      </c>
      <c r="K68" s="10" t="s">
        <v>443</v>
      </c>
      <c r="L68" s="10">
        <v>2.763</v>
      </c>
      <c r="M68" s="480" t="s">
        <v>469</v>
      </c>
      <c r="N68" s="10">
        <v>2.844</v>
      </c>
      <c r="O68" s="480" t="s">
        <v>471</v>
      </c>
      <c r="P68" s="10">
        <v>2.929</v>
      </c>
    </row>
    <row r="69" spans="6:14" ht="12.75" hidden="1">
      <c r="F69" s="10" t="s">
        <v>444</v>
      </c>
      <c r="G69" s="10">
        <v>1.16</v>
      </c>
      <c r="M69" s="480" t="s">
        <v>452</v>
      </c>
      <c r="N69" s="10">
        <v>1.2412</v>
      </c>
    </row>
    <row r="70" ht="12.75" hidden="1"/>
    <row r="71" ht="12.75" hidden="1"/>
    <row r="72" ht="12.75" hidden="1"/>
    <row r="73" spans="1:13" ht="15.75" hidden="1">
      <c r="A73" s="11"/>
      <c r="B73" s="178"/>
      <c r="M73" s="10">
        <f>1.16*1.07</f>
        <v>1.2412</v>
      </c>
    </row>
    <row r="74" spans="1:2" ht="15.75" hidden="1">
      <c r="A74" s="11"/>
      <c r="B74" s="178"/>
    </row>
    <row r="75" spans="1:2" ht="15.75" hidden="1">
      <c r="A75" s="11"/>
      <c r="B75" s="178"/>
    </row>
    <row r="76" spans="1:26" ht="15.75" hidden="1">
      <c r="A76" s="134"/>
      <c r="B76" s="135"/>
      <c r="C76" s="136"/>
      <c r="D76" s="373"/>
      <c r="E76" s="136"/>
      <c r="F76" s="136"/>
      <c r="G76" s="135"/>
      <c r="H76" s="136"/>
      <c r="I76" s="2"/>
      <c r="J76" s="2"/>
      <c r="K76" s="2"/>
      <c r="Y76" s="11"/>
      <c r="Z76" s="178"/>
    </row>
    <row r="77" spans="1:26" ht="15.75" hidden="1">
      <c r="A77" s="134"/>
      <c r="B77" s="135"/>
      <c r="C77" s="136"/>
      <c r="D77" s="373"/>
      <c r="E77" s="136"/>
      <c r="F77" s="136"/>
      <c r="G77" s="135"/>
      <c r="H77" s="136"/>
      <c r="I77" s="2"/>
      <c r="J77" s="2"/>
      <c r="K77" s="2"/>
      <c r="Y77" s="11"/>
      <c r="Z77" s="178"/>
    </row>
    <row r="78" spans="1:26" ht="15.75" hidden="1">
      <c r="A78" s="134"/>
      <c r="B78" s="135"/>
      <c r="C78" s="136"/>
      <c r="D78" s="373"/>
      <c r="E78" s="136"/>
      <c r="F78" s="136"/>
      <c r="G78" s="135"/>
      <c r="H78" s="136"/>
      <c r="I78" s="2"/>
      <c r="J78" s="2"/>
      <c r="K78" s="2"/>
      <c r="Y78" s="11"/>
      <c r="Z78" s="178"/>
    </row>
    <row r="79" spans="1:26" ht="20.25" hidden="1">
      <c r="A79" s="134"/>
      <c r="B79" s="135"/>
      <c r="C79" s="136"/>
      <c r="D79" s="373"/>
      <c r="E79" s="433" t="s">
        <v>433</v>
      </c>
      <c r="F79" s="136"/>
      <c r="G79" s="135"/>
      <c r="H79" s="136"/>
      <c r="I79" s="2"/>
      <c r="J79" s="2"/>
      <c r="K79" s="2"/>
      <c r="Y79" s="11"/>
      <c r="Z79" s="178"/>
    </row>
    <row r="80" spans="1:26" ht="16.5" hidden="1" thickBot="1">
      <c r="A80" s="134"/>
      <c r="B80" s="135"/>
      <c r="C80" s="136"/>
      <c r="D80" s="373"/>
      <c r="E80" s="136"/>
      <c r="F80" s="136"/>
      <c r="G80" s="135"/>
      <c r="H80" s="136"/>
      <c r="I80" s="2"/>
      <c r="J80" s="2"/>
      <c r="K80" s="2"/>
      <c r="Y80" s="11"/>
      <c r="Z80" s="178"/>
    </row>
    <row r="81" spans="1:26" ht="17.25" hidden="1" thickBot="1" thickTop="1">
      <c r="A81" s="134"/>
      <c r="B81" s="135"/>
      <c r="C81" s="192" t="s">
        <v>371</v>
      </c>
      <c r="D81" s="10" t="s">
        <v>373</v>
      </c>
      <c r="E81" s="10" t="s">
        <v>374</v>
      </c>
      <c r="F81" s="127" t="s">
        <v>375</v>
      </c>
      <c r="G81" s="127" t="s">
        <v>376</v>
      </c>
      <c r="H81" s="127" t="s">
        <v>377</v>
      </c>
      <c r="I81" s="127" t="s">
        <v>378</v>
      </c>
      <c r="J81" s="127" t="s">
        <v>379</v>
      </c>
      <c r="K81" s="127" t="s">
        <v>380</v>
      </c>
      <c r="Y81" s="11"/>
      <c r="Z81" s="178"/>
    </row>
    <row r="82" spans="1:26" ht="15.75" hidden="1">
      <c r="A82" s="134"/>
      <c r="B82" s="193">
        <v>0</v>
      </c>
      <c r="C82" s="194">
        <f aca="true" t="shared" si="0" ref="C82:C93">IF(puntosproljor&lt;620,Q82,L82)</f>
        <v>555</v>
      </c>
      <c r="D82" s="461">
        <v>555</v>
      </c>
      <c r="E82" s="461">
        <v>151</v>
      </c>
      <c r="F82" s="461">
        <v>0</v>
      </c>
      <c r="G82" s="461">
        <v>0</v>
      </c>
      <c r="H82" s="461">
        <v>0</v>
      </c>
      <c r="I82" s="461">
        <v>0</v>
      </c>
      <c r="J82" s="461">
        <v>151</v>
      </c>
      <c r="K82" s="461">
        <v>151</v>
      </c>
      <c r="L82" s="132">
        <f aca="true" t="shared" si="1" ref="L82:L93">IF(PUNTOSbasicos&gt;971,K82,J82)</f>
        <v>151</v>
      </c>
      <c r="M82" s="132">
        <f aca="true" t="shared" si="2" ref="M82:M93">IF(PUNTOSbasicos&lt;972,D82,E82)</f>
        <v>555</v>
      </c>
      <c r="N82" s="132">
        <f aca="true" t="shared" si="3" ref="N82:N93">IF(PUNTOSbasicos&lt;1170,M82,F82)</f>
        <v>555</v>
      </c>
      <c r="O82" s="132">
        <f aca="true" t="shared" si="4" ref="O82:O93">IF(PUNTOSbasicos&lt;1401,N82,G82)</f>
        <v>555</v>
      </c>
      <c r="P82" s="132">
        <f aca="true" t="shared" si="5" ref="P82:P93">IF(PUNTOSbasicos&lt;1943,O82,H82)</f>
        <v>555</v>
      </c>
      <c r="Q82" s="132">
        <f aca="true" t="shared" si="6" ref="Q82:Q93">IF(PUNTOSbasicos&lt;=2220,P82,I82)</f>
        <v>555</v>
      </c>
      <c r="Y82" s="11"/>
      <c r="Z82" s="178"/>
    </row>
    <row r="83" spans="1:26" ht="15.75" hidden="1">
      <c r="A83" s="134"/>
      <c r="B83" s="195">
        <v>0.1</v>
      </c>
      <c r="C83" s="194">
        <f t="shared" si="0"/>
        <v>818</v>
      </c>
      <c r="D83" s="461">
        <v>818</v>
      </c>
      <c r="E83" s="461">
        <v>170</v>
      </c>
      <c r="F83" s="461">
        <v>0</v>
      </c>
      <c r="G83" s="461">
        <v>0</v>
      </c>
      <c r="H83" s="461">
        <v>0</v>
      </c>
      <c r="I83" s="461">
        <v>0</v>
      </c>
      <c r="J83" s="461">
        <v>170</v>
      </c>
      <c r="K83" s="461">
        <v>170</v>
      </c>
      <c r="L83" s="132">
        <f t="shared" si="1"/>
        <v>170</v>
      </c>
      <c r="M83" s="132">
        <f t="shared" si="2"/>
        <v>818</v>
      </c>
      <c r="N83" s="132">
        <f t="shared" si="3"/>
        <v>818</v>
      </c>
      <c r="O83" s="132">
        <f t="shared" si="4"/>
        <v>818</v>
      </c>
      <c r="P83" s="132">
        <f t="shared" si="5"/>
        <v>818</v>
      </c>
      <c r="Q83" s="132">
        <f t="shared" si="6"/>
        <v>818</v>
      </c>
      <c r="Y83" s="11"/>
      <c r="Z83" s="178"/>
    </row>
    <row r="84" spans="1:26" ht="15.75" hidden="1">
      <c r="A84" s="134"/>
      <c r="B84" s="196">
        <v>0.15</v>
      </c>
      <c r="C84" s="194">
        <f t="shared" si="0"/>
        <v>982</v>
      </c>
      <c r="D84" s="461">
        <v>982</v>
      </c>
      <c r="E84" s="461">
        <v>343</v>
      </c>
      <c r="F84" s="461">
        <v>456</v>
      </c>
      <c r="G84" s="461">
        <v>366</v>
      </c>
      <c r="H84" s="461">
        <v>343</v>
      </c>
      <c r="I84" s="461">
        <v>0</v>
      </c>
      <c r="J84" s="461">
        <v>417</v>
      </c>
      <c r="K84" s="461">
        <v>417</v>
      </c>
      <c r="L84" s="132">
        <f t="shared" si="1"/>
        <v>417</v>
      </c>
      <c r="M84" s="132">
        <f t="shared" si="2"/>
        <v>982</v>
      </c>
      <c r="N84" s="132">
        <f t="shared" si="3"/>
        <v>982</v>
      </c>
      <c r="O84" s="132">
        <f t="shared" si="4"/>
        <v>982</v>
      </c>
      <c r="P84" s="132">
        <f t="shared" si="5"/>
        <v>982</v>
      </c>
      <c r="Q84" s="132">
        <f t="shared" si="6"/>
        <v>982</v>
      </c>
      <c r="Y84" s="11"/>
      <c r="Z84" s="178"/>
    </row>
    <row r="85" spans="1:26" ht="15.75" hidden="1">
      <c r="A85" s="134"/>
      <c r="B85" s="196">
        <v>0.3</v>
      </c>
      <c r="C85" s="194">
        <f t="shared" si="0"/>
        <v>1050</v>
      </c>
      <c r="D85" s="461">
        <v>1050</v>
      </c>
      <c r="E85" s="461">
        <v>370</v>
      </c>
      <c r="F85" s="461">
        <v>456</v>
      </c>
      <c r="G85" s="461">
        <v>366</v>
      </c>
      <c r="H85" s="461">
        <v>343</v>
      </c>
      <c r="I85" s="461">
        <v>0</v>
      </c>
      <c r="J85" s="461">
        <v>722</v>
      </c>
      <c r="K85" s="461">
        <v>664</v>
      </c>
      <c r="L85" s="132">
        <f t="shared" si="1"/>
        <v>722</v>
      </c>
      <c r="M85" s="132">
        <f t="shared" si="2"/>
        <v>1050</v>
      </c>
      <c r="N85" s="132">
        <f t="shared" si="3"/>
        <v>1050</v>
      </c>
      <c r="O85" s="132">
        <f t="shared" si="4"/>
        <v>1050</v>
      </c>
      <c r="P85" s="132">
        <f t="shared" si="5"/>
        <v>1050</v>
      </c>
      <c r="Q85" s="132">
        <f t="shared" si="6"/>
        <v>1050</v>
      </c>
      <c r="Y85" s="11"/>
      <c r="Z85" s="178"/>
    </row>
    <row r="86" spans="1:26" ht="15.75" hidden="1">
      <c r="A86" s="134"/>
      <c r="B86" s="196">
        <v>0.4</v>
      </c>
      <c r="C86" s="194">
        <f t="shared" si="0"/>
        <v>940</v>
      </c>
      <c r="D86" s="461">
        <v>940</v>
      </c>
      <c r="E86" s="461">
        <v>399</v>
      </c>
      <c r="F86" s="461">
        <v>476</v>
      </c>
      <c r="G86" s="461">
        <v>379</v>
      </c>
      <c r="H86" s="461">
        <v>343</v>
      </c>
      <c r="I86" s="461">
        <v>266</v>
      </c>
      <c r="J86" s="461">
        <v>836</v>
      </c>
      <c r="K86" s="461">
        <v>760</v>
      </c>
      <c r="L86" s="132">
        <f t="shared" si="1"/>
        <v>836</v>
      </c>
      <c r="M86" s="132">
        <f t="shared" si="2"/>
        <v>940</v>
      </c>
      <c r="N86" s="132">
        <f t="shared" si="3"/>
        <v>940</v>
      </c>
      <c r="O86" s="132">
        <f t="shared" si="4"/>
        <v>940</v>
      </c>
      <c r="P86" s="132">
        <f t="shared" si="5"/>
        <v>940</v>
      </c>
      <c r="Q86" s="132">
        <f t="shared" si="6"/>
        <v>940</v>
      </c>
      <c r="Y86" s="11"/>
      <c r="Z86" s="178"/>
    </row>
    <row r="87" spans="1:26" ht="15.75" hidden="1">
      <c r="A87" s="134"/>
      <c r="B87" s="196">
        <v>0.5</v>
      </c>
      <c r="C87" s="194">
        <f t="shared" si="0"/>
        <v>808</v>
      </c>
      <c r="D87" s="461">
        <v>808</v>
      </c>
      <c r="E87" s="461">
        <v>437</v>
      </c>
      <c r="F87" s="461">
        <v>476</v>
      </c>
      <c r="G87" s="461">
        <v>379</v>
      </c>
      <c r="H87" s="461">
        <v>343</v>
      </c>
      <c r="I87" s="461">
        <v>266</v>
      </c>
      <c r="J87" s="461">
        <v>902</v>
      </c>
      <c r="K87" s="461">
        <v>826</v>
      </c>
      <c r="L87" s="132">
        <f t="shared" si="1"/>
        <v>902</v>
      </c>
      <c r="M87" s="132">
        <f t="shared" si="2"/>
        <v>808</v>
      </c>
      <c r="N87" s="132">
        <f t="shared" si="3"/>
        <v>808</v>
      </c>
      <c r="O87" s="132">
        <f t="shared" si="4"/>
        <v>808</v>
      </c>
      <c r="P87" s="132">
        <f t="shared" si="5"/>
        <v>808</v>
      </c>
      <c r="Q87" s="132">
        <f t="shared" si="6"/>
        <v>808</v>
      </c>
      <c r="Y87" s="11"/>
      <c r="Z87" s="178"/>
    </row>
    <row r="88" spans="1:26" ht="15.75" hidden="1">
      <c r="A88" s="134"/>
      <c r="B88" s="196">
        <v>0.6</v>
      </c>
      <c r="C88" s="194">
        <f t="shared" si="0"/>
        <v>813</v>
      </c>
      <c r="D88" s="461">
        <v>813</v>
      </c>
      <c r="E88" s="461">
        <v>494</v>
      </c>
      <c r="F88" s="461">
        <v>494</v>
      </c>
      <c r="G88" s="461">
        <v>386</v>
      </c>
      <c r="H88" s="461">
        <v>361</v>
      </c>
      <c r="I88" s="461">
        <v>303</v>
      </c>
      <c r="J88" s="461">
        <v>969</v>
      </c>
      <c r="K88" s="461">
        <v>855</v>
      </c>
      <c r="L88" s="132">
        <f t="shared" si="1"/>
        <v>969</v>
      </c>
      <c r="M88" s="132">
        <f t="shared" si="2"/>
        <v>813</v>
      </c>
      <c r="N88" s="132">
        <f t="shared" si="3"/>
        <v>813</v>
      </c>
      <c r="O88" s="132">
        <f t="shared" si="4"/>
        <v>813</v>
      </c>
      <c r="P88" s="132">
        <f t="shared" si="5"/>
        <v>813</v>
      </c>
      <c r="Q88" s="132">
        <f t="shared" si="6"/>
        <v>813</v>
      </c>
      <c r="Y88" s="11"/>
      <c r="Z88" s="178"/>
    </row>
    <row r="89" spans="1:26" ht="15.75" hidden="1">
      <c r="A89" s="134"/>
      <c r="B89" s="196">
        <v>0.7</v>
      </c>
      <c r="C89" s="194">
        <f t="shared" si="0"/>
        <v>774</v>
      </c>
      <c r="D89" s="461">
        <v>774</v>
      </c>
      <c r="E89" s="461">
        <v>541</v>
      </c>
      <c r="F89" s="461">
        <v>693</v>
      </c>
      <c r="G89" s="461">
        <v>437</v>
      </c>
      <c r="H89" s="461">
        <v>361</v>
      </c>
      <c r="I89" s="461">
        <v>303</v>
      </c>
      <c r="J89" s="461">
        <v>998</v>
      </c>
      <c r="K89" s="461">
        <v>884</v>
      </c>
      <c r="L89" s="132">
        <f t="shared" si="1"/>
        <v>998</v>
      </c>
      <c r="M89" s="132">
        <f t="shared" si="2"/>
        <v>774</v>
      </c>
      <c r="N89" s="132">
        <f t="shared" si="3"/>
        <v>774</v>
      </c>
      <c r="O89" s="132">
        <f t="shared" si="4"/>
        <v>774</v>
      </c>
      <c r="P89" s="132">
        <f t="shared" si="5"/>
        <v>774</v>
      </c>
      <c r="Q89" s="132">
        <f t="shared" si="6"/>
        <v>774</v>
      </c>
      <c r="Y89" s="11"/>
      <c r="Z89" s="178"/>
    </row>
    <row r="90" spans="1:26" ht="15.75" hidden="1">
      <c r="A90" s="134"/>
      <c r="B90" s="196">
        <v>0.8</v>
      </c>
      <c r="C90" s="194">
        <f t="shared" si="0"/>
        <v>946</v>
      </c>
      <c r="D90" s="461">
        <v>946</v>
      </c>
      <c r="E90" s="461">
        <v>656</v>
      </c>
      <c r="F90" s="461">
        <v>751</v>
      </c>
      <c r="G90" s="461">
        <v>645</v>
      </c>
      <c r="H90" s="461">
        <v>531</v>
      </c>
      <c r="I90" s="461">
        <v>343</v>
      </c>
      <c r="J90" s="461">
        <v>1054</v>
      </c>
      <c r="K90" s="461">
        <v>902</v>
      </c>
      <c r="L90" s="132">
        <f t="shared" si="1"/>
        <v>1054</v>
      </c>
      <c r="M90" s="132">
        <f t="shared" si="2"/>
        <v>946</v>
      </c>
      <c r="N90" s="132">
        <f t="shared" si="3"/>
        <v>946</v>
      </c>
      <c r="O90" s="132">
        <f t="shared" si="4"/>
        <v>946</v>
      </c>
      <c r="P90" s="132">
        <f t="shared" si="5"/>
        <v>946</v>
      </c>
      <c r="Q90" s="132">
        <f t="shared" si="6"/>
        <v>946</v>
      </c>
      <c r="Y90" s="11"/>
      <c r="Z90" s="178"/>
    </row>
    <row r="91" spans="1:26" ht="15.75" hidden="1">
      <c r="A91" s="134"/>
      <c r="B91" s="196">
        <v>1</v>
      </c>
      <c r="C91" s="194">
        <f t="shared" si="0"/>
        <v>1192</v>
      </c>
      <c r="D91" s="461">
        <v>1192</v>
      </c>
      <c r="E91" s="461">
        <v>826</v>
      </c>
      <c r="F91" s="461">
        <v>778</v>
      </c>
      <c r="G91" s="461">
        <v>627</v>
      </c>
      <c r="H91" s="461">
        <v>589</v>
      </c>
      <c r="I91" s="461">
        <v>343</v>
      </c>
      <c r="J91" s="461">
        <v>1121</v>
      </c>
      <c r="K91" s="461">
        <v>930</v>
      </c>
      <c r="L91" s="132">
        <f t="shared" si="1"/>
        <v>1121</v>
      </c>
      <c r="M91" s="132">
        <f t="shared" si="2"/>
        <v>1192</v>
      </c>
      <c r="N91" s="132">
        <f t="shared" si="3"/>
        <v>1192</v>
      </c>
      <c r="O91" s="132">
        <f t="shared" si="4"/>
        <v>1192</v>
      </c>
      <c r="P91" s="132">
        <f t="shared" si="5"/>
        <v>1192</v>
      </c>
      <c r="Q91" s="132">
        <f t="shared" si="6"/>
        <v>1192</v>
      </c>
      <c r="Y91" s="11"/>
      <c r="Z91" s="178"/>
    </row>
    <row r="92" spans="1:26" ht="15.75" hidden="1">
      <c r="A92" s="134"/>
      <c r="B92" s="196">
        <v>1.1</v>
      </c>
      <c r="C92" s="194">
        <f t="shared" si="0"/>
        <v>1344</v>
      </c>
      <c r="D92" s="461">
        <v>1344</v>
      </c>
      <c r="E92" s="461">
        <v>941</v>
      </c>
      <c r="F92" s="461">
        <v>817</v>
      </c>
      <c r="G92" s="461">
        <v>627</v>
      </c>
      <c r="H92" s="461">
        <v>608</v>
      </c>
      <c r="I92" s="461">
        <v>361</v>
      </c>
      <c r="J92" s="461">
        <v>1168</v>
      </c>
      <c r="K92" s="461">
        <v>959</v>
      </c>
      <c r="L92" s="132">
        <f t="shared" si="1"/>
        <v>1168</v>
      </c>
      <c r="M92" s="132">
        <f t="shared" si="2"/>
        <v>1344</v>
      </c>
      <c r="N92" s="132">
        <f t="shared" si="3"/>
        <v>1344</v>
      </c>
      <c r="O92" s="132">
        <f t="shared" si="4"/>
        <v>1344</v>
      </c>
      <c r="P92" s="132">
        <f t="shared" si="5"/>
        <v>1344</v>
      </c>
      <c r="Q92" s="132">
        <f t="shared" si="6"/>
        <v>1344</v>
      </c>
      <c r="Y92" s="11"/>
      <c r="Z92" s="178"/>
    </row>
    <row r="93" spans="1:26" ht="16.5" hidden="1" thickBot="1">
      <c r="A93" s="134"/>
      <c r="B93" s="197">
        <v>1.2</v>
      </c>
      <c r="C93" s="198">
        <f t="shared" si="0"/>
        <v>1392</v>
      </c>
      <c r="D93" s="461">
        <v>1392</v>
      </c>
      <c r="E93" s="461">
        <v>969</v>
      </c>
      <c r="F93" s="461">
        <v>911</v>
      </c>
      <c r="G93" s="461">
        <v>636</v>
      </c>
      <c r="H93" s="461">
        <v>627</v>
      </c>
      <c r="I93" s="461">
        <v>361</v>
      </c>
      <c r="J93" s="461">
        <v>1178</v>
      </c>
      <c r="K93" s="461">
        <v>969</v>
      </c>
      <c r="L93" s="132">
        <f t="shared" si="1"/>
        <v>1178</v>
      </c>
      <c r="M93" s="132">
        <f t="shared" si="2"/>
        <v>1392</v>
      </c>
      <c r="N93" s="132">
        <f t="shared" si="3"/>
        <v>1392</v>
      </c>
      <c r="O93" s="132">
        <f t="shared" si="4"/>
        <v>1392</v>
      </c>
      <c r="P93" s="132">
        <f t="shared" si="5"/>
        <v>1392</v>
      </c>
      <c r="Q93" s="132">
        <f t="shared" si="6"/>
        <v>1392</v>
      </c>
      <c r="Y93" s="11"/>
      <c r="Z93" s="178"/>
    </row>
    <row r="94" spans="1:26" ht="15.75" hidden="1">
      <c r="A94" s="134"/>
      <c r="B94" s="135"/>
      <c r="C94" s="136"/>
      <c r="D94" s="373"/>
      <c r="E94" s="136"/>
      <c r="F94" s="136"/>
      <c r="G94" s="135"/>
      <c r="H94" s="136"/>
      <c r="I94" s="2"/>
      <c r="J94" s="2"/>
      <c r="K94" s="2"/>
      <c r="Y94" s="11"/>
      <c r="Z94" s="178"/>
    </row>
    <row r="95" spans="1:26" ht="21" hidden="1" thickBot="1">
      <c r="A95" s="134"/>
      <c r="B95" s="135"/>
      <c r="D95" s="70"/>
      <c r="E95" s="107"/>
      <c r="F95" s="479">
        <v>41334</v>
      </c>
      <c r="G95" s="468"/>
      <c r="Y95" s="11"/>
      <c r="Z95" s="178"/>
    </row>
    <row r="96" spans="1:26" ht="16.5" hidden="1" thickTop="1">
      <c r="A96" s="134"/>
      <c r="B96" s="135"/>
      <c r="C96" s="469" t="s">
        <v>371</v>
      </c>
      <c r="D96" s="17" t="s">
        <v>373</v>
      </c>
      <c r="E96" s="17" t="s">
        <v>374</v>
      </c>
      <c r="F96" s="470" t="s">
        <v>375</v>
      </c>
      <c r="G96" s="471" t="s">
        <v>376</v>
      </c>
      <c r="H96" s="470" t="s">
        <v>377</v>
      </c>
      <c r="I96" s="470" t="s">
        <v>378</v>
      </c>
      <c r="J96" s="470" t="s">
        <v>379</v>
      </c>
      <c r="K96" s="470" t="s">
        <v>380</v>
      </c>
      <c r="L96" s="131" t="s">
        <v>381</v>
      </c>
      <c r="M96" s="131">
        <v>1</v>
      </c>
      <c r="N96" s="131">
        <v>2</v>
      </c>
      <c r="O96" s="131">
        <v>3</v>
      </c>
      <c r="P96" s="131">
        <v>4</v>
      </c>
      <c r="Q96" s="131">
        <v>5</v>
      </c>
      <c r="Y96" s="11"/>
      <c r="Z96" s="178"/>
    </row>
    <row r="97" spans="1:26" ht="15.75" hidden="1">
      <c r="A97" s="134"/>
      <c r="B97" s="135"/>
      <c r="C97" s="472">
        <f aca="true" t="shared" si="7" ref="C97:C108">IF(puntosproljor&lt;620,Q97,L97)</f>
        <v>563</v>
      </c>
      <c r="D97" s="461">
        <v>563</v>
      </c>
      <c r="E97" s="461">
        <v>176</v>
      </c>
      <c r="F97" s="461">
        <v>0</v>
      </c>
      <c r="G97" s="473">
        <v>0</v>
      </c>
      <c r="H97" s="461">
        <v>0</v>
      </c>
      <c r="I97" s="461">
        <v>0</v>
      </c>
      <c r="J97" s="461">
        <v>176</v>
      </c>
      <c r="K97" s="461">
        <v>176</v>
      </c>
      <c r="L97" s="474">
        <f aca="true" t="shared" si="8" ref="L97:L108">IF(PUNTOSbasicos&gt;971,K97,J97)</f>
        <v>176</v>
      </c>
      <c r="M97" s="132">
        <f aca="true" t="shared" si="9" ref="M97:M108">IF(PUNTOSbasicos&lt;972,D97,E97)</f>
        <v>563</v>
      </c>
      <c r="N97" s="132">
        <f aca="true" t="shared" si="10" ref="N97:N108">IF(PUNTOSbasicos&lt;1170,M97,F97)</f>
        <v>563</v>
      </c>
      <c r="O97" s="132">
        <f aca="true" t="shared" si="11" ref="O97:O108">IF(PUNTOSbasicos&lt;1401,N97,G97)</f>
        <v>563</v>
      </c>
      <c r="P97" s="132">
        <f aca="true" t="shared" si="12" ref="P97:P108">IF(PUNTOSbasicos&lt;1943,O97,H97)</f>
        <v>563</v>
      </c>
      <c r="Q97" s="132">
        <f aca="true" t="shared" si="13" ref="Q97:Q108">IF(PUNTOSbasicos&lt;=2220,P97,I97)</f>
        <v>563</v>
      </c>
      <c r="Y97" s="11"/>
      <c r="Z97" s="178"/>
    </row>
    <row r="98" spans="1:26" ht="15.75" hidden="1">
      <c r="A98" s="134"/>
      <c r="B98" s="135"/>
      <c r="C98" s="472">
        <f t="shared" si="7"/>
        <v>868</v>
      </c>
      <c r="D98" s="461">
        <v>868</v>
      </c>
      <c r="E98" s="461">
        <v>198</v>
      </c>
      <c r="F98" s="461">
        <v>0</v>
      </c>
      <c r="G98" s="473">
        <v>0</v>
      </c>
      <c r="H98" s="461">
        <v>0</v>
      </c>
      <c r="I98" s="461">
        <v>0</v>
      </c>
      <c r="J98" s="461">
        <v>198</v>
      </c>
      <c r="K98" s="461">
        <v>198</v>
      </c>
      <c r="L98" s="474">
        <f t="shared" si="8"/>
        <v>198</v>
      </c>
      <c r="M98" s="132">
        <f t="shared" si="9"/>
        <v>868</v>
      </c>
      <c r="N98" s="132">
        <f t="shared" si="10"/>
        <v>868</v>
      </c>
      <c r="O98" s="132">
        <f t="shared" si="11"/>
        <v>868</v>
      </c>
      <c r="P98" s="132">
        <f t="shared" si="12"/>
        <v>868</v>
      </c>
      <c r="Q98" s="132">
        <f t="shared" si="13"/>
        <v>868</v>
      </c>
      <c r="Y98" s="11"/>
      <c r="Z98" s="178"/>
    </row>
    <row r="99" spans="1:26" ht="15.75" hidden="1">
      <c r="A99" s="134"/>
      <c r="B99" s="135"/>
      <c r="C99" s="472">
        <f t="shared" si="7"/>
        <v>1059</v>
      </c>
      <c r="D99" s="461">
        <v>1059</v>
      </c>
      <c r="E99" s="461">
        <v>397</v>
      </c>
      <c r="F99" s="461">
        <v>529</v>
      </c>
      <c r="G99" s="473">
        <v>425</v>
      </c>
      <c r="H99" s="461">
        <v>397</v>
      </c>
      <c r="I99" s="461">
        <v>0</v>
      </c>
      <c r="J99" s="461">
        <v>484</v>
      </c>
      <c r="K99" s="461">
        <v>484</v>
      </c>
      <c r="L99" s="474">
        <f t="shared" si="8"/>
        <v>484</v>
      </c>
      <c r="M99" s="132">
        <f t="shared" si="9"/>
        <v>1059</v>
      </c>
      <c r="N99" s="132">
        <f t="shared" si="10"/>
        <v>1059</v>
      </c>
      <c r="O99" s="132">
        <f t="shared" si="11"/>
        <v>1059</v>
      </c>
      <c r="P99" s="132">
        <f t="shared" si="12"/>
        <v>1059</v>
      </c>
      <c r="Q99" s="132">
        <f t="shared" si="13"/>
        <v>1059</v>
      </c>
      <c r="Y99" s="11"/>
      <c r="Z99" s="178"/>
    </row>
    <row r="100" spans="1:26" ht="15.75" hidden="1">
      <c r="A100" s="134"/>
      <c r="B100" s="135"/>
      <c r="C100" s="472">
        <f t="shared" si="7"/>
        <v>1138</v>
      </c>
      <c r="D100" s="461">
        <v>1138</v>
      </c>
      <c r="E100" s="461">
        <v>429</v>
      </c>
      <c r="F100" s="461">
        <v>529</v>
      </c>
      <c r="G100" s="473">
        <v>425</v>
      </c>
      <c r="H100" s="461">
        <v>397</v>
      </c>
      <c r="I100" s="461">
        <v>0</v>
      </c>
      <c r="J100" s="461">
        <v>837</v>
      </c>
      <c r="K100" s="461">
        <v>771</v>
      </c>
      <c r="L100" s="474">
        <f t="shared" si="8"/>
        <v>837</v>
      </c>
      <c r="M100" s="132">
        <f t="shared" si="9"/>
        <v>1138</v>
      </c>
      <c r="N100" s="132">
        <f t="shared" si="10"/>
        <v>1138</v>
      </c>
      <c r="O100" s="132">
        <f t="shared" si="11"/>
        <v>1138</v>
      </c>
      <c r="P100" s="132">
        <f t="shared" si="12"/>
        <v>1138</v>
      </c>
      <c r="Q100" s="132">
        <f t="shared" si="13"/>
        <v>1138</v>
      </c>
      <c r="Y100" s="11"/>
      <c r="Z100" s="178"/>
    </row>
    <row r="101" spans="1:26" ht="15.75" hidden="1">
      <c r="A101" s="134"/>
      <c r="B101" s="135"/>
      <c r="C101" s="472">
        <f t="shared" si="7"/>
        <v>1010</v>
      </c>
      <c r="D101" s="461">
        <v>1010</v>
      </c>
      <c r="E101" s="461">
        <v>463</v>
      </c>
      <c r="F101" s="461">
        <v>552</v>
      </c>
      <c r="G101" s="473">
        <v>440</v>
      </c>
      <c r="H101" s="461">
        <v>397</v>
      </c>
      <c r="I101" s="461">
        <v>308.56</v>
      </c>
      <c r="J101" s="461">
        <v>970</v>
      </c>
      <c r="K101" s="461">
        <v>882</v>
      </c>
      <c r="L101" s="474">
        <f t="shared" si="8"/>
        <v>970</v>
      </c>
      <c r="M101" s="132">
        <f t="shared" si="9"/>
        <v>1010</v>
      </c>
      <c r="N101" s="132">
        <f t="shared" si="10"/>
        <v>1010</v>
      </c>
      <c r="O101" s="132">
        <f t="shared" si="11"/>
        <v>1010</v>
      </c>
      <c r="P101" s="132">
        <f t="shared" si="12"/>
        <v>1010</v>
      </c>
      <c r="Q101" s="132">
        <f t="shared" si="13"/>
        <v>1010</v>
      </c>
      <c r="Y101" s="11"/>
      <c r="Z101" s="178"/>
    </row>
    <row r="102" spans="1:26" ht="15.75" hidden="1">
      <c r="A102" s="134"/>
      <c r="B102" s="135"/>
      <c r="C102" s="472">
        <f t="shared" si="7"/>
        <v>858</v>
      </c>
      <c r="D102" s="461">
        <v>858</v>
      </c>
      <c r="E102" s="461">
        <v>507</v>
      </c>
      <c r="F102" s="461">
        <v>552</v>
      </c>
      <c r="G102" s="473">
        <v>440</v>
      </c>
      <c r="H102" s="461">
        <v>397</v>
      </c>
      <c r="I102" s="461">
        <v>308.56</v>
      </c>
      <c r="J102" s="461">
        <v>1047</v>
      </c>
      <c r="K102" s="461">
        <v>958</v>
      </c>
      <c r="L102" s="474">
        <f t="shared" si="8"/>
        <v>1047</v>
      </c>
      <c r="M102" s="132">
        <f t="shared" si="9"/>
        <v>858</v>
      </c>
      <c r="N102" s="132">
        <f t="shared" si="10"/>
        <v>858</v>
      </c>
      <c r="O102" s="132">
        <f t="shared" si="11"/>
        <v>858</v>
      </c>
      <c r="P102" s="132">
        <f t="shared" si="12"/>
        <v>858</v>
      </c>
      <c r="Q102" s="132">
        <f t="shared" si="13"/>
        <v>858</v>
      </c>
      <c r="Y102" s="11"/>
      <c r="Z102" s="178"/>
    </row>
    <row r="103" spans="1:26" ht="15.75" hidden="1">
      <c r="A103" s="134"/>
      <c r="B103" s="135"/>
      <c r="C103" s="472">
        <f t="shared" si="7"/>
        <v>863</v>
      </c>
      <c r="D103" s="461">
        <v>863</v>
      </c>
      <c r="E103" s="461">
        <v>573</v>
      </c>
      <c r="F103" s="461">
        <v>573</v>
      </c>
      <c r="G103" s="473">
        <v>448</v>
      </c>
      <c r="H103" s="461">
        <v>419</v>
      </c>
      <c r="I103" s="461">
        <v>351.47999999999996</v>
      </c>
      <c r="J103" s="461">
        <v>1124</v>
      </c>
      <c r="K103" s="461">
        <v>992</v>
      </c>
      <c r="L103" s="474">
        <f t="shared" si="8"/>
        <v>1124</v>
      </c>
      <c r="M103" s="132">
        <f t="shared" si="9"/>
        <v>863</v>
      </c>
      <c r="N103" s="132">
        <f t="shared" si="10"/>
        <v>863</v>
      </c>
      <c r="O103" s="132">
        <f t="shared" si="11"/>
        <v>863</v>
      </c>
      <c r="P103" s="132">
        <f t="shared" si="12"/>
        <v>863</v>
      </c>
      <c r="Q103" s="132">
        <f t="shared" si="13"/>
        <v>863</v>
      </c>
      <c r="Y103" s="11"/>
      <c r="Z103" s="178"/>
    </row>
    <row r="104" spans="1:26" ht="15.75" hidden="1">
      <c r="A104" s="134"/>
      <c r="B104" s="135"/>
      <c r="C104" s="472">
        <f t="shared" si="7"/>
        <v>818</v>
      </c>
      <c r="D104" s="461">
        <v>818</v>
      </c>
      <c r="E104" s="461">
        <v>628</v>
      </c>
      <c r="F104" s="461">
        <v>804</v>
      </c>
      <c r="G104" s="473">
        <v>507</v>
      </c>
      <c r="H104" s="461">
        <v>419</v>
      </c>
      <c r="I104" s="461">
        <v>351.47999999999996</v>
      </c>
      <c r="J104" s="461">
        <v>1157</v>
      </c>
      <c r="K104" s="461">
        <v>1025</v>
      </c>
      <c r="L104" s="474">
        <f t="shared" si="8"/>
        <v>1157</v>
      </c>
      <c r="M104" s="132">
        <f t="shared" si="9"/>
        <v>818</v>
      </c>
      <c r="N104" s="132">
        <f t="shared" si="10"/>
        <v>818</v>
      </c>
      <c r="O104" s="132">
        <f t="shared" si="11"/>
        <v>818</v>
      </c>
      <c r="P104" s="132">
        <f t="shared" si="12"/>
        <v>818</v>
      </c>
      <c r="Q104" s="132">
        <f t="shared" si="13"/>
        <v>818</v>
      </c>
      <c r="Y104" s="11"/>
      <c r="Z104" s="178"/>
    </row>
    <row r="105" spans="1:26" ht="15.75" hidden="1">
      <c r="A105" s="134"/>
      <c r="B105" s="135"/>
      <c r="C105" s="472">
        <f t="shared" si="7"/>
        <v>1017</v>
      </c>
      <c r="D105" s="461">
        <v>1017</v>
      </c>
      <c r="E105" s="461">
        <v>760</v>
      </c>
      <c r="F105" s="461">
        <v>871</v>
      </c>
      <c r="G105" s="473">
        <v>749</v>
      </c>
      <c r="H105" s="461">
        <v>617</v>
      </c>
      <c r="I105" s="461">
        <v>397.88</v>
      </c>
      <c r="J105" s="461">
        <v>1222</v>
      </c>
      <c r="K105" s="461">
        <v>1047</v>
      </c>
      <c r="L105" s="474">
        <f t="shared" si="8"/>
        <v>1222</v>
      </c>
      <c r="M105" s="132">
        <f t="shared" si="9"/>
        <v>1017</v>
      </c>
      <c r="N105" s="132">
        <f t="shared" si="10"/>
        <v>1017</v>
      </c>
      <c r="O105" s="132">
        <f t="shared" si="11"/>
        <v>1017</v>
      </c>
      <c r="P105" s="132">
        <f t="shared" si="12"/>
        <v>1017</v>
      </c>
      <c r="Q105" s="132">
        <f t="shared" si="13"/>
        <v>1017</v>
      </c>
      <c r="Y105" s="11"/>
      <c r="Z105" s="178"/>
    </row>
    <row r="106" spans="1:26" ht="15.75" hidden="1">
      <c r="A106" s="134"/>
      <c r="B106" s="135"/>
      <c r="C106" s="472">
        <f t="shared" si="7"/>
        <v>1303</v>
      </c>
      <c r="D106" s="461">
        <v>1303</v>
      </c>
      <c r="E106" s="461">
        <v>958</v>
      </c>
      <c r="F106" s="461">
        <v>903</v>
      </c>
      <c r="G106" s="473">
        <v>727</v>
      </c>
      <c r="H106" s="461">
        <v>683</v>
      </c>
      <c r="I106" s="461">
        <v>397.88</v>
      </c>
      <c r="J106" s="461">
        <v>1300</v>
      </c>
      <c r="K106" s="461">
        <v>1079</v>
      </c>
      <c r="L106" s="474">
        <f t="shared" si="8"/>
        <v>1300</v>
      </c>
      <c r="M106" s="132">
        <f t="shared" si="9"/>
        <v>1303</v>
      </c>
      <c r="N106" s="132">
        <f t="shared" si="10"/>
        <v>1303</v>
      </c>
      <c r="O106" s="132">
        <f t="shared" si="11"/>
        <v>1303</v>
      </c>
      <c r="P106" s="132">
        <f t="shared" si="12"/>
        <v>1303</v>
      </c>
      <c r="Q106" s="132">
        <f t="shared" si="13"/>
        <v>1303</v>
      </c>
      <c r="Y106" s="11"/>
      <c r="Z106" s="178"/>
    </row>
    <row r="107" spans="1:26" ht="15.75" hidden="1">
      <c r="A107" s="134"/>
      <c r="B107" s="135"/>
      <c r="C107" s="472">
        <f t="shared" si="7"/>
        <v>1479</v>
      </c>
      <c r="D107" s="461">
        <v>1479</v>
      </c>
      <c r="E107" s="461">
        <v>1091</v>
      </c>
      <c r="F107" s="461">
        <v>948</v>
      </c>
      <c r="G107" s="473">
        <v>727</v>
      </c>
      <c r="H107" s="461">
        <v>705</v>
      </c>
      <c r="I107" s="461">
        <v>418.76</v>
      </c>
      <c r="J107" s="461">
        <v>1355</v>
      </c>
      <c r="K107" s="461">
        <v>1112</v>
      </c>
      <c r="L107" s="474">
        <f t="shared" si="8"/>
        <v>1355</v>
      </c>
      <c r="M107" s="132">
        <f t="shared" si="9"/>
        <v>1479</v>
      </c>
      <c r="N107" s="132">
        <f t="shared" si="10"/>
        <v>1479</v>
      </c>
      <c r="O107" s="132">
        <f t="shared" si="11"/>
        <v>1479</v>
      </c>
      <c r="P107" s="132">
        <f t="shared" si="12"/>
        <v>1479</v>
      </c>
      <c r="Q107" s="132">
        <f t="shared" si="13"/>
        <v>1479</v>
      </c>
      <c r="Y107" s="11"/>
      <c r="Z107" s="178"/>
    </row>
    <row r="108" spans="1:26" ht="16.5" hidden="1" thickBot="1">
      <c r="A108" s="134"/>
      <c r="B108" s="135"/>
      <c r="C108" s="475">
        <f t="shared" si="7"/>
        <v>1535</v>
      </c>
      <c r="D108" s="461">
        <v>1535</v>
      </c>
      <c r="E108" s="461">
        <v>1124</v>
      </c>
      <c r="F108" s="461">
        <v>1057</v>
      </c>
      <c r="G108" s="473">
        <v>738</v>
      </c>
      <c r="H108" s="461">
        <v>727</v>
      </c>
      <c r="I108" s="461">
        <v>418.76</v>
      </c>
      <c r="J108" s="461">
        <v>1366</v>
      </c>
      <c r="K108" s="461">
        <v>1124</v>
      </c>
      <c r="L108" s="474">
        <f t="shared" si="8"/>
        <v>1366</v>
      </c>
      <c r="M108" s="132">
        <f t="shared" si="9"/>
        <v>1535</v>
      </c>
      <c r="N108" s="132">
        <f t="shared" si="10"/>
        <v>1535</v>
      </c>
      <c r="O108" s="132">
        <f t="shared" si="11"/>
        <v>1535</v>
      </c>
      <c r="P108" s="132">
        <f t="shared" si="12"/>
        <v>1535</v>
      </c>
      <c r="Q108" s="132">
        <f t="shared" si="13"/>
        <v>1535</v>
      </c>
      <c r="Y108" s="11"/>
      <c r="Z108" s="178"/>
    </row>
    <row r="109" spans="1:26" ht="16.5" hidden="1" thickTop="1">
      <c r="A109" s="134"/>
      <c r="B109" s="135"/>
      <c r="D109" s="70"/>
      <c r="E109" s="107"/>
      <c r="G109" s="468"/>
      <c r="Y109" s="11"/>
      <c r="Z109" s="178"/>
    </row>
    <row r="110" spans="1:26" ht="15.75" hidden="1">
      <c r="A110" s="134"/>
      <c r="B110" s="135"/>
      <c r="D110" s="70"/>
      <c r="E110" s="107"/>
      <c r="G110" s="468"/>
      <c r="Y110" s="11"/>
      <c r="Z110" s="178"/>
    </row>
    <row r="111" spans="1:26" ht="21" hidden="1" thickBot="1">
      <c r="A111" s="134"/>
      <c r="B111" s="135"/>
      <c r="D111" s="70"/>
      <c r="E111" s="107"/>
      <c r="F111" s="479">
        <v>41487</v>
      </c>
      <c r="G111" s="468"/>
      <c r="Y111" s="11"/>
      <c r="Z111" s="178"/>
    </row>
    <row r="112" spans="1:26" ht="16.5" hidden="1" thickTop="1">
      <c r="A112" s="134"/>
      <c r="B112" s="135"/>
      <c r="C112" s="469" t="s">
        <v>371</v>
      </c>
      <c r="D112" s="17" t="s">
        <v>373</v>
      </c>
      <c r="E112" s="17" t="s">
        <v>374</v>
      </c>
      <c r="F112" s="470" t="s">
        <v>375</v>
      </c>
      <c r="G112" s="471" t="s">
        <v>376</v>
      </c>
      <c r="H112" s="470" t="s">
        <v>377</v>
      </c>
      <c r="I112" s="470" t="s">
        <v>378</v>
      </c>
      <c r="J112" s="470" t="s">
        <v>379</v>
      </c>
      <c r="K112" s="470" t="s">
        <v>380</v>
      </c>
      <c r="L112" s="131" t="s">
        <v>381</v>
      </c>
      <c r="M112" s="131">
        <v>1</v>
      </c>
      <c r="N112" s="131">
        <v>2</v>
      </c>
      <c r="O112" s="131">
        <v>3</v>
      </c>
      <c r="P112" s="131">
        <v>4</v>
      </c>
      <c r="Q112" s="131">
        <v>5</v>
      </c>
      <c r="Y112" s="11"/>
      <c r="Z112" s="178"/>
    </row>
    <row r="113" spans="1:26" ht="15.75" hidden="1">
      <c r="A113" s="134"/>
      <c r="B113" s="135"/>
      <c r="C113" s="476">
        <f aca="true" t="shared" si="14" ref="C113:C124">IF(puntosproljor&lt;620,Q113,L113)</f>
        <v>603</v>
      </c>
      <c r="D113" s="477">
        <v>603</v>
      </c>
      <c r="E113" s="477">
        <v>188</v>
      </c>
      <c r="F113" s="477">
        <v>0</v>
      </c>
      <c r="G113" s="477">
        <v>0</v>
      </c>
      <c r="H113" s="477">
        <v>0</v>
      </c>
      <c r="I113" s="477">
        <v>0</v>
      </c>
      <c r="J113" s="477">
        <v>188</v>
      </c>
      <c r="K113" s="477">
        <v>188</v>
      </c>
      <c r="L113" s="474">
        <f aca="true" t="shared" si="15" ref="L113:L124">IF(PUNTOSbasicos&gt;971,K113,J113)</f>
        <v>188</v>
      </c>
      <c r="M113" s="132">
        <f aca="true" t="shared" si="16" ref="M113:M124">IF(PUNTOSbasicos&lt;972,D113,E113)</f>
        <v>603</v>
      </c>
      <c r="N113" s="132">
        <f aca="true" t="shared" si="17" ref="N113:N124">IF(PUNTOSbasicos&lt;1170,M113,F113)</f>
        <v>603</v>
      </c>
      <c r="O113" s="132">
        <f aca="true" t="shared" si="18" ref="O113:O124">IF(PUNTOSbasicos&lt;1401,N113,G113)</f>
        <v>603</v>
      </c>
      <c r="P113" s="132">
        <f aca="true" t="shared" si="19" ref="P113:P124">IF(PUNTOSbasicos&lt;1943,O113,H113)</f>
        <v>603</v>
      </c>
      <c r="Q113" s="132">
        <f aca="true" t="shared" si="20" ref="Q113:Q124">IF(PUNTOSbasicos&lt;=2220,P113,I113)</f>
        <v>603</v>
      </c>
      <c r="Y113" s="11"/>
      <c r="Z113" s="178"/>
    </row>
    <row r="114" spans="1:26" ht="15.75" hidden="1">
      <c r="A114" s="134"/>
      <c r="B114" s="135"/>
      <c r="C114" s="476">
        <f t="shared" si="14"/>
        <v>929</v>
      </c>
      <c r="D114" s="477">
        <v>929</v>
      </c>
      <c r="E114" s="477">
        <v>212</v>
      </c>
      <c r="F114" s="477">
        <v>0</v>
      </c>
      <c r="G114" s="477">
        <v>0</v>
      </c>
      <c r="H114" s="477">
        <v>0</v>
      </c>
      <c r="I114" s="477">
        <v>0</v>
      </c>
      <c r="J114" s="477">
        <v>212</v>
      </c>
      <c r="K114" s="477">
        <v>212</v>
      </c>
      <c r="L114" s="474">
        <f t="shared" si="15"/>
        <v>212</v>
      </c>
      <c r="M114" s="132">
        <f t="shared" si="16"/>
        <v>929</v>
      </c>
      <c r="N114" s="132">
        <f t="shared" si="17"/>
        <v>929</v>
      </c>
      <c r="O114" s="132">
        <f t="shared" si="18"/>
        <v>929</v>
      </c>
      <c r="P114" s="132">
        <f t="shared" si="19"/>
        <v>929</v>
      </c>
      <c r="Q114" s="132">
        <f t="shared" si="20"/>
        <v>929</v>
      </c>
      <c r="Y114" s="11"/>
      <c r="Z114" s="178"/>
    </row>
    <row r="115" spans="1:26" ht="15.75" hidden="1">
      <c r="A115" s="134"/>
      <c r="B115" s="135"/>
      <c r="C115" s="476">
        <f t="shared" si="14"/>
        <v>1133</v>
      </c>
      <c r="D115" s="477">
        <v>1133</v>
      </c>
      <c r="E115" s="477">
        <v>425</v>
      </c>
      <c r="F115" s="477">
        <v>566</v>
      </c>
      <c r="G115" s="477">
        <v>454</v>
      </c>
      <c r="H115" s="477">
        <v>425</v>
      </c>
      <c r="I115" s="477">
        <v>0</v>
      </c>
      <c r="J115" s="477">
        <v>518</v>
      </c>
      <c r="K115" s="477">
        <v>518</v>
      </c>
      <c r="L115" s="474">
        <f t="shared" si="15"/>
        <v>518</v>
      </c>
      <c r="M115" s="132">
        <f t="shared" si="16"/>
        <v>1133</v>
      </c>
      <c r="N115" s="132">
        <f t="shared" si="17"/>
        <v>1133</v>
      </c>
      <c r="O115" s="132">
        <f t="shared" si="18"/>
        <v>1133</v>
      </c>
      <c r="P115" s="132">
        <f t="shared" si="19"/>
        <v>1133</v>
      </c>
      <c r="Q115" s="132">
        <f t="shared" si="20"/>
        <v>1133</v>
      </c>
      <c r="Y115" s="11"/>
      <c r="Z115" s="178"/>
    </row>
    <row r="116" spans="1:26" ht="15.75" hidden="1">
      <c r="A116" s="134"/>
      <c r="B116" s="135"/>
      <c r="C116" s="476">
        <f t="shared" si="14"/>
        <v>1218</v>
      </c>
      <c r="D116" s="477">
        <v>1218</v>
      </c>
      <c r="E116" s="477">
        <v>459</v>
      </c>
      <c r="F116" s="477">
        <v>566</v>
      </c>
      <c r="G116" s="477">
        <v>454</v>
      </c>
      <c r="H116" s="477">
        <v>425</v>
      </c>
      <c r="I116" s="477">
        <v>0</v>
      </c>
      <c r="J116" s="477">
        <v>896</v>
      </c>
      <c r="K116" s="477">
        <v>825</v>
      </c>
      <c r="L116" s="474">
        <f t="shared" si="15"/>
        <v>896</v>
      </c>
      <c r="M116" s="132">
        <f t="shared" si="16"/>
        <v>1218</v>
      </c>
      <c r="N116" s="132">
        <f t="shared" si="17"/>
        <v>1218</v>
      </c>
      <c r="O116" s="132">
        <f t="shared" si="18"/>
        <v>1218</v>
      </c>
      <c r="P116" s="132">
        <f t="shared" si="19"/>
        <v>1218</v>
      </c>
      <c r="Q116" s="132">
        <f t="shared" si="20"/>
        <v>1218</v>
      </c>
      <c r="Y116" s="11"/>
      <c r="Z116" s="178"/>
    </row>
    <row r="117" spans="1:26" ht="15.75" hidden="1">
      <c r="A117" s="134"/>
      <c r="B117" s="135"/>
      <c r="C117" s="476">
        <f t="shared" si="14"/>
        <v>1081</v>
      </c>
      <c r="D117" s="477">
        <v>1081</v>
      </c>
      <c r="E117" s="477">
        <v>495</v>
      </c>
      <c r="F117" s="477">
        <v>590</v>
      </c>
      <c r="G117" s="477">
        <v>471</v>
      </c>
      <c r="H117" s="477">
        <v>425</v>
      </c>
      <c r="I117" s="477">
        <v>330</v>
      </c>
      <c r="J117" s="477">
        <v>1038</v>
      </c>
      <c r="K117" s="477">
        <v>943</v>
      </c>
      <c r="L117" s="474">
        <f t="shared" si="15"/>
        <v>1038</v>
      </c>
      <c r="M117" s="132">
        <f t="shared" si="16"/>
        <v>1081</v>
      </c>
      <c r="N117" s="132">
        <f t="shared" si="17"/>
        <v>1081</v>
      </c>
      <c r="O117" s="132">
        <f t="shared" si="18"/>
        <v>1081</v>
      </c>
      <c r="P117" s="132">
        <f t="shared" si="19"/>
        <v>1081</v>
      </c>
      <c r="Q117" s="132">
        <f t="shared" si="20"/>
        <v>1081</v>
      </c>
      <c r="Y117" s="11"/>
      <c r="Z117" s="178"/>
    </row>
    <row r="118" spans="1:26" ht="15.75" hidden="1">
      <c r="A118" s="134"/>
      <c r="B118" s="135"/>
      <c r="C118" s="476">
        <f t="shared" si="14"/>
        <v>918</v>
      </c>
      <c r="D118" s="477">
        <v>918</v>
      </c>
      <c r="E118" s="477">
        <v>543</v>
      </c>
      <c r="F118" s="477">
        <v>590</v>
      </c>
      <c r="G118" s="477">
        <v>471</v>
      </c>
      <c r="H118" s="477">
        <v>425</v>
      </c>
      <c r="I118" s="477">
        <v>330</v>
      </c>
      <c r="J118" s="477">
        <v>1120</v>
      </c>
      <c r="K118" s="477">
        <v>1025</v>
      </c>
      <c r="L118" s="474">
        <f t="shared" si="15"/>
        <v>1120</v>
      </c>
      <c r="M118" s="132">
        <f t="shared" si="16"/>
        <v>918</v>
      </c>
      <c r="N118" s="132">
        <f t="shared" si="17"/>
        <v>918</v>
      </c>
      <c r="O118" s="132">
        <f t="shared" si="18"/>
        <v>918</v>
      </c>
      <c r="P118" s="132">
        <f t="shared" si="19"/>
        <v>918</v>
      </c>
      <c r="Q118" s="132">
        <f t="shared" si="20"/>
        <v>918</v>
      </c>
      <c r="Y118" s="11"/>
      <c r="Z118" s="178"/>
    </row>
    <row r="119" spans="1:26" ht="15.75" hidden="1">
      <c r="A119" s="134"/>
      <c r="B119" s="135"/>
      <c r="C119" s="476">
        <f t="shared" si="14"/>
        <v>924</v>
      </c>
      <c r="D119" s="477">
        <v>924</v>
      </c>
      <c r="E119" s="477">
        <v>513</v>
      </c>
      <c r="F119" s="477">
        <v>613</v>
      </c>
      <c r="G119" s="477">
        <v>479</v>
      </c>
      <c r="H119" s="477">
        <v>448</v>
      </c>
      <c r="I119" s="477">
        <v>377</v>
      </c>
      <c r="J119" s="477">
        <v>1203</v>
      </c>
      <c r="K119" s="477">
        <v>1061</v>
      </c>
      <c r="L119" s="474">
        <f t="shared" si="15"/>
        <v>1203</v>
      </c>
      <c r="M119" s="132">
        <f t="shared" si="16"/>
        <v>924</v>
      </c>
      <c r="N119" s="132">
        <f t="shared" si="17"/>
        <v>924</v>
      </c>
      <c r="O119" s="132">
        <f t="shared" si="18"/>
        <v>924</v>
      </c>
      <c r="P119" s="132">
        <f t="shared" si="19"/>
        <v>924</v>
      </c>
      <c r="Q119" s="132">
        <f t="shared" si="20"/>
        <v>924</v>
      </c>
      <c r="Y119" s="11"/>
      <c r="Z119" s="178"/>
    </row>
    <row r="120" spans="1:26" ht="15.75" hidden="1">
      <c r="A120" s="134"/>
      <c r="B120" s="135"/>
      <c r="C120" s="476">
        <f t="shared" si="14"/>
        <v>875</v>
      </c>
      <c r="D120" s="477">
        <v>875</v>
      </c>
      <c r="E120" s="477">
        <v>672</v>
      </c>
      <c r="F120" s="477">
        <v>860</v>
      </c>
      <c r="G120" s="477">
        <v>543</v>
      </c>
      <c r="H120" s="477">
        <v>448</v>
      </c>
      <c r="I120" s="477">
        <v>377</v>
      </c>
      <c r="J120" s="477">
        <v>1238</v>
      </c>
      <c r="K120" s="477">
        <v>1097</v>
      </c>
      <c r="L120" s="474">
        <f t="shared" si="15"/>
        <v>1238</v>
      </c>
      <c r="M120" s="132">
        <f t="shared" si="16"/>
        <v>875</v>
      </c>
      <c r="N120" s="132">
        <f t="shared" si="17"/>
        <v>875</v>
      </c>
      <c r="O120" s="132">
        <f t="shared" si="18"/>
        <v>875</v>
      </c>
      <c r="P120" s="132">
        <f t="shared" si="19"/>
        <v>875</v>
      </c>
      <c r="Q120" s="132">
        <f t="shared" si="20"/>
        <v>875</v>
      </c>
      <c r="Y120" s="11"/>
      <c r="Z120" s="178"/>
    </row>
    <row r="121" spans="1:26" ht="15.75" hidden="1">
      <c r="A121" s="134"/>
      <c r="B121" s="135"/>
      <c r="C121" s="476">
        <f t="shared" si="14"/>
        <v>1088</v>
      </c>
      <c r="D121" s="477">
        <v>1088</v>
      </c>
      <c r="E121" s="477">
        <v>814</v>
      </c>
      <c r="F121" s="477">
        <v>932</v>
      </c>
      <c r="G121" s="477">
        <v>801</v>
      </c>
      <c r="H121" s="477">
        <v>660</v>
      </c>
      <c r="I121" s="477">
        <v>425</v>
      </c>
      <c r="J121" s="477">
        <v>1308</v>
      </c>
      <c r="K121" s="477">
        <v>1120</v>
      </c>
      <c r="L121" s="474">
        <f t="shared" si="15"/>
        <v>1308</v>
      </c>
      <c r="M121" s="132">
        <f t="shared" si="16"/>
        <v>1088</v>
      </c>
      <c r="N121" s="132">
        <f t="shared" si="17"/>
        <v>1088</v>
      </c>
      <c r="O121" s="132">
        <f t="shared" si="18"/>
        <v>1088</v>
      </c>
      <c r="P121" s="132">
        <f t="shared" si="19"/>
        <v>1088</v>
      </c>
      <c r="Q121" s="132">
        <f t="shared" si="20"/>
        <v>1088</v>
      </c>
      <c r="Y121" s="11"/>
      <c r="Z121" s="178"/>
    </row>
    <row r="122" spans="1:26" ht="15.75" hidden="1">
      <c r="A122" s="134"/>
      <c r="B122" s="135"/>
      <c r="C122" s="476">
        <f t="shared" si="14"/>
        <v>1394</v>
      </c>
      <c r="D122" s="477">
        <v>1394</v>
      </c>
      <c r="E122" s="477">
        <v>1025</v>
      </c>
      <c r="F122" s="477">
        <v>966</v>
      </c>
      <c r="G122" s="477">
        <v>778</v>
      </c>
      <c r="H122" s="477">
        <v>731</v>
      </c>
      <c r="I122" s="477">
        <v>425</v>
      </c>
      <c r="J122" s="477">
        <v>1391</v>
      </c>
      <c r="K122" s="477">
        <v>1154</v>
      </c>
      <c r="L122" s="474">
        <f t="shared" si="15"/>
        <v>1391</v>
      </c>
      <c r="M122" s="132">
        <f t="shared" si="16"/>
        <v>1394</v>
      </c>
      <c r="N122" s="132">
        <f t="shared" si="17"/>
        <v>1394</v>
      </c>
      <c r="O122" s="132">
        <f t="shared" si="18"/>
        <v>1394</v>
      </c>
      <c r="P122" s="132">
        <f t="shared" si="19"/>
        <v>1394</v>
      </c>
      <c r="Q122" s="132">
        <f t="shared" si="20"/>
        <v>1394</v>
      </c>
      <c r="Y122" s="11"/>
      <c r="Z122" s="178"/>
    </row>
    <row r="123" spans="1:26" ht="15.75" hidden="1">
      <c r="A123" s="134"/>
      <c r="B123" s="135"/>
      <c r="C123" s="476">
        <f t="shared" si="14"/>
        <v>1582</v>
      </c>
      <c r="D123" s="477">
        <v>1582</v>
      </c>
      <c r="E123" s="477">
        <v>1167</v>
      </c>
      <c r="F123" s="477">
        <v>1014</v>
      </c>
      <c r="G123" s="477">
        <v>778</v>
      </c>
      <c r="H123" s="477">
        <v>755</v>
      </c>
      <c r="I123" s="477">
        <v>448</v>
      </c>
      <c r="J123" s="477">
        <v>1450</v>
      </c>
      <c r="K123" s="477">
        <v>1190</v>
      </c>
      <c r="L123" s="474">
        <f t="shared" si="15"/>
        <v>1450</v>
      </c>
      <c r="M123" s="132">
        <f t="shared" si="16"/>
        <v>1582</v>
      </c>
      <c r="N123" s="132">
        <f t="shared" si="17"/>
        <v>1582</v>
      </c>
      <c r="O123" s="132">
        <f t="shared" si="18"/>
        <v>1582</v>
      </c>
      <c r="P123" s="132">
        <f t="shared" si="19"/>
        <v>1582</v>
      </c>
      <c r="Q123" s="132">
        <f t="shared" si="20"/>
        <v>1582</v>
      </c>
      <c r="Y123" s="11"/>
      <c r="Z123" s="178"/>
    </row>
    <row r="124" spans="1:26" ht="16.5" hidden="1" thickBot="1">
      <c r="A124" s="134"/>
      <c r="B124" s="135"/>
      <c r="C124" s="478">
        <f t="shared" si="14"/>
        <v>1642</v>
      </c>
      <c r="D124" s="477">
        <v>1642</v>
      </c>
      <c r="E124" s="477">
        <v>1203</v>
      </c>
      <c r="F124" s="477">
        <v>1131</v>
      </c>
      <c r="G124" s="477">
        <v>790</v>
      </c>
      <c r="H124" s="477">
        <v>778</v>
      </c>
      <c r="I124" s="477">
        <v>448</v>
      </c>
      <c r="J124" s="477">
        <v>1462</v>
      </c>
      <c r="K124" s="477">
        <v>1203</v>
      </c>
      <c r="L124" s="474">
        <f t="shared" si="15"/>
        <v>1462</v>
      </c>
      <c r="M124" s="132">
        <f t="shared" si="16"/>
        <v>1642</v>
      </c>
      <c r="N124" s="132">
        <f t="shared" si="17"/>
        <v>1642</v>
      </c>
      <c r="O124" s="132">
        <f t="shared" si="18"/>
        <v>1642</v>
      </c>
      <c r="P124" s="132">
        <f t="shared" si="19"/>
        <v>1642</v>
      </c>
      <c r="Q124" s="132">
        <f t="shared" si="20"/>
        <v>1642</v>
      </c>
      <c r="Y124" s="11"/>
      <c r="Z124" s="178"/>
    </row>
    <row r="125" spans="1:26" ht="16.5" hidden="1" thickTop="1">
      <c r="A125" s="134"/>
      <c r="B125" s="135"/>
      <c r="C125" s="136"/>
      <c r="D125" s="373"/>
      <c r="E125" s="136"/>
      <c r="F125" s="136"/>
      <c r="G125" s="135"/>
      <c r="H125" s="136"/>
      <c r="I125" s="2"/>
      <c r="J125" s="2"/>
      <c r="K125" s="2"/>
      <c r="Y125" s="11"/>
      <c r="Z125" s="178"/>
    </row>
    <row r="126" spans="1:26" ht="15.75" hidden="1">
      <c r="A126" s="134"/>
      <c r="B126" s="135"/>
      <c r="C126" s="136"/>
      <c r="D126" s="373"/>
      <c r="E126" s="136"/>
      <c r="F126" s="136"/>
      <c r="G126" s="135"/>
      <c r="H126" s="136"/>
      <c r="I126" s="2"/>
      <c r="J126" s="2"/>
      <c r="K126" s="2"/>
      <c r="Y126" s="11"/>
      <c r="Z126" s="178"/>
    </row>
    <row r="127" spans="1:26" ht="21" hidden="1" thickBot="1">
      <c r="A127" s="134"/>
      <c r="B127" s="135"/>
      <c r="D127" s="70"/>
      <c r="E127" s="107"/>
      <c r="F127" s="479" t="s">
        <v>467</v>
      </c>
      <c r="G127" s="468"/>
      <c r="Y127" s="11"/>
      <c r="Z127" s="178"/>
    </row>
    <row r="128" spans="1:26" ht="16.5" hidden="1" thickTop="1">
      <c r="A128" s="134"/>
      <c r="B128" s="135"/>
      <c r="C128" s="469" t="s">
        <v>371</v>
      </c>
      <c r="D128" s="17" t="s">
        <v>373</v>
      </c>
      <c r="E128" s="17" t="s">
        <v>374</v>
      </c>
      <c r="F128" s="470" t="s">
        <v>375</v>
      </c>
      <c r="G128" s="471" t="s">
        <v>376</v>
      </c>
      <c r="H128" s="470" t="s">
        <v>377</v>
      </c>
      <c r="I128" s="470" t="s">
        <v>378</v>
      </c>
      <c r="J128" s="470" t="s">
        <v>379</v>
      </c>
      <c r="K128" s="470" t="s">
        <v>380</v>
      </c>
      <c r="L128" s="131" t="s">
        <v>381</v>
      </c>
      <c r="M128" s="131">
        <v>1</v>
      </c>
      <c r="N128" s="131">
        <v>2</v>
      </c>
      <c r="O128" s="131">
        <v>3</v>
      </c>
      <c r="P128" s="131">
        <v>4</v>
      </c>
      <c r="Q128" s="131">
        <v>5</v>
      </c>
      <c r="Y128" s="11"/>
      <c r="Z128" s="178"/>
    </row>
    <row r="129" spans="1:26" ht="15.75" hidden="1">
      <c r="A129" s="134"/>
      <c r="B129" s="135"/>
      <c r="C129" s="476">
        <f aca="true" t="shared" si="21" ref="C129:C140">IF(puntosproljor&lt;620,Q129,L129)</f>
        <v>621.09</v>
      </c>
      <c r="D129" s="550">
        <v>621.09</v>
      </c>
      <c r="E129" s="550">
        <v>193.64000000000001</v>
      </c>
      <c r="F129" s="550">
        <v>0</v>
      </c>
      <c r="G129" s="550">
        <v>0</v>
      </c>
      <c r="H129" s="550">
        <v>0</v>
      </c>
      <c r="I129" s="550">
        <v>0</v>
      </c>
      <c r="J129" s="550">
        <v>193.64000000000001</v>
      </c>
      <c r="K129" s="550">
        <v>193.64000000000001</v>
      </c>
      <c r="L129" s="474">
        <f aca="true" t="shared" si="22" ref="L129:L140">IF(PUNTOSbasicos&gt;971,K129,J129)</f>
        <v>193.64000000000001</v>
      </c>
      <c r="M129" s="132">
        <f aca="true" t="shared" si="23" ref="M129:M140">IF(PUNTOSbasicos&lt;972,D129,E129)</f>
        <v>621.09</v>
      </c>
      <c r="N129" s="132">
        <f aca="true" t="shared" si="24" ref="N129:N140">IF(PUNTOSbasicos&lt;1170,M129,F129)</f>
        <v>621.09</v>
      </c>
      <c r="O129" s="132">
        <f aca="true" t="shared" si="25" ref="O129:O140">IF(PUNTOSbasicos&lt;1401,N129,G129)</f>
        <v>621.09</v>
      </c>
      <c r="P129" s="132">
        <f aca="true" t="shared" si="26" ref="P129:P140">IF(PUNTOSbasicos&lt;1943,O129,H129)</f>
        <v>621.09</v>
      </c>
      <c r="Q129" s="132">
        <f aca="true" t="shared" si="27" ref="Q129:Q140">IF(PUNTOSbasicos&lt;=2220,P129,I129)</f>
        <v>621.09</v>
      </c>
      <c r="Y129" s="11"/>
      <c r="Z129" s="178"/>
    </row>
    <row r="130" spans="1:26" ht="15.75" hidden="1">
      <c r="A130" s="134"/>
      <c r="B130" s="135"/>
      <c r="C130" s="476">
        <f t="shared" si="21"/>
        <v>956.87</v>
      </c>
      <c r="D130" s="550">
        <v>956.87</v>
      </c>
      <c r="E130" s="550">
        <v>218.36</v>
      </c>
      <c r="F130" s="550">
        <v>0</v>
      </c>
      <c r="G130" s="550">
        <v>0</v>
      </c>
      <c r="H130" s="550">
        <v>0</v>
      </c>
      <c r="I130" s="550">
        <v>0</v>
      </c>
      <c r="J130" s="550">
        <v>218.36</v>
      </c>
      <c r="K130" s="550">
        <v>218.36</v>
      </c>
      <c r="L130" s="474">
        <f t="shared" si="22"/>
        <v>218.36</v>
      </c>
      <c r="M130" s="132">
        <f t="shared" si="23"/>
        <v>956.87</v>
      </c>
      <c r="N130" s="132">
        <f t="shared" si="24"/>
        <v>956.87</v>
      </c>
      <c r="O130" s="132">
        <f t="shared" si="25"/>
        <v>956.87</v>
      </c>
      <c r="P130" s="132">
        <f t="shared" si="26"/>
        <v>956.87</v>
      </c>
      <c r="Q130" s="132">
        <f t="shared" si="27"/>
        <v>956.87</v>
      </c>
      <c r="Y130" s="11"/>
      <c r="Z130" s="178"/>
    </row>
    <row r="131" spans="1:26" ht="15.75" hidden="1">
      <c r="A131" s="134"/>
      <c r="B131" s="135"/>
      <c r="C131" s="476">
        <f t="shared" si="21"/>
        <v>1166.99</v>
      </c>
      <c r="D131" s="550">
        <v>1166.99</v>
      </c>
      <c r="E131" s="550">
        <v>437.75</v>
      </c>
      <c r="F131" s="550">
        <v>582.98</v>
      </c>
      <c r="G131" s="550">
        <v>467.62</v>
      </c>
      <c r="H131" s="550">
        <v>437.75</v>
      </c>
      <c r="I131" s="550">
        <v>0</v>
      </c>
      <c r="J131" s="550">
        <v>533.54</v>
      </c>
      <c r="K131" s="550">
        <v>533.54</v>
      </c>
      <c r="L131" s="474">
        <f t="shared" si="22"/>
        <v>533.54</v>
      </c>
      <c r="M131" s="132">
        <f t="shared" si="23"/>
        <v>1166.99</v>
      </c>
      <c r="N131" s="132">
        <f t="shared" si="24"/>
        <v>1166.99</v>
      </c>
      <c r="O131" s="132">
        <f t="shared" si="25"/>
        <v>1166.99</v>
      </c>
      <c r="P131" s="132">
        <f t="shared" si="26"/>
        <v>1166.99</v>
      </c>
      <c r="Q131" s="132">
        <f t="shared" si="27"/>
        <v>1166.99</v>
      </c>
      <c r="Y131" s="11"/>
      <c r="Z131" s="178"/>
    </row>
    <row r="132" spans="1:26" ht="15.75" hidden="1">
      <c r="A132" s="134"/>
      <c r="B132" s="135"/>
      <c r="C132" s="476">
        <f t="shared" si="21"/>
        <v>1254.54</v>
      </c>
      <c r="D132" s="550">
        <v>1254.54</v>
      </c>
      <c r="E132" s="550">
        <v>472.77000000000004</v>
      </c>
      <c r="F132" s="550">
        <v>582.98</v>
      </c>
      <c r="G132" s="550">
        <v>467.62</v>
      </c>
      <c r="H132" s="550">
        <v>437.75</v>
      </c>
      <c r="I132" s="550">
        <v>0</v>
      </c>
      <c r="J132" s="550">
        <v>922.88</v>
      </c>
      <c r="K132" s="550">
        <v>849.75</v>
      </c>
      <c r="L132" s="474">
        <f t="shared" si="22"/>
        <v>922.88</v>
      </c>
      <c r="M132" s="132">
        <f t="shared" si="23"/>
        <v>1254.54</v>
      </c>
      <c r="N132" s="132">
        <f t="shared" si="24"/>
        <v>1254.54</v>
      </c>
      <c r="O132" s="132">
        <f t="shared" si="25"/>
        <v>1254.54</v>
      </c>
      <c r="P132" s="132">
        <f t="shared" si="26"/>
        <v>1254.54</v>
      </c>
      <c r="Q132" s="132">
        <f t="shared" si="27"/>
        <v>1254.54</v>
      </c>
      <c r="Y132" s="11"/>
      <c r="Z132" s="178"/>
    </row>
    <row r="133" spans="1:26" ht="15.75" hidden="1">
      <c r="A133" s="134"/>
      <c r="B133" s="135"/>
      <c r="C133" s="476">
        <f t="shared" si="21"/>
        <v>1113.43</v>
      </c>
      <c r="D133" s="550">
        <v>1113.43</v>
      </c>
      <c r="E133" s="550">
        <v>509.85</v>
      </c>
      <c r="F133" s="550">
        <v>607.7</v>
      </c>
      <c r="G133" s="550">
        <v>485</v>
      </c>
      <c r="H133" s="550">
        <v>437.75</v>
      </c>
      <c r="I133" s="550">
        <v>339.90000000000003</v>
      </c>
      <c r="J133" s="550">
        <v>1069.14</v>
      </c>
      <c r="K133" s="550">
        <v>971.2900000000001</v>
      </c>
      <c r="L133" s="474">
        <f t="shared" si="22"/>
        <v>1069.14</v>
      </c>
      <c r="M133" s="132">
        <f t="shared" si="23"/>
        <v>1113.43</v>
      </c>
      <c r="N133" s="132">
        <f t="shared" si="24"/>
        <v>1113.43</v>
      </c>
      <c r="O133" s="132">
        <f t="shared" si="25"/>
        <v>1113.43</v>
      </c>
      <c r="P133" s="132">
        <f t="shared" si="26"/>
        <v>1113.43</v>
      </c>
      <c r="Q133" s="132">
        <f t="shared" si="27"/>
        <v>1113.43</v>
      </c>
      <c r="Y133" s="11"/>
      <c r="Z133" s="178"/>
    </row>
    <row r="134" spans="1:26" ht="15.75" hidden="1">
      <c r="A134" s="134"/>
      <c r="B134" s="135"/>
      <c r="C134" s="476">
        <f t="shared" si="21"/>
        <v>945.5400000000001</v>
      </c>
      <c r="D134" s="550">
        <v>945.5400000000001</v>
      </c>
      <c r="E134" s="550">
        <v>559.29</v>
      </c>
      <c r="F134" s="550">
        <v>607.7</v>
      </c>
      <c r="G134" s="550">
        <v>485.13</v>
      </c>
      <c r="H134" s="550">
        <v>437.75</v>
      </c>
      <c r="I134" s="550">
        <v>339.90000000000003</v>
      </c>
      <c r="J134" s="550">
        <v>1153.6000000000001</v>
      </c>
      <c r="K134" s="550">
        <v>1055.75</v>
      </c>
      <c r="L134" s="474">
        <f t="shared" si="22"/>
        <v>1153.6000000000001</v>
      </c>
      <c r="M134" s="132">
        <f t="shared" si="23"/>
        <v>945.5400000000001</v>
      </c>
      <c r="N134" s="132">
        <f t="shared" si="24"/>
        <v>945.5400000000001</v>
      </c>
      <c r="O134" s="132">
        <f t="shared" si="25"/>
        <v>945.5400000000001</v>
      </c>
      <c r="P134" s="132">
        <f t="shared" si="26"/>
        <v>945.5400000000001</v>
      </c>
      <c r="Q134" s="132">
        <f t="shared" si="27"/>
        <v>945.5400000000001</v>
      </c>
      <c r="Y134" s="11"/>
      <c r="Z134" s="178"/>
    </row>
    <row r="135" spans="1:26" ht="15.75" hidden="1">
      <c r="A135" s="134"/>
      <c r="B135" s="135"/>
      <c r="C135" s="476">
        <f t="shared" si="21"/>
        <v>951.72</v>
      </c>
      <c r="D135" s="550">
        <v>951.72</v>
      </c>
      <c r="E135" s="550">
        <v>528.39</v>
      </c>
      <c r="F135" s="550">
        <v>631.39</v>
      </c>
      <c r="G135" s="550">
        <v>493.37</v>
      </c>
      <c r="H135" s="550">
        <v>461.44</v>
      </c>
      <c r="I135" s="550">
        <v>388.31</v>
      </c>
      <c r="J135" s="550">
        <v>1239.0900000000001</v>
      </c>
      <c r="K135" s="550">
        <v>1092.83</v>
      </c>
      <c r="L135" s="474">
        <f t="shared" si="22"/>
        <v>1239.0900000000001</v>
      </c>
      <c r="M135" s="132">
        <f t="shared" si="23"/>
        <v>951.72</v>
      </c>
      <c r="N135" s="132">
        <f t="shared" si="24"/>
        <v>951.72</v>
      </c>
      <c r="O135" s="132">
        <f t="shared" si="25"/>
        <v>951.72</v>
      </c>
      <c r="P135" s="132">
        <f t="shared" si="26"/>
        <v>951.72</v>
      </c>
      <c r="Q135" s="132">
        <f t="shared" si="27"/>
        <v>951.72</v>
      </c>
      <c r="Y135" s="11"/>
      <c r="Z135" s="178"/>
    </row>
    <row r="136" spans="1:26" ht="15.75" hidden="1">
      <c r="A136" s="134"/>
      <c r="B136" s="135"/>
      <c r="C136" s="476">
        <f t="shared" si="21"/>
        <v>901.25</v>
      </c>
      <c r="D136" s="550">
        <v>901.25</v>
      </c>
      <c r="E136" s="550">
        <v>692.16</v>
      </c>
      <c r="F136" s="550">
        <v>885.8000000000001</v>
      </c>
      <c r="G136" s="550">
        <v>559.29</v>
      </c>
      <c r="H136" s="550">
        <v>461.44</v>
      </c>
      <c r="I136" s="550">
        <v>388.31</v>
      </c>
      <c r="J136" s="550">
        <v>1275.14</v>
      </c>
      <c r="K136" s="550">
        <v>1129.91</v>
      </c>
      <c r="L136" s="474">
        <f t="shared" si="22"/>
        <v>1275.14</v>
      </c>
      <c r="M136" s="132">
        <f t="shared" si="23"/>
        <v>901.25</v>
      </c>
      <c r="N136" s="132">
        <f t="shared" si="24"/>
        <v>901.25</v>
      </c>
      <c r="O136" s="132">
        <f t="shared" si="25"/>
        <v>901.25</v>
      </c>
      <c r="P136" s="132">
        <f t="shared" si="26"/>
        <v>901.25</v>
      </c>
      <c r="Q136" s="132">
        <f t="shared" si="27"/>
        <v>901.25</v>
      </c>
      <c r="Y136" s="11"/>
      <c r="Z136" s="178"/>
    </row>
    <row r="137" spans="1:26" ht="15.75" hidden="1">
      <c r="A137" s="134"/>
      <c r="B137" s="135"/>
      <c r="C137" s="476">
        <f t="shared" si="21"/>
        <v>1120.64</v>
      </c>
      <c r="D137" s="550">
        <v>1120.64</v>
      </c>
      <c r="E137" s="550">
        <v>838.4200000000001</v>
      </c>
      <c r="F137" s="550">
        <v>959.96</v>
      </c>
      <c r="G137" s="550">
        <v>825.03</v>
      </c>
      <c r="H137" s="550">
        <v>679.8000000000001</v>
      </c>
      <c r="I137" s="550">
        <v>437.75</v>
      </c>
      <c r="J137" s="550">
        <v>1347.24</v>
      </c>
      <c r="K137" s="550">
        <v>1153.6000000000001</v>
      </c>
      <c r="L137" s="474">
        <f t="shared" si="22"/>
        <v>1347.24</v>
      </c>
      <c r="M137" s="132">
        <f t="shared" si="23"/>
        <v>1120.64</v>
      </c>
      <c r="N137" s="132">
        <f t="shared" si="24"/>
        <v>1120.64</v>
      </c>
      <c r="O137" s="132">
        <f t="shared" si="25"/>
        <v>1120.64</v>
      </c>
      <c r="P137" s="132">
        <f t="shared" si="26"/>
        <v>1120.64</v>
      </c>
      <c r="Q137" s="132">
        <f t="shared" si="27"/>
        <v>1120.64</v>
      </c>
      <c r="Y137" s="11"/>
      <c r="Z137" s="178"/>
    </row>
    <row r="138" spans="1:26" ht="15.75" hidden="1">
      <c r="A138" s="134"/>
      <c r="B138" s="135"/>
      <c r="C138" s="476">
        <f t="shared" si="21"/>
        <v>1435.82</v>
      </c>
      <c r="D138" s="550">
        <v>1435.82</v>
      </c>
      <c r="E138" s="550">
        <v>1055.75</v>
      </c>
      <c r="F138" s="550">
        <v>994.98</v>
      </c>
      <c r="G138" s="550">
        <v>801.34</v>
      </c>
      <c r="H138" s="550">
        <v>752.9300000000001</v>
      </c>
      <c r="I138" s="550">
        <v>437.75</v>
      </c>
      <c r="J138" s="550">
        <v>1432.73</v>
      </c>
      <c r="K138" s="550">
        <v>1188.6200000000001</v>
      </c>
      <c r="L138" s="474">
        <f t="shared" si="22"/>
        <v>1432.73</v>
      </c>
      <c r="M138" s="132">
        <f t="shared" si="23"/>
        <v>1435.82</v>
      </c>
      <c r="N138" s="132">
        <f t="shared" si="24"/>
        <v>1435.82</v>
      </c>
      <c r="O138" s="132">
        <f t="shared" si="25"/>
        <v>1435.82</v>
      </c>
      <c r="P138" s="132">
        <f t="shared" si="26"/>
        <v>1435.82</v>
      </c>
      <c r="Q138" s="132">
        <f t="shared" si="27"/>
        <v>1435.82</v>
      </c>
      <c r="Y138" s="11"/>
      <c r="Z138" s="178"/>
    </row>
    <row r="139" spans="1:26" ht="15.75" hidden="1">
      <c r="A139" s="134"/>
      <c r="B139" s="135"/>
      <c r="C139" s="476">
        <f t="shared" si="21"/>
        <v>1629.46</v>
      </c>
      <c r="D139" s="550">
        <v>1629.46</v>
      </c>
      <c r="E139" s="550">
        <v>1202.01</v>
      </c>
      <c r="F139" s="550">
        <v>1044.42</v>
      </c>
      <c r="G139" s="550">
        <v>801.34</v>
      </c>
      <c r="H139" s="550">
        <v>777.65</v>
      </c>
      <c r="I139" s="550">
        <v>461.44</v>
      </c>
      <c r="J139" s="550">
        <v>1493.5</v>
      </c>
      <c r="K139" s="550">
        <v>1225.7</v>
      </c>
      <c r="L139" s="474">
        <f t="shared" si="22"/>
        <v>1493.5</v>
      </c>
      <c r="M139" s="132">
        <f t="shared" si="23"/>
        <v>1629.46</v>
      </c>
      <c r="N139" s="132">
        <f t="shared" si="24"/>
        <v>1629.46</v>
      </c>
      <c r="O139" s="132">
        <f t="shared" si="25"/>
        <v>1629.46</v>
      </c>
      <c r="P139" s="132">
        <f t="shared" si="26"/>
        <v>1629.46</v>
      </c>
      <c r="Q139" s="132">
        <f t="shared" si="27"/>
        <v>1629.46</v>
      </c>
      <c r="Y139" s="11"/>
      <c r="Z139" s="178"/>
    </row>
    <row r="140" spans="1:26" ht="16.5" hidden="1" thickBot="1">
      <c r="A140" s="134"/>
      <c r="B140" s="135"/>
      <c r="C140" s="478">
        <f t="shared" si="21"/>
        <v>1691.26</v>
      </c>
      <c r="D140" s="550">
        <v>1691.26</v>
      </c>
      <c r="E140" s="550">
        <v>1239.0900000000001</v>
      </c>
      <c r="F140" s="550">
        <v>1164.93</v>
      </c>
      <c r="G140" s="550">
        <v>813.7</v>
      </c>
      <c r="H140" s="550">
        <v>801.34</v>
      </c>
      <c r="I140" s="550">
        <v>461.44</v>
      </c>
      <c r="J140" s="550">
        <v>1505.8600000000001</v>
      </c>
      <c r="K140" s="550">
        <v>1239.0900000000001</v>
      </c>
      <c r="L140" s="474">
        <f t="shared" si="22"/>
        <v>1505.8600000000001</v>
      </c>
      <c r="M140" s="132">
        <f t="shared" si="23"/>
        <v>1691.26</v>
      </c>
      <c r="N140" s="132">
        <f t="shared" si="24"/>
        <v>1691.26</v>
      </c>
      <c r="O140" s="132">
        <f t="shared" si="25"/>
        <v>1691.26</v>
      </c>
      <c r="P140" s="132">
        <f t="shared" si="26"/>
        <v>1691.26</v>
      </c>
      <c r="Q140" s="132">
        <f t="shared" si="27"/>
        <v>1691.26</v>
      </c>
      <c r="Y140" s="11"/>
      <c r="Z140" s="178"/>
    </row>
    <row r="141" spans="1:26" ht="16.5" hidden="1" thickTop="1">
      <c r="A141" s="134"/>
      <c r="B141" s="135"/>
      <c r="C141" s="136"/>
      <c r="D141" s="373"/>
      <c r="E141" s="136"/>
      <c r="F141" s="136"/>
      <c r="G141" s="135"/>
      <c r="H141" s="136"/>
      <c r="I141" s="2"/>
      <c r="J141" s="2"/>
      <c r="K141" s="2"/>
      <c r="Y141" s="11"/>
      <c r="Z141" s="178"/>
    </row>
    <row r="142" spans="1:26" ht="15.75" hidden="1">
      <c r="A142" s="134"/>
      <c r="B142" s="135"/>
      <c r="C142" s="136"/>
      <c r="D142" s="373"/>
      <c r="E142" s="136"/>
      <c r="F142" s="136"/>
      <c r="G142" s="135"/>
      <c r="H142" s="136"/>
      <c r="I142" s="2"/>
      <c r="J142" s="2"/>
      <c r="K142" s="2"/>
      <c r="Y142" s="11"/>
      <c r="Z142" s="178"/>
    </row>
    <row r="143" spans="1:26" ht="15.75" hidden="1">
      <c r="A143" s="134"/>
      <c r="B143" s="135"/>
      <c r="C143" s="136"/>
      <c r="D143" s="373"/>
      <c r="E143" s="136"/>
      <c r="F143" s="136"/>
      <c r="G143" s="135"/>
      <c r="H143" s="136"/>
      <c r="I143" s="2"/>
      <c r="J143" s="2"/>
      <c r="K143" s="2"/>
      <c r="Y143" s="11"/>
      <c r="Z143" s="178"/>
    </row>
    <row r="144" spans="1:26" ht="15.75" hidden="1">
      <c r="A144" s="134"/>
      <c r="B144" s="135"/>
      <c r="C144" s="136"/>
      <c r="D144" s="373"/>
      <c r="E144" s="136"/>
      <c r="F144" s="136"/>
      <c r="G144" s="135"/>
      <c r="H144" s="136"/>
      <c r="I144" s="2"/>
      <c r="J144" s="2"/>
      <c r="K144" s="2"/>
      <c r="Y144" s="11"/>
      <c r="Z144" s="178"/>
    </row>
    <row r="145" spans="1:26" ht="15.75" hidden="1">
      <c r="A145" s="134"/>
      <c r="B145" s="135"/>
      <c r="C145" s="136"/>
      <c r="D145" s="373"/>
      <c r="E145" s="136"/>
      <c r="F145" s="136"/>
      <c r="G145" s="135"/>
      <c r="H145" s="136"/>
      <c r="I145" s="2"/>
      <c r="J145" s="2"/>
      <c r="K145" s="2"/>
      <c r="Y145" s="11"/>
      <c r="Z145" s="178"/>
    </row>
    <row r="146" spans="1:26" ht="15.75" hidden="1">
      <c r="A146" s="134"/>
      <c r="B146" s="135"/>
      <c r="C146" s="136"/>
      <c r="D146" s="373"/>
      <c r="E146" s="136"/>
      <c r="F146" s="136"/>
      <c r="G146" s="135"/>
      <c r="H146" s="136"/>
      <c r="I146" s="2"/>
      <c r="J146" s="2"/>
      <c r="K146" s="2"/>
      <c r="Y146" s="11"/>
      <c r="Z146" s="178"/>
    </row>
    <row r="147" spans="1:26" ht="15.75" hidden="1">
      <c r="A147" s="134"/>
      <c r="B147" s="135"/>
      <c r="C147" s="136"/>
      <c r="D147" s="373"/>
      <c r="E147" s="136"/>
      <c r="F147" s="136"/>
      <c r="G147" s="135"/>
      <c r="H147" s="136"/>
      <c r="I147" s="2"/>
      <c r="J147" s="2"/>
      <c r="K147" s="2"/>
      <c r="Y147" s="11"/>
      <c r="Z147" s="178"/>
    </row>
    <row r="148" spans="1:26" ht="15.75" hidden="1">
      <c r="A148" s="134"/>
      <c r="B148" s="135"/>
      <c r="C148" s="136"/>
      <c r="D148" s="373"/>
      <c r="E148" s="136"/>
      <c r="F148" s="136"/>
      <c r="G148" s="135"/>
      <c r="H148" s="136"/>
      <c r="I148" s="2"/>
      <c r="J148" s="2"/>
      <c r="K148" s="2"/>
      <c r="Y148" s="11"/>
      <c r="Z148" s="178"/>
    </row>
    <row r="149" spans="1:26" ht="15.75" hidden="1">
      <c r="A149" s="134"/>
      <c r="B149" s="135"/>
      <c r="C149" s="136"/>
      <c r="D149" s="373"/>
      <c r="E149" s="136"/>
      <c r="F149" s="136"/>
      <c r="G149" s="135"/>
      <c r="H149" s="136"/>
      <c r="I149" s="2"/>
      <c r="J149" s="2"/>
      <c r="K149" s="2"/>
      <c r="Y149" s="11"/>
      <c r="Z149" s="178"/>
    </row>
    <row r="150" spans="1:26" ht="15.75" hidden="1">
      <c r="A150" s="134"/>
      <c r="B150" s="135"/>
      <c r="C150" s="136"/>
      <c r="D150" s="373"/>
      <c r="E150" s="136"/>
      <c r="F150" s="136"/>
      <c r="G150" s="135"/>
      <c r="H150" s="136"/>
      <c r="I150" s="2"/>
      <c r="J150" s="2"/>
      <c r="K150" s="2"/>
      <c r="Y150" s="11"/>
      <c r="Z150" s="178"/>
    </row>
    <row r="151" spans="1:26" ht="15.75" hidden="1">
      <c r="A151" s="134"/>
      <c r="B151" s="135"/>
      <c r="C151" s="136"/>
      <c r="D151" s="373"/>
      <c r="E151" s="136"/>
      <c r="F151" s="136"/>
      <c r="G151" s="135"/>
      <c r="H151" s="136"/>
      <c r="I151" s="2"/>
      <c r="J151" s="2"/>
      <c r="K151" s="2"/>
      <c r="Y151" s="11"/>
      <c r="Z151" s="178"/>
    </row>
    <row r="152" spans="1:26" ht="15.75" hidden="1">
      <c r="A152" s="134"/>
      <c r="B152" s="135"/>
      <c r="C152" s="136"/>
      <c r="D152" s="373"/>
      <c r="E152" s="136"/>
      <c r="F152" s="136"/>
      <c r="G152" s="135"/>
      <c r="H152" s="136"/>
      <c r="I152" s="2"/>
      <c r="J152" s="2"/>
      <c r="K152" s="2"/>
      <c r="Y152" s="11"/>
      <c r="Z152" s="178"/>
    </row>
    <row r="153" spans="1:26" ht="15.75" hidden="1">
      <c r="A153" s="134"/>
      <c r="B153" s="135"/>
      <c r="C153" s="136"/>
      <c r="D153" s="373"/>
      <c r="E153" s="136"/>
      <c r="F153" s="136"/>
      <c r="G153" s="135"/>
      <c r="H153" s="136"/>
      <c r="I153" s="2"/>
      <c r="J153" s="2"/>
      <c r="K153" s="2"/>
      <c r="Y153" s="11"/>
      <c r="Z153" s="178"/>
    </row>
    <row r="154" spans="1:26" ht="15.75" hidden="1">
      <c r="A154" s="134"/>
      <c r="B154" s="135"/>
      <c r="C154" s="136"/>
      <c r="D154" s="373"/>
      <c r="E154" s="136"/>
      <c r="F154" s="136"/>
      <c r="G154" s="135"/>
      <c r="H154" s="136"/>
      <c r="I154" s="2"/>
      <c r="J154" s="2"/>
      <c r="K154" s="2"/>
      <c r="Y154" s="11"/>
      <c r="Z154" s="178"/>
    </row>
    <row r="155" spans="1:26" ht="15.75" hidden="1">
      <c r="A155" s="134"/>
      <c r="B155" s="135"/>
      <c r="C155" s="136"/>
      <c r="D155" s="373"/>
      <c r="E155" s="136"/>
      <c r="F155" s="136"/>
      <c r="G155" s="135"/>
      <c r="H155" s="136"/>
      <c r="I155" s="2"/>
      <c r="J155" s="2"/>
      <c r="K155" s="2"/>
      <c r="Y155" s="11"/>
      <c r="Z155" s="178"/>
    </row>
    <row r="156" spans="1:26" ht="15.75" hidden="1">
      <c r="A156" s="134"/>
      <c r="B156" s="135"/>
      <c r="C156" s="136"/>
      <c r="D156" s="373"/>
      <c r="E156" s="136"/>
      <c r="F156" s="136"/>
      <c r="G156" s="135"/>
      <c r="H156" s="136"/>
      <c r="I156" s="2"/>
      <c r="J156" s="2"/>
      <c r="K156" s="2"/>
      <c r="Y156" s="11"/>
      <c r="Z156" s="178"/>
    </row>
    <row r="157" spans="1:26" ht="15.75" hidden="1">
      <c r="A157" s="134"/>
      <c r="B157" s="135"/>
      <c r="C157" s="136"/>
      <c r="D157" s="373"/>
      <c r="E157" s="136"/>
      <c r="F157" s="136"/>
      <c r="G157" s="135"/>
      <c r="H157" s="136"/>
      <c r="I157" s="2"/>
      <c r="J157" s="2"/>
      <c r="K157" s="2"/>
      <c r="Y157" s="11"/>
      <c r="Z157" s="178"/>
    </row>
    <row r="158" spans="1:26" ht="15.75" hidden="1">
      <c r="A158" s="134"/>
      <c r="B158" s="135"/>
      <c r="C158" s="136"/>
      <c r="D158" s="373"/>
      <c r="E158" s="136"/>
      <c r="F158" s="136"/>
      <c r="G158" s="135"/>
      <c r="H158" s="136"/>
      <c r="I158" s="2"/>
      <c r="J158" s="2"/>
      <c r="K158" s="2"/>
      <c r="Y158" s="11"/>
      <c r="Z158" s="178"/>
    </row>
    <row r="159" spans="1:26" s="547" customFormat="1" ht="15.75" hidden="1">
      <c r="A159" s="543"/>
      <c r="B159" s="544"/>
      <c r="C159" s="545"/>
      <c r="D159" s="546"/>
      <c r="E159" s="545"/>
      <c r="F159" s="545"/>
      <c r="G159" s="544"/>
      <c r="H159" s="545"/>
      <c r="I159" s="545"/>
      <c r="J159" s="545"/>
      <c r="K159" s="545"/>
      <c r="Y159" s="545"/>
      <c r="Z159" s="548"/>
    </row>
    <row r="160" spans="1:26" s="547" customFormat="1" ht="15.75" hidden="1">
      <c r="A160" s="543"/>
      <c r="B160" s="544"/>
      <c r="C160" s="545"/>
      <c r="D160" s="546"/>
      <c r="E160" s="545"/>
      <c r="F160" s="545"/>
      <c r="G160" s="544"/>
      <c r="H160" s="545"/>
      <c r="I160" s="545"/>
      <c r="J160" s="545"/>
      <c r="K160" s="545"/>
      <c r="Y160" s="545"/>
      <c r="Z160" s="548"/>
    </row>
    <row r="161" spans="1:26" s="547" customFormat="1" ht="15.75" hidden="1">
      <c r="A161" s="543"/>
      <c r="B161" s="549"/>
      <c r="C161" s="545"/>
      <c r="D161" s="545"/>
      <c r="E161" s="545"/>
      <c r="F161" s="545"/>
      <c r="G161" s="544"/>
      <c r="H161" s="545"/>
      <c r="I161" s="545"/>
      <c r="J161" s="545"/>
      <c r="K161" s="545"/>
      <c r="Y161" s="545"/>
      <c r="Z161" s="548"/>
    </row>
    <row r="162" spans="2:26" s="69" customFormat="1" ht="15.75">
      <c r="B162" s="52"/>
      <c r="C162" s="128"/>
      <c r="D162" s="128"/>
      <c r="E162" s="11"/>
      <c r="F162" s="11"/>
      <c r="G162" s="70"/>
      <c r="H162" s="11"/>
      <c r="I162" s="11"/>
      <c r="J162" s="11"/>
      <c r="K162" s="11"/>
      <c r="Y162" s="11"/>
      <c r="Z162" s="178"/>
    </row>
    <row r="163" spans="1:26" ht="15.75">
      <c r="A163" s="279"/>
      <c r="B163" s="295"/>
      <c r="C163" s="296"/>
      <c r="D163" s="296"/>
      <c r="E163" s="452"/>
      <c r="F163" s="295"/>
      <c r="G163" s="296"/>
      <c r="H163" s="296"/>
      <c r="I163" s="2"/>
      <c r="J163" s="295"/>
      <c r="K163" s="296"/>
      <c r="L163" s="296"/>
      <c r="Y163" s="11"/>
      <c r="Z163" s="178"/>
    </row>
    <row r="164" spans="1:26" ht="20.25">
      <c r="A164" s="11"/>
      <c r="B164" s="160"/>
      <c r="C164" s="379" t="s">
        <v>342</v>
      </c>
      <c r="D164" s="160"/>
      <c r="E164" s="450"/>
      <c r="F164" s="160"/>
      <c r="G164" s="379" t="s">
        <v>342</v>
      </c>
      <c r="H164" s="160"/>
      <c r="I164" s="2"/>
      <c r="J164" s="160"/>
      <c r="K164" s="379" t="s">
        <v>342</v>
      </c>
      <c r="L164" s="160"/>
      <c r="Y164" s="11"/>
      <c r="Z164" s="178"/>
    </row>
    <row r="165" spans="1:26" ht="15.75">
      <c r="A165" s="11"/>
      <c r="B165" s="11"/>
      <c r="C165" s="11"/>
      <c r="D165" s="11"/>
      <c r="E165" s="11"/>
      <c r="F165" s="11"/>
      <c r="G165" s="70"/>
      <c r="H165" s="11"/>
      <c r="I165" s="2"/>
      <c r="J165" s="2"/>
      <c r="K165" s="2"/>
      <c r="Y165" s="11"/>
      <c r="Z165" s="178"/>
    </row>
    <row r="166" spans="1:26" ht="15.75">
      <c r="A166" s="95" t="s">
        <v>36</v>
      </c>
      <c r="B166" s="39" t="s">
        <v>333</v>
      </c>
      <c r="C166" s="39" t="s">
        <v>334</v>
      </c>
      <c r="D166" s="39" t="s">
        <v>335</v>
      </c>
      <c r="E166" s="39" t="s">
        <v>336</v>
      </c>
      <c r="F166" s="95" t="s">
        <v>382</v>
      </c>
      <c r="G166" s="95" t="s">
        <v>408</v>
      </c>
      <c r="H166" s="492" t="s">
        <v>447</v>
      </c>
      <c r="I166" s="2"/>
      <c r="J166" s="2"/>
      <c r="K166" s="2"/>
      <c r="Y166" s="11"/>
      <c r="Z166" s="178"/>
    </row>
    <row r="167" spans="1:26" ht="16.5" thickBot="1">
      <c r="A167" s="280">
        <v>749</v>
      </c>
      <c r="B167" s="76">
        <f>LOOKUP(A167,Cargos!A3:A317,Cargos!C3:C317)</f>
        <v>971</v>
      </c>
      <c r="C167" s="76">
        <f>LOOKUP(A167,Cargos!A3:A317,tardif)</f>
        <v>0</v>
      </c>
      <c r="D167" s="76">
        <f>LOOKUP(A167,Cargos!A3:A317,proljor)</f>
        <v>0</v>
      </c>
      <c r="E167" s="76">
        <f>LOOKUP(A167,Cargos!A3:A317,jorcom)</f>
        <v>0</v>
      </c>
      <c r="F167" s="39">
        <f>LOOKUP(A167,Cargos!A3:A317,puntoscompbasico)</f>
        <v>216</v>
      </c>
      <c r="G167" s="76">
        <f>LOOKUP(A167,Cargos!A3:A317,adicdir)</f>
        <v>0</v>
      </c>
      <c r="H167" s="11">
        <f>LOOKUP(A167,Cargos!A3:A317,adicdir2013)</f>
        <v>0</v>
      </c>
      <c r="I167" s="2"/>
      <c r="J167" s="2"/>
      <c r="K167" s="2"/>
      <c r="Y167" s="11"/>
      <c r="Z167" s="178"/>
    </row>
    <row r="168" spans="1:26" ht="16.5" thickBot="1">
      <c r="A168" s="281" t="s">
        <v>37</v>
      </c>
      <c r="B168" s="78" t="str">
        <f>LOOKUP(A167,Cargos!A3:A317,Cargos!B3:B317)</f>
        <v> MAESTRO DE GRADO</v>
      </c>
      <c r="C168" s="38"/>
      <c r="D168" s="38"/>
      <c r="E168" s="57"/>
      <c r="F168" s="11"/>
      <c r="G168" s="465" t="s">
        <v>437</v>
      </c>
      <c r="H168" s="540" t="s">
        <v>450</v>
      </c>
      <c r="I168" s="2"/>
      <c r="J168" s="2"/>
      <c r="K168" s="2"/>
      <c r="Y168" s="11"/>
      <c r="Z168" s="178"/>
    </row>
    <row r="169" spans="1:26" ht="16.5" thickBot="1">
      <c r="A169" s="279"/>
      <c r="B169" s="70"/>
      <c r="C169" s="11"/>
      <c r="D169" s="11"/>
      <c r="E169" s="11"/>
      <c r="F169" s="463" t="s">
        <v>356</v>
      </c>
      <c r="G169" s="464">
        <f>LOOKUP(A167,Cargos!A3:A317,viejocompbasico)</f>
        <v>170</v>
      </c>
      <c r="H169" s="464">
        <f>LOOKUP(A167,Cargos!A3:A317,puntoscompbas2013)</f>
        <v>260</v>
      </c>
      <c r="I169" s="2"/>
      <c r="J169" s="2"/>
      <c r="K169" s="2"/>
      <c r="Y169" s="11"/>
      <c r="Z169" s="178"/>
    </row>
    <row r="170" spans="1:26" ht="17.25" thickBot="1" thickTop="1">
      <c r="A170" s="279"/>
      <c r="B170" s="116" t="s">
        <v>350</v>
      </c>
      <c r="C170" s="117"/>
      <c r="D170" s="117"/>
      <c r="E170" s="122">
        <v>120</v>
      </c>
      <c r="F170" s="124">
        <f>E170/120</f>
        <v>1</v>
      </c>
      <c r="G170" s="70"/>
      <c r="H170" s="11"/>
      <c r="I170" s="2"/>
      <c r="J170" s="2"/>
      <c r="K170" s="2"/>
      <c r="Y170" s="11"/>
      <c r="Z170" s="178"/>
    </row>
    <row r="171" spans="1:26" ht="17.25" thickBot="1" thickTop="1">
      <c r="A171" s="279"/>
      <c r="B171" s="70"/>
      <c r="C171" s="11"/>
      <c r="D171" s="11"/>
      <c r="E171" s="294"/>
      <c r="F171" s="11"/>
      <c r="G171" s="70"/>
      <c r="H171" s="11"/>
      <c r="I171" s="2"/>
      <c r="J171" s="2"/>
      <c r="K171" s="2"/>
      <c r="Y171" s="11"/>
      <c r="Z171" s="178"/>
    </row>
    <row r="172" spans="1:26" ht="17.25" thickBot="1" thickTop="1">
      <c r="A172" s="279"/>
      <c r="B172" s="115" t="s">
        <v>358</v>
      </c>
      <c r="C172" s="347">
        <v>0</v>
      </c>
      <c r="D172" s="348" t="s">
        <v>393</v>
      </c>
      <c r="E172" s="349"/>
      <c r="F172" s="372">
        <v>0.82</v>
      </c>
      <c r="G172" s="70"/>
      <c r="H172" s="11"/>
      <c r="I172" s="2"/>
      <c r="J172" s="2"/>
      <c r="K172" s="2"/>
      <c r="Y172" s="11"/>
      <c r="Z172" s="178"/>
    </row>
    <row r="173" spans="1:32" ht="16.5" thickTop="1">
      <c r="A173" s="279"/>
      <c r="B173" s="70"/>
      <c r="C173" s="11"/>
      <c r="D173" s="11"/>
      <c r="E173" s="11"/>
      <c r="F173" s="11"/>
      <c r="G173" s="70"/>
      <c r="H173" s="11"/>
      <c r="I173" s="11"/>
      <c r="J173" s="11"/>
      <c r="K173" s="11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11"/>
      <c r="Z173" s="178"/>
      <c r="AA173" s="69"/>
      <c r="AB173" s="69"/>
      <c r="AC173" s="69"/>
      <c r="AD173" s="69"/>
      <c r="AE173" s="69"/>
      <c r="AF173" s="69"/>
    </row>
    <row r="174" spans="1:32" ht="11.25" customHeight="1" thickBot="1">
      <c r="A174" s="279"/>
      <c r="B174" s="70"/>
      <c r="C174" s="11"/>
      <c r="D174" s="11"/>
      <c r="E174" s="11"/>
      <c r="F174" s="11"/>
      <c r="G174" s="70"/>
      <c r="H174" s="11"/>
      <c r="I174" s="11"/>
      <c r="J174" s="11"/>
      <c r="K174" s="11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11"/>
      <c r="Z174" s="178"/>
      <c r="AA174" s="69"/>
      <c r="AB174" s="69"/>
      <c r="AC174" s="69"/>
      <c r="AD174" s="69"/>
      <c r="AE174" s="69"/>
      <c r="AF174" s="69"/>
    </row>
    <row r="175" spans="1:32" ht="16.5" thickBot="1">
      <c r="A175" s="69"/>
      <c r="B175" s="156" t="s">
        <v>14</v>
      </c>
      <c r="C175" s="157"/>
      <c r="D175" s="158">
        <v>1.2</v>
      </c>
      <c r="E175" s="69" t="s">
        <v>15</v>
      </c>
      <c r="F175" s="69"/>
      <c r="G175" s="69"/>
      <c r="H175" s="69"/>
      <c r="I175" s="28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</row>
    <row r="176" spans="1:27" ht="12" customHeight="1">
      <c r="A176" s="69"/>
      <c r="B176" s="11"/>
      <c r="C176" s="11"/>
      <c r="D176" s="290"/>
      <c r="E176" s="69"/>
      <c r="F176" s="69"/>
      <c r="G176" s="69"/>
      <c r="H176" s="69"/>
      <c r="I176" s="291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</row>
    <row r="177" spans="1:27" ht="18.75" thickBot="1">
      <c r="A177" s="69"/>
      <c r="B177" s="292" t="s">
        <v>16</v>
      </c>
      <c r="C177" s="292"/>
      <c r="D177" s="293">
        <f>B167</f>
        <v>971</v>
      </c>
      <c r="E177" s="69" t="s">
        <v>17</v>
      </c>
      <c r="F177" s="267" t="s">
        <v>383</v>
      </c>
      <c r="G177" s="338">
        <f>puntosproljornada+puntosjornadacompleta</f>
        <v>0</v>
      </c>
      <c r="H177" s="11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</row>
    <row r="178" spans="1:27" ht="12.75" customHeight="1">
      <c r="A178" s="69"/>
      <c r="B178" s="11"/>
      <c r="C178" s="11"/>
      <c r="D178" s="290"/>
      <c r="E178" s="69"/>
      <c r="F178" s="69"/>
      <c r="G178" s="11"/>
      <c r="H178" s="220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</row>
    <row r="179" spans="1:19" ht="18">
      <c r="A179" s="69"/>
      <c r="B179" s="445" t="s">
        <v>436</v>
      </c>
      <c r="C179" s="446"/>
      <c r="D179" s="446"/>
      <c r="G179" s="491" t="s">
        <v>446</v>
      </c>
      <c r="H179" s="490"/>
      <c r="I179" s="490"/>
      <c r="L179" s="493" t="s">
        <v>453</v>
      </c>
      <c r="M179" s="494"/>
      <c r="N179" s="494"/>
      <c r="Q179" s="445" t="s">
        <v>473</v>
      </c>
      <c r="R179" s="446"/>
      <c r="S179" s="446"/>
    </row>
    <row r="180" spans="1:19" ht="12.75" customHeight="1" thickBot="1">
      <c r="A180" s="69"/>
      <c r="B180" s="285"/>
      <c r="C180" s="69"/>
      <c r="D180" s="69"/>
      <c r="G180" s="285"/>
      <c r="H180" s="69"/>
      <c r="I180" s="69"/>
      <c r="L180" s="285"/>
      <c r="M180" s="69"/>
      <c r="N180" s="69"/>
      <c r="Q180" s="285"/>
      <c r="R180" s="69"/>
      <c r="S180" s="69"/>
    </row>
    <row r="181" spans="1:19" ht="12.75">
      <c r="A181" s="69"/>
      <c r="B181" s="199">
        <v>400</v>
      </c>
      <c r="C181" s="200" t="s">
        <v>18</v>
      </c>
      <c r="D181" s="201">
        <f>punbasjub*indicejul12*porjubcar*frac</f>
        <v>1204.4419939999998</v>
      </c>
      <c r="G181" s="199">
        <v>400</v>
      </c>
      <c r="H181" s="200" t="s">
        <v>18</v>
      </c>
      <c r="I181" s="201">
        <f>punbasjub*indicemar2013*porjubcar*frac</f>
        <v>1421.2526999999998</v>
      </c>
      <c r="L181" s="199">
        <v>400</v>
      </c>
      <c r="M181" s="200" t="s">
        <v>18</v>
      </c>
      <c r="N181" s="201">
        <f>punbasjub*indiceago13*porjubcar*frac</f>
        <v>1506.5278619999997</v>
      </c>
      <c r="Q181" s="199">
        <v>400</v>
      </c>
      <c r="R181" s="200" t="s">
        <v>18</v>
      </c>
      <c r="S181" s="201">
        <f>punbasjub*indiceoct13*porjubcar*frac</f>
        <v>1551.753158</v>
      </c>
    </row>
    <row r="182" spans="1:19" ht="13.5" thickBot="1">
      <c r="A182" s="69"/>
      <c r="B182" s="17">
        <v>542</v>
      </c>
      <c r="C182" s="17" t="s">
        <v>390</v>
      </c>
      <c r="D182" s="203">
        <f>compbasico*indicejul12*porjubcar*frac</f>
        <v>267.929424</v>
      </c>
      <c r="G182" s="17">
        <v>542</v>
      </c>
      <c r="H182" s="17" t="s">
        <v>390</v>
      </c>
      <c r="I182" s="203">
        <f>compbasico2013*indicemar2013*porjubcar*frac</f>
        <v>380.56199999999995</v>
      </c>
      <c r="L182" s="17">
        <v>542</v>
      </c>
      <c r="M182" s="17" t="s">
        <v>390</v>
      </c>
      <c r="N182" s="203">
        <f>compbasico2013*indiceago13*porjubcar*frac</f>
        <v>403.3957199999999</v>
      </c>
      <c r="Q182" s="17">
        <v>542</v>
      </c>
      <c r="R182" s="17" t="s">
        <v>390</v>
      </c>
      <c r="S182" s="203">
        <f>compbasico2013*indiceoct13*porjubcar*frac</f>
        <v>415.50548</v>
      </c>
    </row>
    <row r="183" spans="1:19" ht="12.75">
      <c r="A183" s="69"/>
      <c r="B183" s="541">
        <v>428</v>
      </c>
      <c r="C183" s="15" t="s">
        <v>407</v>
      </c>
      <c r="D183" s="542">
        <f>puntosadicdir*indicejul12*porjubcar*frac</f>
        <v>0</v>
      </c>
      <c r="G183" s="541">
        <v>428</v>
      </c>
      <c r="H183" s="15" t="s">
        <v>407</v>
      </c>
      <c r="I183" s="542">
        <f>puntosadicdir2013*indicemar2013*porjubcar*frac</f>
        <v>0</v>
      </c>
      <c r="L183" s="541">
        <v>428</v>
      </c>
      <c r="M183" s="15" t="s">
        <v>407</v>
      </c>
      <c r="N183" s="542">
        <f>puntosadicdir2013*indiceago13*porjubcar*frac</f>
        <v>0</v>
      </c>
      <c r="Q183" s="541">
        <v>428</v>
      </c>
      <c r="R183" s="15" t="s">
        <v>407</v>
      </c>
      <c r="S183" s="542">
        <f>puntosadicdir2013*indiceoct13*porjubcar*frac</f>
        <v>0</v>
      </c>
    </row>
    <row r="184" spans="1:19" ht="12.75">
      <c r="A184" s="69"/>
      <c r="B184" s="202">
        <v>404</v>
      </c>
      <c r="C184" s="328" t="s">
        <v>338</v>
      </c>
      <c r="D184" s="203">
        <f>puntostareadifer*indicejul12*porjubcar*frac</f>
        <v>0</v>
      </c>
      <c r="G184" s="202">
        <v>404</v>
      </c>
      <c r="H184" s="328" t="s">
        <v>338</v>
      </c>
      <c r="I184" s="203">
        <f>puntostareadifer*indicemar2013*porjubcar*frac</f>
        <v>0</v>
      </c>
      <c r="L184" s="202">
        <v>404</v>
      </c>
      <c r="M184" s="328" t="s">
        <v>338</v>
      </c>
      <c r="N184" s="203">
        <f>puntostareadifer*indiceago13*porjubcar*frac</f>
        <v>0</v>
      </c>
      <c r="Q184" s="202">
        <v>404</v>
      </c>
      <c r="R184" s="328" t="s">
        <v>338</v>
      </c>
      <c r="S184" s="203">
        <f>puntostareadifer*indiceoct13*porjubcar*frac</f>
        <v>0</v>
      </c>
    </row>
    <row r="185" spans="1:19" ht="12.75">
      <c r="A185" s="69"/>
      <c r="B185" s="202">
        <v>406</v>
      </c>
      <c r="C185" s="17" t="s">
        <v>19</v>
      </c>
      <c r="D185" s="203">
        <f>(D181+D182+D183+D184+D187)*porcantigcargo</f>
        <v>1766.8457015999995</v>
      </c>
      <c r="G185" s="202">
        <v>406</v>
      </c>
      <c r="H185" s="17" t="s">
        <v>19</v>
      </c>
      <c r="I185" s="203">
        <f>(I181+I182+I183+I184+I187)*porcantigcargo</f>
        <v>2162.1776399999994</v>
      </c>
      <c r="L185" s="202">
        <v>406</v>
      </c>
      <c r="M185" s="17" t="s">
        <v>19</v>
      </c>
      <c r="N185" s="203">
        <f>(N181+N182+N183+N184+N187)*porcantigcargo</f>
        <v>2291.9082983999997</v>
      </c>
      <c r="Q185" s="202">
        <v>406</v>
      </c>
      <c r="R185" s="17" t="s">
        <v>19</v>
      </c>
      <c r="S185" s="203">
        <f>(S181+S182+S183+S184+S187)*porcantigcargo</f>
        <v>2360.7103656</v>
      </c>
    </row>
    <row r="186" spans="1:19" ht="12.75">
      <c r="A186" s="69"/>
      <c r="B186" s="202">
        <v>408</v>
      </c>
      <c r="C186" s="17" t="s">
        <v>357</v>
      </c>
      <c r="D186" s="203">
        <f>(D181+D182+D183+D187)*porczona</f>
        <v>0</v>
      </c>
      <c r="G186" s="202">
        <v>408</v>
      </c>
      <c r="H186" s="17" t="s">
        <v>357</v>
      </c>
      <c r="I186" s="203">
        <f>(I181+I182+I183+I187)*porczona</f>
        <v>0</v>
      </c>
      <c r="L186" s="202">
        <v>408</v>
      </c>
      <c r="M186" s="17" t="s">
        <v>357</v>
      </c>
      <c r="N186" s="203">
        <f>(N181+N182+N183+N187)*porczona</f>
        <v>0</v>
      </c>
      <c r="Q186" s="202">
        <v>408</v>
      </c>
      <c r="R186" s="17" t="s">
        <v>357</v>
      </c>
      <c r="S186" s="203">
        <f>(S181+S182+S183+S187)*porczona</f>
        <v>0</v>
      </c>
    </row>
    <row r="187" spans="1:19" ht="12.75">
      <c r="A187" s="69"/>
      <c r="B187" s="202">
        <v>416</v>
      </c>
      <c r="C187" s="85" t="s">
        <v>339</v>
      </c>
      <c r="D187" s="203">
        <f>puntosproljor*proljorjul12*porjubcar*frac</f>
        <v>0</v>
      </c>
      <c r="G187" s="202">
        <v>416</v>
      </c>
      <c r="H187" s="85" t="s">
        <v>339</v>
      </c>
      <c r="I187" s="203">
        <f>puntosproljor*Indiceproljormar2013*porjubcar*frac</f>
        <v>0</v>
      </c>
      <c r="L187" s="202">
        <v>416</v>
      </c>
      <c r="M187" s="85" t="s">
        <v>339</v>
      </c>
      <c r="N187" s="203">
        <f>puntosproljor*indiceproljorago13*porjubcar*frac</f>
        <v>0</v>
      </c>
      <c r="Q187" s="202">
        <v>416</v>
      </c>
      <c r="R187" s="85" t="s">
        <v>339</v>
      </c>
      <c r="S187" s="203">
        <f>puntosproljor*indiceproljoroct13*porjubcar*frac</f>
        <v>0</v>
      </c>
    </row>
    <row r="188" spans="1:19" ht="12.75">
      <c r="A188" s="282"/>
      <c r="B188" s="202">
        <v>432</v>
      </c>
      <c r="C188" s="17" t="s">
        <v>355</v>
      </c>
      <c r="D188" s="203">
        <f>cod06jul12*porjubcar*frac</f>
        <v>1141.4399999999998</v>
      </c>
      <c r="G188" s="202">
        <v>432</v>
      </c>
      <c r="H188" s="17" t="s">
        <v>355</v>
      </c>
      <c r="I188" s="203">
        <f>cod06mar13*porjubcar*frac</f>
        <v>1258.6999999999998</v>
      </c>
      <c r="L188" s="202">
        <v>432</v>
      </c>
      <c r="M188" s="17" t="s">
        <v>355</v>
      </c>
      <c r="N188" s="203">
        <f>cod06ago13*porjubcar*frac</f>
        <v>1346.4399999999998</v>
      </c>
      <c r="Q188" s="202">
        <v>432</v>
      </c>
      <c r="R188" s="17" t="s">
        <v>355</v>
      </c>
      <c r="S188" s="203">
        <f>cod06oct13*porjubcar*frac</f>
        <v>1386.8331999999998</v>
      </c>
    </row>
    <row r="189" spans="1:19" ht="12.75">
      <c r="A189" s="282"/>
      <c r="B189" s="202">
        <v>434</v>
      </c>
      <c r="C189" s="17" t="s">
        <v>337</v>
      </c>
      <c r="D189" s="203">
        <f>(D181+D182+D183+D184+D185+D186+D187+D188)*0.07*0.95</f>
        <v>291.3136984533999</v>
      </c>
      <c r="G189" s="202">
        <v>434</v>
      </c>
      <c r="H189" s="17" t="s">
        <v>337</v>
      </c>
      <c r="I189" s="203">
        <f>(I181+I182+I183+I184+I185+I186+I187+I188)*0.07*0.95</f>
        <v>347.30904060999995</v>
      </c>
      <c r="L189" s="202">
        <v>434</v>
      </c>
      <c r="M189" s="17" t="s">
        <v>337</v>
      </c>
      <c r="N189" s="203">
        <f>(N181+N182+N183+N184+N185+N186+N187+N188)*0.07*0.95</f>
        <v>368.96008004659996</v>
      </c>
      <c r="Q189" s="202">
        <v>434</v>
      </c>
      <c r="R189" s="17" t="s">
        <v>337</v>
      </c>
      <c r="S189" s="203">
        <f>(S181+S182+S183+S184+S185+S186+S187+S188)*0.07*0.95</f>
        <v>380.0343465394001</v>
      </c>
    </row>
    <row r="190" spans="1:19" ht="13.5" thickBot="1">
      <c r="A190" s="282"/>
      <c r="B190" s="202"/>
      <c r="C190" s="86" t="s">
        <v>353</v>
      </c>
      <c r="D190" s="205">
        <f>0</f>
        <v>0</v>
      </c>
      <c r="G190" s="202"/>
      <c r="H190" s="86" t="s">
        <v>353</v>
      </c>
      <c r="I190" s="205">
        <f>0</f>
        <v>0</v>
      </c>
      <c r="L190" s="202"/>
      <c r="M190" s="86" t="s">
        <v>353</v>
      </c>
      <c r="N190" s="205">
        <f>0</f>
        <v>0</v>
      </c>
      <c r="Q190" s="202"/>
      <c r="R190" s="86" t="s">
        <v>353</v>
      </c>
      <c r="S190" s="205">
        <f>0</f>
        <v>0</v>
      </c>
    </row>
    <row r="191" spans="1:19" ht="16.5" thickBot="1">
      <c r="A191" s="282"/>
      <c r="B191" s="206"/>
      <c r="C191" s="88" t="s">
        <v>20</v>
      </c>
      <c r="D191" s="89">
        <f>SUM(D181:D190)</f>
        <v>4671.970818053399</v>
      </c>
      <c r="G191" s="206"/>
      <c r="H191" s="88" t="s">
        <v>20</v>
      </c>
      <c r="I191" s="89">
        <f>SUM(I181:I190)</f>
        <v>5570.001380609999</v>
      </c>
      <c r="L191" s="206"/>
      <c r="M191" s="88" t="s">
        <v>20</v>
      </c>
      <c r="N191" s="89">
        <f>SUM(N181:N190)</f>
        <v>5917.231960446598</v>
      </c>
      <c r="Q191" s="206"/>
      <c r="R191" s="88" t="s">
        <v>20</v>
      </c>
      <c r="S191" s="89">
        <f>SUM(S181:S190)</f>
        <v>6094.8365501394</v>
      </c>
    </row>
    <row r="192" spans="1:19" ht="12.75">
      <c r="A192" s="282"/>
      <c r="B192" s="202">
        <v>703</v>
      </c>
      <c r="C192" s="90" t="s">
        <v>340</v>
      </c>
      <c r="D192" s="207">
        <f>(D191-D190)*0.0025</f>
        <v>11.679927045133498</v>
      </c>
      <c r="G192" s="202">
        <v>703</v>
      </c>
      <c r="H192" s="90" t="s">
        <v>340</v>
      </c>
      <c r="I192" s="207">
        <f>(I191-I190)*0.0025</f>
        <v>13.925003451524997</v>
      </c>
      <c r="L192" s="202">
        <v>703</v>
      </c>
      <c r="M192" s="90" t="s">
        <v>340</v>
      </c>
      <c r="N192" s="207">
        <f>(N191-N190)*0.0025</f>
        <v>14.793079901116496</v>
      </c>
      <c r="Q192" s="202">
        <v>703</v>
      </c>
      <c r="R192" s="90" t="s">
        <v>340</v>
      </c>
      <c r="S192" s="207">
        <f>(S191-S190)*0.0025</f>
        <v>15.2370913753485</v>
      </c>
    </row>
    <row r="193" spans="1:19" ht="12.75">
      <c r="A193" s="69"/>
      <c r="B193" s="208">
        <v>707</v>
      </c>
      <c r="C193" s="92" t="s">
        <v>22</v>
      </c>
      <c r="D193" s="209">
        <f>(D191-D190)*0.03</f>
        <v>140.15912454160195</v>
      </c>
      <c r="G193" s="208">
        <v>707</v>
      </c>
      <c r="H193" s="92" t="s">
        <v>22</v>
      </c>
      <c r="I193" s="209">
        <f>(I191-I190)*0.03</f>
        <v>167.10004141829995</v>
      </c>
      <c r="L193" s="208">
        <v>707</v>
      </c>
      <c r="M193" s="92" t="s">
        <v>22</v>
      </c>
      <c r="N193" s="209">
        <f>(N191-N190)*0.03</f>
        <v>177.51695881339793</v>
      </c>
      <c r="Q193" s="208">
        <v>707</v>
      </c>
      <c r="R193" s="92" t="s">
        <v>22</v>
      </c>
      <c r="S193" s="209">
        <f>(S191-S190)*0.03</f>
        <v>182.84509650418198</v>
      </c>
    </row>
    <row r="194" spans="1:19" ht="12.75">
      <c r="A194" s="147"/>
      <c r="B194" s="208">
        <v>709</v>
      </c>
      <c r="C194" s="92" t="s">
        <v>23</v>
      </c>
      <c r="D194" s="209">
        <f>(D191-D190)*0.0213</f>
        <v>99.5129784245374</v>
      </c>
      <c r="G194" s="208">
        <v>709</v>
      </c>
      <c r="H194" s="92" t="s">
        <v>23</v>
      </c>
      <c r="I194" s="209">
        <f>(I191-I190)*0.0213</f>
        <v>118.64102940699297</v>
      </c>
      <c r="L194" s="208">
        <v>709</v>
      </c>
      <c r="M194" s="92" t="s">
        <v>23</v>
      </c>
      <c r="N194" s="209">
        <f>(N191-N190)*0.0213</f>
        <v>126.03704075751254</v>
      </c>
      <c r="Q194" s="208">
        <v>709</v>
      </c>
      <c r="R194" s="92" t="s">
        <v>23</v>
      </c>
      <c r="S194" s="209">
        <f>(S191-S190)*0.0213</f>
        <v>129.82001851796923</v>
      </c>
    </row>
    <row r="195" spans="1:19" ht="12.75">
      <c r="A195" s="147"/>
      <c r="B195" s="210">
        <v>713</v>
      </c>
      <c r="C195" s="92" t="s">
        <v>25</v>
      </c>
      <c r="D195" s="209">
        <f>(D191-D190)*0.007</f>
        <v>32.70379572637379</v>
      </c>
      <c r="G195" s="210">
        <v>713</v>
      </c>
      <c r="H195" s="92" t="s">
        <v>25</v>
      </c>
      <c r="I195" s="209">
        <f>(I191-I190)*0.007</f>
        <v>38.99000966426999</v>
      </c>
      <c r="L195" s="210">
        <v>713</v>
      </c>
      <c r="M195" s="92" t="s">
        <v>25</v>
      </c>
      <c r="N195" s="209">
        <f>(N191-N190)*0.007</f>
        <v>41.42062372312619</v>
      </c>
      <c r="Q195" s="210">
        <v>713</v>
      </c>
      <c r="R195" s="92" t="s">
        <v>25</v>
      </c>
      <c r="S195" s="209">
        <f>(S191-S190)*0.007</f>
        <v>42.6638558509758</v>
      </c>
    </row>
    <row r="196" spans="1:19" ht="12.75">
      <c r="A196" s="147"/>
      <c r="B196" s="210">
        <v>787</v>
      </c>
      <c r="C196" s="92" t="s">
        <v>439</v>
      </c>
      <c r="D196" s="209">
        <f>(D191-D190)*0.01</f>
        <v>46.71970818053399</v>
      </c>
      <c r="G196" s="210">
        <v>787</v>
      </c>
      <c r="H196" s="92" t="s">
        <v>439</v>
      </c>
      <c r="I196" s="209">
        <f>(I191-I190)*0.01</f>
        <v>55.70001380609999</v>
      </c>
      <c r="L196" s="210">
        <v>787</v>
      </c>
      <c r="M196" s="92" t="s">
        <v>439</v>
      </c>
      <c r="N196" s="209">
        <f>(N191-N190)*0.01</f>
        <v>59.17231960446598</v>
      </c>
      <c r="Q196" s="210">
        <v>787</v>
      </c>
      <c r="R196" s="92" t="s">
        <v>439</v>
      </c>
      <c r="S196" s="209">
        <f>(S191-S190)*0.01</f>
        <v>60.948365501394</v>
      </c>
    </row>
    <row r="197" spans="1:19" ht="13.5" thickBot="1">
      <c r="A197" s="148"/>
      <c r="B197" s="210"/>
      <c r="C197" s="93" t="s">
        <v>26</v>
      </c>
      <c r="D197" s="302"/>
      <c r="G197" s="210"/>
      <c r="H197" s="93" t="s">
        <v>26</v>
      </c>
      <c r="I197" s="302"/>
      <c r="L197" s="210"/>
      <c r="M197" s="93" t="s">
        <v>26</v>
      </c>
      <c r="N197" s="302"/>
      <c r="Q197" s="210"/>
      <c r="R197" s="93" t="s">
        <v>26</v>
      </c>
      <c r="S197" s="302"/>
    </row>
    <row r="198" spans="1:19" ht="16.5" thickBot="1">
      <c r="A198" s="282"/>
      <c r="B198" s="212"/>
      <c r="C198" s="88" t="s">
        <v>27</v>
      </c>
      <c r="D198" s="89">
        <f>SUM(D192:D197)</f>
        <v>330.77553391818066</v>
      </c>
      <c r="G198" s="212"/>
      <c r="H198" s="88" t="s">
        <v>27</v>
      </c>
      <c r="I198" s="89">
        <f>SUM(I192:I197)</f>
        <v>394.3560977471879</v>
      </c>
      <c r="L198" s="212"/>
      <c r="M198" s="88" t="s">
        <v>27</v>
      </c>
      <c r="N198" s="89">
        <f>SUM(N192:N197)</f>
        <v>418.94002279961916</v>
      </c>
      <c r="Q198" s="212"/>
      <c r="R198" s="88" t="s">
        <v>27</v>
      </c>
      <c r="S198" s="89">
        <f>SUM(S192:S197)</f>
        <v>431.5144277498695</v>
      </c>
    </row>
    <row r="199" spans="1:19" ht="13.5" thickBot="1">
      <c r="A199" s="282"/>
      <c r="B199" s="213"/>
      <c r="C199" s="96"/>
      <c r="D199" s="214"/>
      <c r="G199" s="213"/>
      <c r="H199" s="96"/>
      <c r="I199" s="214"/>
      <c r="L199" s="213"/>
      <c r="M199" s="96"/>
      <c r="N199" s="214"/>
      <c r="Q199" s="213"/>
      <c r="R199" s="96"/>
      <c r="S199" s="214"/>
    </row>
    <row r="200" spans="1:19" ht="16.5" thickBot="1">
      <c r="A200" s="69"/>
      <c r="B200" s="215"/>
      <c r="C200" s="99" t="s">
        <v>28</v>
      </c>
      <c r="D200" s="100">
        <f>D191-D198</f>
        <v>4341.195284135219</v>
      </c>
      <c r="G200" s="215"/>
      <c r="H200" s="99" t="s">
        <v>28</v>
      </c>
      <c r="I200" s="100">
        <f>I191-I198</f>
        <v>5175.645282862811</v>
      </c>
      <c r="L200" s="215"/>
      <c r="M200" s="99" t="s">
        <v>28</v>
      </c>
      <c r="N200" s="100">
        <f>N191-N198</f>
        <v>5498.291937646979</v>
      </c>
      <c r="Q200" s="215"/>
      <c r="R200" s="99" t="s">
        <v>28</v>
      </c>
      <c r="S200" s="100">
        <f>S191-S198</f>
        <v>5663.322122389531</v>
      </c>
    </row>
    <row r="201" spans="1:21" ht="13.5" thickBot="1">
      <c r="A201" s="225"/>
      <c r="O201" s="495" t="s">
        <v>472</v>
      </c>
      <c r="P201" s="496"/>
      <c r="T201" s="495" t="s">
        <v>474</v>
      </c>
      <c r="U201" s="496"/>
    </row>
    <row r="202" spans="1:21" ht="16.5" thickTop="1">
      <c r="A202" s="225"/>
      <c r="B202" s="375" t="s">
        <v>403</v>
      </c>
      <c r="C202" s="377"/>
      <c r="D202" s="384"/>
      <c r="E202" s="457"/>
      <c r="F202" s="458"/>
      <c r="G202" s="375" t="s">
        <v>403</v>
      </c>
      <c r="H202" s="377"/>
      <c r="I202" s="384">
        <f>I200-D200</f>
        <v>834.4499987275922</v>
      </c>
      <c r="J202" s="457"/>
      <c r="K202" s="458"/>
      <c r="L202" s="375" t="s">
        <v>403</v>
      </c>
      <c r="M202" s="377"/>
      <c r="N202" s="384">
        <f>N200-I200</f>
        <v>322.6466547841683</v>
      </c>
      <c r="O202" s="457" t="s">
        <v>434</v>
      </c>
      <c r="P202" s="458">
        <f>N200-D200</f>
        <v>1157.0966535117605</v>
      </c>
      <c r="Q202" s="375" t="s">
        <v>403</v>
      </c>
      <c r="R202" s="377"/>
      <c r="S202" s="384">
        <f>S200-N200</f>
        <v>165.03018474255168</v>
      </c>
      <c r="T202" s="457" t="s">
        <v>434</v>
      </c>
      <c r="U202" s="458">
        <f>S200-D200</f>
        <v>1322.1268382543121</v>
      </c>
    </row>
    <row r="203" spans="1:21" ht="16.5" thickBot="1">
      <c r="A203" s="69"/>
      <c r="B203" s="376" t="s">
        <v>395</v>
      </c>
      <c r="C203" s="377"/>
      <c r="D203" s="385"/>
      <c r="E203" s="459"/>
      <c r="F203" s="460"/>
      <c r="G203" s="376" t="s">
        <v>395</v>
      </c>
      <c r="H203" s="377"/>
      <c r="I203" s="385">
        <f>I202/D200</f>
        <v>0.1922166463639789</v>
      </c>
      <c r="J203" s="459"/>
      <c r="K203" s="460"/>
      <c r="L203" s="376" t="s">
        <v>395</v>
      </c>
      <c r="M203" s="377"/>
      <c r="N203" s="385">
        <f>N202/I200</f>
        <v>0.06233940642193747</v>
      </c>
      <c r="O203" s="459" t="s">
        <v>435</v>
      </c>
      <c r="P203" s="460">
        <f>P202/D200</f>
        <v>0.26653872442466225</v>
      </c>
      <c r="Q203" s="376" t="s">
        <v>395</v>
      </c>
      <c r="R203" s="377"/>
      <c r="S203" s="385">
        <f>S202/N200</f>
        <v>0.030014809437924672</v>
      </c>
      <c r="T203" s="459" t="s">
        <v>435</v>
      </c>
      <c r="U203" s="460">
        <f>U202/D200</f>
        <v>0.3045536428840207</v>
      </c>
    </row>
    <row r="204" spans="1:10" ht="12.75">
      <c r="A204" s="69"/>
      <c r="B204" s="69"/>
      <c r="C204" s="69"/>
      <c r="D204" s="69"/>
      <c r="E204" s="69"/>
      <c r="F204" s="69"/>
      <c r="G204" s="69"/>
      <c r="H204" s="14"/>
      <c r="I204" s="11"/>
      <c r="J204" s="102"/>
    </row>
    <row r="205" spans="1:11" ht="12.75">
      <c r="A205" s="69"/>
      <c r="B205" s="288"/>
      <c r="C205" s="288"/>
      <c r="D205" s="288"/>
      <c r="E205" s="451"/>
      <c r="F205" s="288"/>
      <c r="G205" s="288"/>
      <c r="H205" s="288"/>
      <c r="I205" s="11"/>
      <c r="J205" s="288"/>
      <c r="K205" s="288"/>
    </row>
    <row r="206" spans="1:11" ht="20.25">
      <c r="A206" s="69"/>
      <c r="B206" s="379" t="s">
        <v>29</v>
      </c>
      <c r="C206" s="160"/>
      <c r="D206" s="160"/>
      <c r="E206" s="450"/>
      <c r="F206" s="379" t="s">
        <v>29</v>
      </c>
      <c r="G206" s="160"/>
      <c r="H206" s="160"/>
      <c r="I206" s="11"/>
      <c r="J206" s="379" t="s">
        <v>29</v>
      </c>
      <c r="K206" s="160"/>
    </row>
    <row r="207" spans="1:10" ht="13.5" thickBot="1">
      <c r="A207" s="69"/>
      <c r="B207" s="69"/>
      <c r="C207" s="69"/>
      <c r="D207" s="69"/>
      <c r="E207" s="69"/>
      <c r="F207" s="69"/>
      <c r="G207" s="69"/>
      <c r="H207" s="14"/>
      <c r="I207" s="11"/>
      <c r="J207" s="102"/>
    </row>
    <row r="208" spans="1:10" ht="16.5" thickBot="1">
      <c r="A208" s="69"/>
      <c r="B208" s="103" t="s">
        <v>30</v>
      </c>
      <c r="C208" s="38"/>
      <c r="D208" s="12">
        <v>36</v>
      </c>
      <c r="E208" s="69"/>
      <c r="F208" s="286"/>
      <c r="G208" s="69"/>
      <c r="H208" s="14"/>
      <c r="I208" s="11"/>
      <c r="J208" s="11"/>
    </row>
    <row r="209" spans="1:10" ht="16.5" thickBot="1">
      <c r="A209" s="69"/>
      <c r="B209" s="79" t="s">
        <v>14</v>
      </c>
      <c r="C209" s="38"/>
      <c r="D209" s="114">
        <v>1.2</v>
      </c>
      <c r="E209" s="219"/>
      <c r="F209" s="287"/>
      <c r="G209" s="69"/>
      <c r="H209" s="14"/>
      <c r="I209" s="11"/>
      <c r="J209" s="104"/>
    </row>
    <row r="210" spans="1:10" ht="16.5" thickBot="1">
      <c r="A210" s="69"/>
      <c r="B210" s="348" t="s">
        <v>393</v>
      </c>
      <c r="C210" s="349"/>
      <c r="D210" s="372">
        <v>0.82</v>
      </c>
      <c r="E210" s="219"/>
      <c r="F210" s="287"/>
      <c r="G210" s="69"/>
      <c r="H210" s="14"/>
      <c r="I210" s="11"/>
      <c r="J210" s="104"/>
    </row>
    <row r="211" spans="1:10" ht="12.75">
      <c r="A211" s="69"/>
      <c r="E211" s="69"/>
      <c r="F211" s="69"/>
      <c r="G211" s="69"/>
      <c r="H211" s="14"/>
      <c r="I211" s="11"/>
      <c r="J211" s="105"/>
    </row>
    <row r="212" spans="1:11" ht="18.75" thickBot="1">
      <c r="A212" s="69"/>
      <c r="B212" s="82" t="s">
        <v>16</v>
      </c>
      <c r="C212" s="106"/>
      <c r="D212" s="83">
        <f>D208*64.73</f>
        <v>2330.28</v>
      </c>
      <c r="E212" s="219"/>
      <c r="F212" s="69"/>
      <c r="G212" s="69"/>
      <c r="H212" s="14"/>
      <c r="I212" s="70"/>
      <c r="J212" s="107"/>
      <c r="K212" s="10" t="s">
        <v>438</v>
      </c>
    </row>
    <row r="213" spans="1:22" ht="18">
      <c r="A213" s="69"/>
      <c r="B213" s="283"/>
      <c r="C213" s="40"/>
      <c r="D213" s="284"/>
      <c r="E213" s="69"/>
      <c r="F213" s="69"/>
      <c r="G213" s="69"/>
      <c r="H213" s="282"/>
      <c r="I213" s="70"/>
      <c r="J213" s="107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</row>
    <row r="214" spans="1:19" ht="18">
      <c r="A214" s="220"/>
      <c r="B214" s="445" t="s">
        <v>436</v>
      </c>
      <c r="C214" s="446"/>
      <c r="D214" s="446"/>
      <c r="G214" s="491" t="s">
        <v>446</v>
      </c>
      <c r="H214" s="490"/>
      <c r="I214" s="490"/>
      <c r="L214" s="493" t="s">
        <v>453</v>
      </c>
      <c r="M214" s="494"/>
      <c r="N214" s="494"/>
      <c r="Q214" s="445" t="s">
        <v>473</v>
      </c>
      <c r="R214" s="446"/>
      <c r="S214" s="446"/>
    </row>
    <row r="215" spans="1:4" ht="13.5" thickBot="1">
      <c r="A215" s="69"/>
      <c r="B215" s="107"/>
      <c r="C215" s="69"/>
      <c r="D215" s="69"/>
    </row>
    <row r="216" spans="1:19" ht="12.75">
      <c r="A216" s="69"/>
      <c r="B216" s="199">
        <v>400</v>
      </c>
      <c r="C216" s="200" t="s">
        <v>18</v>
      </c>
      <c r="D216" s="201">
        <f>puntotalhorasmed*indicejul12*porjubhormed</f>
        <v>2890.51193592</v>
      </c>
      <c r="G216" s="199">
        <v>400</v>
      </c>
      <c r="H216" s="200" t="s">
        <v>18</v>
      </c>
      <c r="I216" s="201">
        <f>puntotalhorasmed*indicemar2013*porjubhormed</f>
        <v>3410.8308359999996</v>
      </c>
      <c r="L216" s="199">
        <v>400</v>
      </c>
      <c r="M216" s="200" t="s">
        <v>18</v>
      </c>
      <c r="N216" s="201">
        <f>puntotalhorasmed*indiceago13*porjubhormed</f>
        <v>3615.4806861600005</v>
      </c>
      <c r="Q216" s="199">
        <v>400</v>
      </c>
      <c r="R216" s="200" t="s">
        <v>18</v>
      </c>
      <c r="S216" s="201">
        <f>puntotalhorasmed*indiceoct13*porjubhormed</f>
        <v>3724.01580744</v>
      </c>
    </row>
    <row r="217" spans="1:19" ht="12.75">
      <c r="A217" s="69"/>
      <c r="B217" s="202">
        <v>406</v>
      </c>
      <c r="C217" s="17" t="s">
        <v>19</v>
      </c>
      <c r="D217" s="203">
        <f>D216*porcantighorasmed</f>
        <v>3468.6143231039996</v>
      </c>
      <c r="G217" s="202">
        <v>406</v>
      </c>
      <c r="H217" s="17" t="s">
        <v>19</v>
      </c>
      <c r="I217" s="203">
        <f>I216*porcantighorasmed</f>
        <v>4092.997003199999</v>
      </c>
      <c r="L217" s="202">
        <v>406</v>
      </c>
      <c r="M217" s="17" t="s">
        <v>19</v>
      </c>
      <c r="N217" s="203">
        <f>N216*porcantighorasmed</f>
        <v>4338.576823392001</v>
      </c>
      <c r="Q217" s="202">
        <v>406</v>
      </c>
      <c r="R217" s="17" t="s">
        <v>19</v>
      </c>
      <c r="S217" s="203">
        <f>S216*porcantighorasmed</f>
        <v>4468.818968928</v>
      </c>
    </row>
    <row r="218" spans="1:19" ht="12.75">
      <c r="A218" s="282"/>
      <c r="B218" s="202">
        <v>432</v>
      </c>
      <c r="C218" s="17" t="s">
        <v>341</v>
      </c>
      <c r="D218" s="204">
        <f>IF(numhorasmed&gt;33,589.05,17.85*numhorasmed)*porjubhormed</f>
        <v>483.02099999999996</v>
      </c>
      <c r="G218" s="202">
        <v>432</v>
      </c>
      <c r="H218" s="17" t="s">
        <v>341</v>
      </c>
      <c r="I218" s="204">
        <f>IF(numhorasmed&gt;33,589.05,17.85*numhorasmed)*aum06mar2013*porjubhormed</f>
        <v>560.3043599999999</v>
      </c>
      <c r="L218" s="202">
        <v>432</v>
      </c>
      <c r="M218" s="17" t="s">
        <v>341</v>
      </c>
      <c r="N218" s="204">
        <f>IF(numhorasmed&gt;33,589.05,17.85*numhorasmed)*aum06ago2013*porjubhormed</f>
        <v>599.5256651999999</v>
      </c>
      <c r="Q218" s="202">
        <v>432</v>
      </c>
      <c r="R218" s="17" t="s">
        <v>341</v>
      </c>
      <c r="S218" s="204">
        <f>IF(numhorasmed&gt;33,753.22,22.82*numhorasmed)*porjubhormed</f>
        <v>617.6404</v>
      </c>
    </row>
    <row r="219" spans="1:19" ht="12.75">
      <c r="A219" s="282"/>
      <c r="B219" s="202">
        <v>434</v>
      </c>
      <c r="C219" s="17" t="s">
        <v>337</v>
      </c>
      <c r="D219" s="203">
        <f>(D216+D217+D218)*0.07*0.95</f>
        <v>455.00279272509596</v>
      </c>
      <c r="G219" s="202">
        <v>434</v>
      </c>
      <c r="H219" s="17" t="s">
        <v>337</v>
      </c>
      <c r="I219" s="203">
        <f>(I216+I217+I218)*0.07*0.95</f>
        <v>536.2647912468</v>
      </c>
      <c r="L219" s="202">
        <v>434</v>
      </c>
      <c r="M219" s="17" t="s">
        <v>337</v>
      </c>
      <c r="N219" s="203">
        <f>(N216+N217+N218)*0.07*0.95</f>
        <v>568.8132811210081</v>
      </c>
      <c r="Q219" s="202">
        <v>434</v>
      </c>
      <c r="R219" s="17" t="s">
        <v>337</v>
      </c>
      <c r="S219" s="203">
        <f>(S216+S217+S218)*0.07*0.95</f>
        <v>585.896599228472</v>
      </c>
    </row>
    <row r="220" spans="1:19" ht="13.5" thickBot="1">
      <c r="A220" s="282"/>
      <c r="B220" s="202"/>
      <c r="C220" s="86" t="s">
        <v>353</v>
      </c>
      <c r="D220" s="205">
        <v>0</v>
      </c>
      <c r="G220" s="202"/>
      <c r="H220" s="86" t="s">
        <v>353</v>
      </c>
      <c r="I220" s="205">
        <v>0</v>
      </c>
      <c r="L220" s="202"/>
      <c r="M220" s="86" t="s">
        <v>353</v>
      </c>
      <c r="N220" s="205">
        <v>0</v>
      </c>
      <c r="Q220" s="202"/>
      <c r="R220" s="86" t="s">
        <v>353</v>
      </c>
      <c r="S220" s="205">
        <v>0</v>
      </c>
    </row>
    <row r="221" spans="1:19" ht="13.5" thickBot="1">
      <c r="A221" s="282"/>
      <c r="B221" s="206"/>
      <c r="C221" s="88" t="s">
        <v>20</v>
      </c>
      <c r="D221" s="108">
        <f>SUM(D216:D220)</f>
        <v>7297.150051749095</v>
      </c>
      <c r="G221" s="206"/>
      <c r="H221" s="88" t="s">
        <v>20</v>
      </c>
      <c r="I221" s="108">
        <f>SUM(I216:I220)</f>
        <v>8600.3969904468</v>
      </c>
      <c r="L221" s="206"/>
      <c r="M221" s="88" t="s">
        <v>20</v>
      </c>
      <c r="N221" s="108">
        <f>SUM(N216:N220)</f>
        <v>9122.396455873011</v>
      </c>
      <c r="Q221" s="206"/>
      <c r="R221" s="88" t="s">
        <v>20</v>
      </c>
      <c r="S221" s="108">
        <f>SUM(S216:S220)</f>
        <v>9396.371775596472</v>
      </c>
    </row>
    <row r="222" spans="1:19" ht="12.75">
      <c r="A222" s="282"/>
      <c r="B222" s="202">
        <v>703</v>
      </c>
      <c r="C222" s="90" t="s">
        <v>21</v>
      </c>
      <c r="D222" s="207">
        <f>(D221-D220)*0.0025</f>
        <v>18.242875129372738</v>
      </c>
      <c r="G222" s="202">
        <v>703</v>
      </c>
      <c r="H222" s="90" t="s">
        <v>21</v>
      </c>
      <c r="I222" s="207">
        <f>(I221-I220)*0.0025</f>
        <v>21.500992476117</v>
      </c>
      <c r="L222" s="202">
        <v>703</v>
      </c>
      <c r="M222" s="90" t="s">
        <v>21</v>
      </c>
      <c r="N222" s="207">
        <f>(N221-N220)*0.0025</f>
        <v>22.80599113968253</v>
      </c>
      <c r="Q222" s="202">
        <v>703</v>
      </c>
      <c r="R222" s="90" t="s">
        <v>21</v>
      </c>
      <c r="S222" s="207">
        <f>(S221-S220)*0.0025</f>
        <v>23.49092943899118</v>
      </c>
    </row>
    <row r="223" spans="1:19" ht="12.75">
      <c r="A223" s="69"/>
      <c r="B223" s="208">
        <v>707</v>
      </c>
      <c r="C223" s="92" t="s">
        <v>22</v>
      </c>
      <c r="D223" s="209">
        <f>(D221-D220)*0.03</f>
        <v>218.91450155247284</v>
      </c>
      <c r="G223" s="208">
        <v>707</v>
      </c>
      <c r="H223" s="92" t="s">
        <v>22</v>
      </c>
      <c r="I223" s="209">
        <f>(I221-I220)*0.03</f>
        <v>258.01190971340395</v>
      </c>
      <c r="L223" s="208">
        <v>707</v>
      </c>
      <c r="M223" s="92" t="s">
        <v>22</v>
      </c>
      <c r="N223" s="209">
        <f>(N221-N220)*0.03</f>
        <v>273.67189367619034</v>
      </c>
      <c r="Q223" s="208">
        <v>707</v>
      </c>
      <c r="R223" s="92" t="s">
        <v>22</v>
      </c>
      <c r="S223" s="209">
        <f>(S221-S220)*0.03</f>
        <v>281.89115326789414</v>
      </c>
    </row>
    <row r="224" spans="1:19" ht="12.75">
      <c r="A224" s="147"/>
      <c r="B224" s="208">
        <v>709</v>
      </c>
      <c r="C224" s="92" t="s">
        <v>23</v>
      </c>
      <c r="D224" s="209">
        <f>(D221-D220)*0.0213</f>
        <v>155.4292961022557</v>
      </c>
      <c r="G224" s="208">
        <v>709</v>
      </c>
      <c r="H224" s="92" t="s">
        <v>23</v>
      </c>
      <c r="I224" s="209">
        <f>(I221-I220)*0.0213</f>
        <v>183.1884558965168</v>
      </c>
      <c r="L224" s="208">
        <v>709</v>
      </c>
      <c r="M224" s="92" t="s">
        <v>23</v>
      </c>
      <c r="N224" s="209">
        <f>(N221-N220)*0.0213</f>
        <v>194.30704451009512</v>
      </c>
      <c r="Q224" s="208">
        <v>709</v>
      </c>
      <c r="R224" s="92" t="s">
        <v>23</v>
      </c>
      <c r="S224" s="209">
        <f>(S221-S220)*0.0213</f>
        <v>200.14271882020483</v>
      </c>
    </row>
    <row r="225" spans="1:19" ht="12.75">
      <c r="A225" s="147"/>
      <c r="B225" s="210">
        <v>713</v>
      </c>
      <c r="C225" s="92" t="s">
        <v>25</v>
      </c>
      <c r="D225" s="209">
        <f>(D221-D220)*0.007</f>
        <v>51.08005036224367</v>
      </c>
      <c r="G225" s="210">
        <v>713</v>
      </c>
      <c r="H225" s="92" t="s">
        <v>25</v>
      </c>
      <c r="I225" s="209">
        <f>(I221-I220)*0.007</f>
        <v>60.2027789331276</v>
      </c>
      <c r="L225" s="210">
        <v>713</v>
      </c>
      <c r="M225" s="92" t="s">
        <v>25</v>
      </c>
      <c r="N225" s="209">
        <f>(N221-N220)*0.007</f>
        <v>63.85677519111108</v>
      </c>
      <c r="Q225" s="210">
        <v>713</v>
      </c>
      <c r="R225" s="92" t="s">
        <v>25</v>
      </c>
      <c r="S225" s="209">
        <f>(S221-S220)*0.007</f>
        <v>65.7746024291753</v>
      </c>
    </row>
    <row r="226" spans="1:19" ht="12.75">
      <c r="A226" s="147"/>
      <c r="B226" s="210">
        <v>787</v>
      </c>
      <c r="C226" s="92" t="s">
        <v>439</v>
      </c>
      <c r="D226" s="209">
        <f>(D221-D220)*0.01</f>
        <v>72.97150051749095</v>
      </c>
      <c r="G226" s="210">
        <v>787</v>
      </c>
      <c r="H226" s="92" t="s">
        <v>439</v>
      </c>
      <c r="I226" s="209">
        <f>(I221-I220)*0.01</f>
        <v>86.003969904468</v>
      </c>
      <c r="L226" s="210">
        <v>787</v>
      </c>
      <c r="M226" s="92" t="s">
        <v>439</v>
      </c>
      <c r="N226" s="209">
        <f>(N221-N220)*0.01</f>
        <v>91.22396455873012</v>
      </c>
      <c r="Q226" s="210">
        <v>787</v>
      </c>
      <c r="R226" s="92" t="s">
        <v>439</v>
      </c>
      <c r="S226" s="209">
        <f>(S221-S220)*0.01</f>
        <v>93.96371775596472</v>
      </c>
    </row>
    <row r="227" spans="1:19" ht="13.5" thickBot="1">
      <c r="A227" s="148"/>
      <c r="B227" s="210"/>
      <c r="C227" s="93" t="s">
        <v>26</v>
      </c>
      <c r="D227" s="211">
        <v>0</v>
      </c>
      <c r="G227" s="210"/>
      <c r="H227" s="93" t="s">
        <v>26</v>
      </c>
      <c r="I227" s="211">
        <v>0</v>
      </c>
      <c r="L227" s="210"/>
      <c r="M227" s="93" t="s">
        <v>26</v>
      </c>
      <c r="N227" s="211">
        <v>0</v>
      </c>
      <c r="Q227" s="210"/>
      <c r="R227" s="93" t="s">
        <v>26</v>
      </c>
      <c r="S227" s="211">
        <v>0</v>
      </c>
    </row>
    <row r="228" spans="1:19" ht="13.5" thickBot="1">
      <c r="A228" s="282"/>
      <c r="B228" s="212"/>
      <c r="C228" s="88" t="s">
        <v>27</v>
      </c>
      <c r="D228" s="109">
        <f>SUM(D222:D227)</f>
        <v>516.638223663836</v>
      </c>
      <c r="G228" s="212"/>
      <c r="H228" s="88" t="s">
        <v>27</v>
      </c>
      <c r="I228" s="109">
        <f>SUM(I222:I227)</f>
        <v>608.9081069236333</v>
      </c>
      <c r="L228" s="212"/>
      <c r="M228" s="88" t="s">
        <v>27</v>
      </c>
      <c r="N228" s="109">
        <f>SUM(N222:N227)</f>
        <v>645.8656690758093</v>
      </c>
      <c r="Q228" s="212"/>
      <c r="R228" s="88" t="s">
        <v>27</v>
      </c>
      <c r="S228" s="109">
        <f>SUM(S222:S227)</f>
        <v>665.2631217122301</v>
      </c>
    </row>
    <row r="229" spans="1:19" ht="13.5" thickBot="1">
      <c r="A229" s="282"/>
      <c r="B229" s="213"/>
      <c r="C229" s="96"/>
      <c r="D229" s="214"/>
      <c r="G229" s="213"/>
      <c r="H229" s="96"/>
      <c r="I229" s="214"/>
      <c r="L229" s="213"/>
      <c r="M229" s="96"/>
      <c r="N229" s="214"/>
      <c r="Q229" s="213"/>
      <c r="R229" s="96"/>
      <c r="S229" s="214"/>
    </row>
    <row r="230" spans="1:19" ht="13.5" thickBot="1">
      <c r="A230" s="69"/>
      <c r="B230" s="215"/>
      <c r="C230" s="99" t="s">
        <v>28</v>
      </c>
      <c r="D230" s="110">
        <f>D221-D228</f>
        <v>6780.5118280852585</v>
      </c>
      <c r="G230" s="215"/>
      <c r="H230" s="99" t="s">
        <v>28</v>
      </c>
      <c r="I230" s="110">
        <f>I221-I228</f>
        <v>7991.488883523166</v>
      </c>
      <c r="L230" s="215"/>
      <c r="M230" s="99" t="s">
        <v>28</v>
      </c>
      <c r="N230" s="110">
        <f>N221-N228</f>
        <v>8476.530786797202</v>
      </c>
      <c r="Q230" s="215"/>
      <c r="R230" s="99" t="s">
        <v>28</v>
      </c>
      <c r="S230" s="110">
        <f>S221-S228</f>
        <v>8731.108653884241</v>
      </c>
    </row>
    <row r="231" spans="1:21" ht="13.5" thickBot="1">
      <c r="A231" s="69"/>
      <c r="O231" s="495" t="s">
        <v>472</v>
      </c>
      <c r="P231" s="496"/>
      <c r="T231" s="495" t="s">
        <v>474</v>
      </c>
      <c r="U231" s="496"/>
    </row>
    <row r="232" spans="1:21" ht="16.5" thickTop="1">
      <c r="A232" s="69"/>
      <c r="B232" s="375"/>
      <c r="C232" s="377"/>
      <c r="D232" s="384"/>
      <c r="E232" s="457"/>
      <c r="F232" s="458"/>
      <c r="G232" s="375" t="s">
        <v>403</v>
      </c>
      <c r="H232" s="377"/>
      <c r="I232" s="384">
        <f>I230-D230</f>
        <v>1210.9770554379074</v>
      </c>
      <c r="J232" s="457"/>
      <c r="K232" s="458"/>
      <c r="L232" s="375" t="s">
        <v>403</v>
      </c>
      <c r="M232" s="377"/>
      <c r="N232" s="384">
        <f>N230-I230</f>
        <v>485.0419032740365</v>
      </c>
      <c r="O232" s="457" t="s">
        <v>434</v>
      </c>
      <c r="P232" s="458">
        <f>N230-D230</f>
        <v>1696.018958711944</v>
      </c>
      <c r="Q232" s="375" t="s">
        <v>403</v>
      </c>
      <c r="R232" s="377"/>
      <c r="S232" s="384">
        <f>S230-N230</f>
        <v>254.5778670870386</v>
      </c>
      <c r="T232" s="457" t="s">
        <v>434</v>
      </c>
      <c r="U232" s="458">
        <f>S230-D230</f>
        <v>1950.5968257989825</v>
      </c>
    </row>
    <row r="233" spans="1:21" ht="16.5" thickBot="1">
      <c r="A233" s="69"/>
      <c r="B233" s="376"/>
      <c r="C233" s="377"/>
      <c r="D233" s="385"/>
      <c r="E233" s="459"/>
      <c r="F233" s="460"/>
      <c r="G233" s="376" t="s">
        <v>395</v>
      </c>
      <c r="H233" s="377"/>
      <c r="I233" s="385">
        <f>I232/D230</f>
        <v>0.17859670274771483</v>
      </c>
      <c r="J233" s="459"/>
      <c r="K233" s="460"/>
      <c r="L233" s="376" t="s">
        <v>395</v>
      </c>
      <c r="M233" s="377"/>
      <c r="N233" s="385">
        <f>N232/I230</f>
        <v>0.06069481048445113</v>
      </c>
      <c r="O233" s="459" t="s">
        <v>435</v>
      </c>
      <c r="P233" s="460">
        <f>P232/D230</f>
        <v>0.2501314062585864</v>
      </c>
      <c r="Q233" s="376" t="s">
        <v>395</v>
      </c>
      <c r="R233" s="377"/>
      <c r="S233" s="385">
        <f>S232/N230</f>
        <v>0.030033261659777332</v>
      </c>
      <c r="T233" s="459" t="s">
        <v>435</v>
      </c>
      <c r="U233" s="460">
        <f>U232/D230</f>
        <v>0.2876769298918559</v>
      </c>
    </row>
    <row r="234" spans="1:7" ht="15.75">
      <c r="A234" s="69"/>
      <c r="B234" s="387"/>
      <c r="C234" s="456"/>
      <c r="D234" s="386"/>
      <c r="E234" s="453"/>
      <c r="F234" s="454"/>
      <c r="G234" s="455"/>
    </row>
    <row r="235" spans="1:7" ht="15.75">
      <c r="A235" s="69"/>
      <c r="B235" s="387"/>
      <c r="C235" s="456"/>
      <c r="D235" s="386"/>
      <c r="E235" s="453"/>
      <c r="F235" s="454"/>
      <c r="G235" s="455"/>
    </row>
    <row r="236" spans="1:7" ht="15.75">
      <c r="A236" s="69"/>
      <c r="B236" s="387"/>
      <c r="C236" s="456"/>
      <c r="D236" s="386"/>
      <c r="E236" s="453"/>
      <c r="F236" s="454"/>
      <c r="G236" s="455"/>
    </row>
    <row r="237" spans="1:11" ht="12.75">
      <c r="A237" s="69"/>
      <c r="B237" s="299"/>
      <c r="C237" s="299"/>
      <c r="D237" s="299"/>
      <c r="E237" s="450"/>
      <c r="F237" s="447"/>
      <c r="G237" s="447"/>
      <c r="H237" s="448"/>
      <c r="I237" s="11"/>
      <c r="J237" s="449"/>
      <c r="K237" s="447"/>
    </row>
    <row r="238" spans="1:11" ht="20.25">
      <c r="A238" s="69"/>
      <c r="B238" s="379" t="s">
        <v>31</v>
      </c>
      <c r="C238" s="160"/>
      <c r="D238" s="160"/>
      <c r="E238" s="450"/>
      <c r="F238" s="379" t="s">
        <v>31</v>
      </c>
      <c r="G238" s="160"/>
      <c r="H238" s="160"/>
      <c r="I238" s="11"/>
      <c r="J238" s="379" t="s">
        <v>31</v>
      </c>
      <c r="K238" s="160"/>
    </row>
    <row r="239" spans="1:10" ht="13.5" thickBot="1">
      <c r="A239" s="69"/>
      <c r="B239" s="69"/>
      <c r="C239" s="69"/>
      <c r="D239" s="69"/>
      <c r="E239" s="69"/>
      <c r="F239" s="69"/>
      <c r="G239" s="69"/>
      <c r="H239" s="14"/>
      <c r="I239" s="11"/>
      <c r="J239" s="11"/>
    </row>
    <row r="240" spans="1:10" ht="16.5" thickBot="1">
      <c r="A240" s="69"/>
      <c r="B240" s="103" t="s">
        <v>30</v>
      </c>
      <c r="C240" s="38"/>
      <c r="D240" s="12">
        <v>36</v>
      </c>
      <c r="E240" s="69"/>
      <c r="F240" s="69"/>
      <c r="G240" s="289"/>
      <c r="H240" s="14"/>
      <c r="I240" s="11"/>
      <c r="J240" s="104"/>
    </row>
    <row r="241" spans="1:10" ht="16.5" thickBot="1">
      <c r="A241" s="69"/>
      <c r="B241" s="79" t="s">
        <v>14</v>
      </c>
      <c r="C241" s="38"/>
      <c r="D241" s="125">
        <v>1.2</v>
      </c>
      <c r="E241" s="219"/>
      <c r="F241" s="69"/>
      <c r="G241" s="69"/>
      <c r="H241" s="14"/>
      <c r="I241" s="11"/>
      <c r="J241" s="105"/>
    </row>
    <row r="242" spans="1:10" ht="16.5" thickBot="1">
      <c r="A242" s="69"/>
      <c r="B242" s="348" t="s">
        <v>393</v>
      </c>
      <c r="C242" s="349"/>
      <c r="D242" s="372">
        <v>0.82</v>
      </c>
      <c r="E242" s="219"/>
      <c r="F242" s="69"/>
      <c r="G242" s="69"/>
      <c r="H242" s="14"/>
      <c r="I242" s="11"/>
      <c r="J242" s="105"/>
    </row>
    <row r="243" spans="1:10" ht="12.75">
      <c r="A243" s="69"/>
      <c r="E243" s="69"/>
      <c r="F243" s="297"/>
      <c r="G243" s="69"/>
      <c r="H243" s="14"/>
      <c r="I243" s="70"/>
      <c r="J243" s="107"/>
    </row>
    <row r="244" spans="1:10" ht="18.75" thickBot="1">
      <c r="A244" s="69"/>
      <c r="B244" s="82" t="s">
        <v>16</v>
      </c>
      <c r="C244" s="106"/>
      <c r="D244" s="111">
        <f>D240*86.9</f>
        <v>3128.4</v>
      </c>
      <c r="E244" s="69" t="s">
        <v>32</v>
      </c>
      <c r="F244" s="286"/>
      <c r="G244" s="282"/>
      <c r="H244" s="14"/>
      <c r="I244" s="11"/>
      <c r="J244" s="107"/>
    </row>
    <row r="245" spans="1:10" ht="12.75">
      <c r="A245" s="69"/>
      <c r="B245" s="69"/>
      <c r="C245" s="69"/>
      <c r="D245" s="69"/>
      <c r="E245" s="69"/>
      <c r="F245" s="69"/>
      <c r="G245" s="69"/>
      <c r="H245" s="14"/>
      <c r="I245" s="11"/>
      <c r="J245" s="11"/>
    </row>
    <row r="246" spans="1:10" ht="12.75">
      <c r="A246" s="69"/>
      <c r="B246" s="11"/>
      <c r="C246" s="11"/>
      <c r="D246" s="298"/>
      <c r="E246" s="69"/>
      <c r="F246" s="69"/>
      <c r="G246" s="69"/>
      <c r="H246" s="14"/>
      <c r="I246" s="11"/>
      <c r="J246" s="70"/>
    </row>
    <row r="247" spans="1:19" ht="18">
      <c r="A247" s="220"/>
      <c r="B247" s="445" t="s">
        <v>436</v>
      </c>
      <c r="C247" s="446"/>
      <c r="D247" s="446"/>
      <c r="G247" s="491" t="s">
        <v>446</v>
      </c>
      <c r="H247" s="490"/>
      <c r="I247" s="490"/>
      <c r="L247" s="493" t="s">
        <v>453</v>
      </c>
      <c r="M247" s="494"/>
      <c r="N247" s="494"/>
      <c r="Q247" s="445" t="s">
        <v>473</v>
      </c>
      <c r="R247" s="446"/>
      <c r="S247" s="446"/>
    </row>
    <row r="248" spans="1:4" ht="13.5" thickBot="1">
      <c r="A248" s="69"/>
      <c r="B248" s="69"/>
      <c r="C248" s="69"/>
      <c r="D248" s="69"/>
    </row>
    <row r="249" spans="1:19" ht="12.75">
      <c r="A249" s="69"/>
      <c r="B249" s="199">
        <v>400</v>
      </c>
      <c r="C249" s="200" t="s">
        <v>18</v>
      </c>
      <c r="D249" s="201">
        <f>puntostotalhorassup*indicejul12*porjubhorsup</f>
        <v>3880.5111576</v>
      </c>
      <c r="G249" s="199">
        <v>400</v>
      </c>
      <c r="H249" s="200" t="s">
        <v>18</v>
      </c>
      <c r="I249" s="201">
        <f>puntostotalhorassup*indicemar2013*porjubhorsup</f>
        <v>4579.03908</v>
      </c>
      <c r="L249" s="199">
        <v>400</v>
      </c>
      <c r="M249" s="200" t="s">
        <v>18</v>
      </c>
      <c r="N249" s="201">
        <f>puntostotalhorassup*indiceago13*porjubhorsup</f>
        <v>4853.7814247999995</v>
      </c>
      <c r="Q249" s="199">
        <v>400</v>
      </c>
      <c r="R249" s="200" t="s">
        <v>18</v>
      </c>
      <c r="S249" s="201">
        <f>puntostotalhorassup*indiceoct13*porjubhorsup</f>
        <v>4999.4897832</v>
      </c>
    </row>
    <row r="250" spans="1:19" ht="12.75">
      <c r="A250" s="69"/>
      <c r="B250" s="202">
        <v>406</v>
      </c>
      <c r="C250" s="17" t="s">
        <v>19</v>
      </c>
      <c r="D250" s="203">
        <f>D249*porcantigsup</f>
        <v>4656.61338912</v>
      </c>
      <c r="G250" s="202">
        <v>406</v>
      </c>
      <c r="H250" s="17" t="s">
        <v>19</v>
      </c>
      <c r="I250" s="203">
        <f>I249*porcantigsup</f>
        <v>5494.846895999999</v>
      </c>
      <c r="L250" s="202">
        <v>406</v>
      </c>
      <c r="M250" s="17" t="s">
        <v>19</v>
      </c>
      <c r="N250" s="203">
        <f>N249*porcantigsup</f>
        <v>5824.537709759999</v>
      </c>
      <c r="Q250" s="202">
        <v>406</v>
      </c>
      <c r="R250" s="17" t="s">
        <v>19</v>
      </c>
      <c r="S250" s="203">
        <f>S249*porcantigsup</f>
        <v>5999.387739839999</v>
      </c>
    </row>
    <row r="251" spans="1:19" ht="12.75">
      <c r="A251" s="282"/>
      <c r="B251" s="202">
        <v>432</v>
      </c>
      <c r="C251" s="17" t="s">
        <v>341</v>
      </c>
      <c r="D251" s="204">
        <f>IF(numhorassup&gt;15,267.75,17.85*numhorassup)*porjubhorsup</f>
        <v>219.55499999999998</v>
      </c>
      <c r="G251" s="202">
        <v>432</v>
      </c>
      <c r="H251" s="17" t="s">
        <v>341</v>
      </c>
      <c r="I251" s="204">
        <f>IF(numhorassup&gt;15,267.75,17.85*numhorassup)*aum06mar2013*porjubhorsup</f>
        <v>254.68379999999996</v>
      </c>
      <c r="L251" s="202">
        <v>432</v>
      </c>
      <c r="M251" s="17" t="s">
        <v>341</v>
      </c>
      <c r="N251" s="204">
        <f>IF(numhorassup&gt;15,267.75,17.85*numhorassup)*aum06ago2013*porjubhorsup</f>
        <v>272.511666</v>
      </c>
      <c r="Q251" s="202">
        <v>432</v>
      </c>
      <c r="R251" s="17" t="s">
        <v>341</v>
      </c>
      <c r="S251" s="204">
        <f>IF(numhorassup&gt;15,342.37,22.82*numhorassup)*porjubhorsup</f>
        <v>280.7434</v>
      </c>
    </row>
    <row r="252" spans="1:19" ht="12.75">
      <c r="A252" s="282"/>
      <c r="B252" s="202">
        <v>434</v>
      </c>
      <c r="C252" s="17" t="s">
        <v>337</v>
      </c>
      <c r="D252" s="203">
        <f>(D249+D250+D251)*0.07*0.95</f>
        <v>582.3191898568799</v>
      </c>
      <c r="G252" s="202">
        <v>434</v>
      </c>
      <c r="H252" s="17" t="s">
        <v>337</v>
      </c>
      <c r="I252" s="203">
        <f>(I249+I250+I251)*0.07*0.95</f>
        <v>686.849890104</v>
      </c>
      <c r="L252" s="202">
        <v>434</v>
      </c>
      <c r="M252" s="17" t="s">
        <v>337</v>
      </c>
      <c r="N252" s="203">
        <f>(N249+N250+N251)*0.07*0.95</f>
        <v>728.2302482372401</v>
      </c>
      <c r="Q252" s="202">
        <v>434</v>
      </c>
      <c r="R252" s="17" t="s">
        <v>337</v>
      </c>
      <c r="S252" s="203">
        <f>(S249+S250+S251)*0.07*0.95</f>
        <v>750.0947913821599</v>
      </c>
    </row>
    <row r="253" spans="1:19" ht="13.5" thickBot="1">
      <c r="A253" s="282"/>
      <c r="B253" s="202"/>
      <c r="C253" s="86" t="s">
        <v>353</v>
      </c>
      <c r="D253" s="205">
        <v>0</v>
      </c>
      <c r="G253" s="202"/>
      <c r="H253" s="86" t="s">
        <v>353</v>
      </c>
      <c r="I253" s="205">
        <v>0</v>
      </c>
      <c r="L253" s="202"/>
      <c r="M253" s="86" t="s">
        <v>353</v>
      </c>
      <c r="N253" s="205">
        <v>0</v>
      </c>
      <c r="Q253" s="202"/>
      <c r="R253" s="86" t="s">
        <v>353</v>
      </c>
      <c r="S253" s="205">
        <v>0</v>
      </c>
    </row>
    <row r="254" spans="1:19" ht="13.5" thickBot="1">
      <c r="A254" s="282"/>
      <c r="B254" s="206"/>
      <c r="C254" s="88" t="s">
        <v>20</v>
      </c>
      <c r="D254" s="108">
        <f>SUM(D249:D253)</f>
        <v>9338.99873657688</v>
      </c>
      <c r="G254" s="206"/>
      <c r="H254" s="88" t="s">
        <v>20</v>
      </c>
      <c r="I254" s="108">
        <f>SUM(I249:I253)</f>
        <v>11015.419666103999</v>
      </c>
      <c r="L254" s="206"/>
      <c r="M254" s="88" t="s">
        <v>20</v>
      </c>
      <c r="N254" s="108">
        <f>SUM(N249:N253)</f>
        <v>11679.061048797239</v>
      </c>
      <c r="Q254" s="206"/>
      <c r="R254" s="88" t="s">
        <v>20</v>
      </c>
      <c r="S254" s="108">
        <f>SUM(S249:S253)</f>
        <v>12029.715714422158</v>
      </c>
    </row>
    <row r="255" spans="1:19" ht="12.75">
      <c r="A255" s="282"/>
      <c r="B255" s="202">
        <v>703</v>
      </c>
      <c r="C255" s="90" t="s">
        <v>21</v>
      </c>
      <c r="D255" s="207">
        <f>(D254-D253)*0.0025</f>
        <v>23.347496841442197</v>
      </c>
      <c r="G255" s="202">
        <v>703</v>
      </c>
      <c r="H255" s="90" t="s">
        <v>21</v>
      </c>
      <c r="I255" s="207">
        <f>(I254-I253)*0.0025</f>
        <v>27.538549165259997</v>
      </c>
      <c r="L255" s="202">
        <v>703</v>
      </c>
      <c r="M255" s="90" t="s">
        <v>21</v>
      </c>
      <c r="N255" s="207">
        <f>(N254-N253)*0.0025</f>
        <v>29.197652621993097</v>
      </c>
      <c r="Q255" s="202">
        <v>703</v>
      </c>
      <c r="R255" s="90" t="s">
        <v>21</v>
      </c>
      <c r="S255" s="207">
        <f>(S254-S253)*0.0025</f>
        <v>30.074289286055397</v>
      </c>
    </row>
    <row r="256" spans="1:19" ht="12.75">
      <c r="A256" s="69"/>
      <c r="B256" s="208">
        <v>707</v>
      </c>
      <c r="C256" s="92" t="s">
        <v>22</v>
      </c>
      <c r="D256" s="209">
        <f>(D254-D253)*0.03</f>
        <v>280.1699620973064</v>
      </c>
      <c r="G256" s="208">
        <v>707</v>
      </c>
      <c r="H256" s="92" t="s">
        <v>22</v>
      </c>
      <c r="I256" s="209">
        <f>(I254-I253)*0.03</f>
        <v>330.4625899831199</v>
      </c>
      <c r="L256" s="208">
        <v>707</v>
      </c>
      <c r="M256" s="92" t="s">
        <v>22</v>
      </c>
      <c r="N256" s="209">
        <f>(N254-N253)*0.03</f>
        <v>350.37183146391715</v>
      </c>
      <c r="Q256" s="208">
        <v>707</v>
      </c>
      <c r="R256" s="92" t="s">
        <v>22</v>
      </c>
      <c r="S256" s="209">
        <f>(S254-S253)*0.03</f>
        <v>360.89147143266473</v>
      </c>
    </row>
    <row r="257" spans="1:19" ht="12.75">
      <c r="A257" s="147"/>
      <c r="B257" s="208">
        <v>709</v>
      </c>
      <c r="C257" s="92" t="s">
        <v>23</v>
      </c>
      <c r="D257" s="209">
        <f>(D254-D253)*0.0213</f>
        <v>198.92067308908753</v>
      </c>
      <c r="G257" s="208">
        <v>709</v>
      </c>
      <c r="H257" s="92" t="s">
        <v>23</v>
      </c>
      <c r="I257" s="209">
        <f>(I254-I253)*0.0213</f>
        <v>234.62843888801515</v>
      </c>
      <c r="L257" s="208">
        <v>709</v>
      </c>
      <c r="M257" s="92" t="s">
        <v>23</v>
      </c>
      <c r="N257" s="209">
        <f>(N254-N253)*0.0213</f>
        <v>248.7640003393812</v>
      </c>
      <c r="Q257" s="208">
        <v>709</v>
      </c>
      <c r="R257" s="92" t="s">
        <v>23</v>
      </c>
      <c r="S257" s="209">
        <f>(S254-S253)*0.0213</f>
        <v>256.23294471719197</v>
      </c>
    </row>
    <row r="258" spans="1:19" ht="12.75">
      <c r="A258" s="147"/>
      <c r="B258" s="210">
        <v>713</v>
      </c>
      <c r="C258" s="92" t="s">
        <v>25</v>
      </c>
      <c r="D258" s="209">
        <f>(D254-D253)*0.007</f>
        <v>65.37299115603815</v>
      </c>
      <c r="G258" s="210">
        <v>713</v>
      </c>
      <c r="H258" s="92" t="s">
        <v>25</v>
      </c>
      <c r="I258" s="209">
        <f>(I254-I253)*0.007</f>
        <v>77.10793766272799</v>
      </c>
      <c r="L258" s="210">
        <v>713</v>
      </c>
      <c r="M258" s="92" t="s">
        <v>25</v>
      </c>
      <c r="N258" s="209">
        <f>(N254-N253)*0.007</f>
        <v>81.75342734158068</v>
      </c>
      <c r="Q258" s="210">
        <v>713</v>
      </c>
      <c r="R258" s="92" t="s">
        <v>25</v>
      </c>
      <c r="S258" s="209">
        <f>(S254-S253)*0.007</f>
        <v>84.20801000095511</v>
      </c>
    </row>
    <row r="259" spans="1:19" ht="12.75">
      <c r="A259" s="147"/>
      <c r="B259" s="210">
        <v>787</v>
      </c>
      <c r="C259" s="92" t="s">
        <v>439</v>
      </c>
      <c r="D259" s="209">
        <f>(D255-D254)*0.01</f>
        <v>-93.15651239735436</v>
      </c>
      <c r="G259" s="210">
        <v>787</v>
      </c>
      <c r="H259" s="92" t="s">
        <v>439</v>
      </c>
      <c r="I259" s="209">
        <f>(I255-I254)*0.01</f>
        <v>-109.87881116938739</v>
      </c>
      <c r="L259" s="210">
        <v>787</v>
      </c>
      <c r="M259" s="92" t="s">
        <v>439</v>
      </c>
      <c r="N259" s="209">
        <f>(N255-N254)*0.01</f>
        <v>-116.49863396175246</v>
      </c>
      <c r="Q259" s="210">
        <v>787</v>
      </c>
      <c r="R259" s="92" t="s">
        <v>439</v>
      </c>
      <c r="S259" s="209">
        <f>(S255-S254)*0.01</f>
        <v>-119.99641425136102</v>
      </c>
    </row>
    <row r="260" spans="1:19" ht="13.5" thickBot="1">
      <c r="A260" s="148"/>
      <c r="B260" s="210"/>
      <c r="C260" s="93" t="s">
        <v>26</v>
      </c>
      <c r="D260" s="211">
        <v>0</v>
      </c>
      <c r="G260" s="210"/>
      <c r="H260" s="93" t="s">
        <v>26</v>
      </c>
      <c r="I260" s="211">
        <v>0</v>
      </c>
      <c r="L260" s="210"/>
      <c r="M260" s="93" t="s">
        <v>26</v>
      </c>
      <c r="N260" s="211">
        <v>0</v>
      </c>
      <c r="Q260" s="210"/>
      <c r="R260" s="93" t="s">
        <v>26</v>
      </c>
      <c r="S260" s="211">
        <v>0</v>
      </c>
    </row>
    <row r="261" spans="1:19" ht="13.5" thickBot="1">
      <c r="A261" s="282"/>
      <c r="B261" s="212"/>
      <c r="C261" s="88" t="s">
        <v>27</v>
      </c>
      <c r="D261" s="109">
        <f>SUM(D255:D260)</f>
        <v>474.6546107865199</v>
      </c>
      <c r="G261" s="212"/>
      <c r="H261" s="88" t="s">
        <v>27</v>
      </c>
      <c r="I261" s="109">
        <f>SUM(I255:I260)</f>
        <v>559.8587045297356</v>
      </c>
      <c r="L261" s="212"/>
      <c r="M261" s="88" t="s">
        <v>27</v>
      </c>
      <c r="N261" s="109">
        <f>SUM(N255:N260)</f>
        <v>593.5882778051197</v>
      </c>
      <c r="Q261" s="212"/>
      <c r="R261" s="88" t="s">
        <v>27</v>
      </c>
      <c r="S261" s="109">
        <f>SUM(S255:S260)</f>
        <v>611.4103011855062</v>
      </c>
    </row>
    <row r="262" spans="1:19" ht="13.5" thickBot="1">
      <c r="A262" s="282"/>
      <c r="B262" s="213"/>
      <c r="C262" s="96"/>
      <c r="D262" s="214"/>
      <c r="G262" s="213"/>
      <c r="H262" s="96"/>
      <c r="I262" s="214"/>
      <c r="L262" s="213"/>
      <c r="M262" s="96"/>
      <c r="N262" s="214"/>
      <c r="Q262" s="213"/>
      <c r="R262" s="96"/>
      <c r="S262" s="214"/>
    </row>
    <row r="263" spans="1:19" ht="13.5" thickBot="1">
      <c r="A263" s="69"/>
      <c r="B263" s="215"/>
      <c r="C263" s="99" t="s">
        <v>28</v>
      </c>
      <c r="D263" s="110">
        <f>D254-D261</f>
        <v>8864.34412579036</v>
      </c>
      <c r="G263" s="215"/>
      <c r="H263" s="99" t="s">
        <v>28</v>
      </c>
      <c r="I263" s="110">
        <f>I254-I261</f>
        <v>10455.560961574263</v>
      </c>
      <c r="L263" s="215"/>
      <c r="M263" s="99" t="s">
        <v>28</v>
      </c>
      <c r="N263" s="110">
        <f>N254-N261</f>
        <v>11085.472770992119</v>
      </c>
      <c r="Q263" s="215"/>
      <c r="R263" s="99" t="s">
        <v>28</v>
      </c>
      <c r="S263" s="110">
        <f>S254-S261</f>
        <v>11418.305413236652</v>
      </c>
    </row>
    <row r="264" spans="1:21" ht="13.5" thickBot="1">
      <c r="A264" s="69"/>
      <c r="O264" s="495" t="s">
        <v>472</v>
      </c>
      <c r="P264" s="496"/>
      <c r="T264" s="495" t="s">
        <v>474</v>
      </c>
      <c r="U264" s="496"/>
    </row>
    <row r="265" spans="1:21" ht="16.5" thickTop="1">
      <c r="A265" s="69"/>
      <c r="B265" s="375" t="s">
        <v>403</v>
      </c>
      <c r="C265" s="377"/>
      <c r="D265" s="384"/>
      <c r="E265" s="457"/>
      <c r="F265" s="458"/>
      <c r="G265" s="375" t="s">
        <v>403</v>
      </c>
      <c r="H265" s="377"/>
      <c r="I265" s="384">
        <f>I263-D263</f>
        <v>1591.2168357839037</v>
      </c>
      <c r="J265" s="457"/>
      <c r="K265" s="458"/>
      <c r="L265" s="375" t="s">
        <v>403</v>
      </c>
      <c r="M265" s="377"/>
      <c r="N265" s="384">
        <f>N263-I263</f>
        <v>629.9118094178557</v>
      </c>
      <c r="O265" s="457" t="s">
        <v>434</v>
      </c>
      <c r="P265" s="458">
        <f>N263-D263</f>
        <v>2221.1286452017594</v>
      </c>
      <c r="Q265" s="375" t="s">
        <v>403</v>
      </c>
      <c r="R265" s="377"/>
      <c r="S265" s="384">
        <f>S263-N263</f>
        <v>332.8326422445334</v>
      </c>
      <c r="T265" s="457" t="s">
        <v>434</v>
      </c>
      <c r="U265" s="458">
        <f>S263-D263</f>
        <v>2553.9612874462928</v>
      </c>
    </row>
    <row r="266" spans="1:21" ht="16.5" thickBot="1">
      <c r="A266" s="69"/>
      <c r="B266" s="376" t="s">
        <v>395</v>
      </c>
      <c r="C266" s="377"/>
      <c r="D266" s="385"/>
      <c r="E266" s="459"/>
      <c r="F266" s="460"/>
      <c r="G266" s="376" t="s">
        <v>395</v>
      </c>
      <c r="H266" s="377"/>
      <c r="I266" s="385">
        <f>I265/D263</f>
        <v>0.179507565726644</v>
      </c>
      <c r="J266" s="459"/>
      <c r="K266" s="460"/>
      <c r="L266" s="376" t="s">
        <v>395</v>
      </c>
      <c r="M266" s="377"/>
      <c r="N266" s="385">
        <f>N265/I263</f>
        <v>0.060246581865179206</v>
      </c>
      <c r="O266" s="459" t="s">
        <v>435</v>
      </c>
      <c r="P266" s="460">
        <f>P265/D263</f>
        <v>0.2505688648457925</v>
      </c>
      <c r="Q266" s="376" t="s">
        <v>395</v>
      </c>
      <c r="R266" s="377"/>
      <c r="S266" s="385">
        <f>S265/N263</f>
        <v>0.030024217200322962</v>
      </c>
      <c r="T266" s="459" t="s">
        <v>435</v>
      </c>
      <c r="U266" s="460">
        <f>U265/D263</f>
        <v>0.2881162160678839</v>
      </c>
    </row>
    <row r="267" spans="2:21" s="69" customFormat="1" ht="16.5" thickBot="1">
      <c r="B267" s="387"/>
      <c r="C267" s="456"/>
      <c r="D267" s="386"/>
      <c r="E267" s="453"/>
      <c r="F267" s="497"/>
      <c r="G267" s="387"/>
      <c r="H267" s="456"/>
      <c r="I267" s="386"/>
      <c r="J267" s="453"/>
      <c r="K267" s="497"/>
      <c r="L267" s="387"/>
      <c r="M267" s="456"/>
      <c r="N267" s="386"/>
      <c r="O267" s="453"/>
      <c r="P267" s="497"/>
      <c r="Q267" s="387"/>
      <c r="R267" s="456"/>
      <c r="S267" s="386"/>
      <c r="T267" s="453"/>
      <c r="U267" s="497"/>
    </row>
    <row r="268" spans="1:8" ht="16.5" thickTop="1">
      <c r="A268" s="69"/>
      <c r="B268" s="436" t="s">
        <v>11</v>
      </c>
      <c r="C268" s="437"/>
      <c r="D268" s="329"/>
      <c r="E268" s="69"/>
      <c r="F268" s="69"/>
      <c r="G268" s="69"/>
      <c r="H268" s="14"/>
    </row>
    <row r="269" spans="1:7" ht="15.75">
      <c r="A269" s="69"/>
      <c r="B269" s="438" t="s">
        <v>12</v>
      </c>
      <c r="C269" s="439"/>
      <c r="D269" s="330"/>
      <c r="E269" s="69"/>
      <c r="F269" s="69"/>
      <c r="G269" s="69"/>
    </row>
    <row r="270" spans="1:7" ht="15.75">
      <c r="A270" s="69"/>
      <c r="B270" s="440" t="s">
        <v>361</v>
      </c>
      <c r="C270" s="439"/>
      <c r="D270" s="330"/>
      <c r="E270" s="69"/>
      <c r="F270" s="69"/>
      <c r="G270" s="69"/>
    </row>
    <row r="271" spans="1:7" ht="15.75">
      <c r="A271" s="69"/>
      <c r="B271" s="440" t="s">
        <v>352</v>
      </c>
      <c r="C271" s="439"/>
      <c r="D271" s="330"/>
      <c r="E271" s="69"/>
      <c r="F271" s="69"/>
      <c r="G271" s="69"/>
    </row>
    <row r="272" spans="1:7" ht="15.75" thickBot="1">
      <c r="A272" s="69"/>
      <c r="B272" s="435"/>
      <c r="C272" s="331"/>
      <c r="D272" s="332"/>
      <c r="E272" s="69"/>
      <c r="F272" s="69"/>
      <c r="G272" s="69"/>
    </row>
    <row r="273" spans="1:7" ht="13.5" thickTop="1">
      <c r="A273" s="69"/>
      <c r="B273" s="69"/>
      <c r="C273" s="69"/>
      <c r="D273" s="69"/>
      <c r="E273" s="69"/>
      <c r="F273" s="69"/>
      <c r="G273" s="69"/>
    </row>
    <row r="274" spans="1:7" ht="12.75">
      <c r="A274" s="69"/>
      <c r="B274" s="69"/>
      <c r="C274" s="69"/>
      <c r="D274" s="69"/>
      <c r="E274" s="69"/>
      <c r="F274" s="69"/>
      <c r="G274" s="69"/>
    </row>
    <row r="291" ht="12.75"/>
    <row r="292" ht="12.75"/>
    <row r="293" ht="12.75"/>
    <row r="294" ht="12.75"/>
    <row r="295" ht="12.75"/>
  </sheetData>
  <sheetProtection password="C9B5" sheet="1" selectLockedCells="1"/>
  <hyperlinks>
    <hyperlink ref="D12" location="cargosingreso" display="cargos de ingreso"/>
    <hyperlink ref="D13" location="horasmedia" display="horas nivel medio"/>
    <hyperlink ref="D14" location="horassuperior" display="horas nivel superior"/>
    <hyperlink ref="D11" location="instructivo" display="instructivo"/>
    <hyperlink ref="B35" location="Cargos!A1" display="Cargos"/>
    <hyperlink ref="D15" location="Cargos!A1" display="Cargos"/>
    <hyperlink ref="B271" r:id="rId1" display="www.agmeruruguay.com.ar"/>
    <hyperlink ref="B270" r:id="rId2" display="victorhutt@victorhutt.com.ar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3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64.57421875" style="0" bestFit="1" customWidth="1"/>
    <col min="4" max="4" width="16.28125" style="0" customWidth="1"/>
    <col min="5" max="5" width="19.57421875" style="0" bestFit="1" customWidth="1"/>
    <col min="6" max="6" width="22.7109375" style="483" customWidth="1"/>
    <col min="7" max="7" width="14.00390625" style="0" customWidth="1"/>
    <col min="8" max="8" width="21.57421875" style="489" customWidth="1"/>
  </cols>
  <sheetData>
    <row r="1" spans="1:14" ht="13.5" thickBot="1">
      <c r="A1" s="19"/>
      <c r="B1" s="509"/>
      <c r="C1" s="20"/>
      <c r="D1" s="462"/>
      <c r="E1" s="481" t="s">
        <v>458</v>
      </c>
      <c r="F1" s="481"/>
      <c r="G1" s="481"/>
      <c r="H1" s="484"/>
      <c r="I1" s="484"/>
      <c r="J1" s="481"/>
      <c r="K1" s="21" t="s">
        <v>33</v>
      </c>
      <c r="L1" s="22" t="s">
        <v>34</v>
      </c>
      <c r="M1" s="22" t="s">
        <v>35</v>
      </c>
      <c r="N1" s="510" t="s">
        <v>459</v>
      </c>
    </row>
    <row r="2" spans="1:14" ht="12.75">
      <c r="A2" s="23" t="s">
        <v>36</v>
      </c>
      <c r="B2" s="24" t="s">
        <v>37</v>
      </c>
      <c r="C2" s="23" t="s">
        <v>38</v>
      </c>
      <c r="D2" s="190" t="s">
        <v>460</v>
      </c>
      <c r="E2" s="190" t="s">
        <v>372</v>
      </c>
      <c r="F2" s="482" t="s">
        <v>445</v>
      </c>
      <c r="G2" s="190" t="s">
        <v>461</v>
      </c>
      <c r="H2" s="485" t="s">
        <v>462</v>
      </c>
      <c r="I2" s="485" t="s">
        <v>462</v>
      </c>
      <c r="J2" s="190"/>
      <c r="K2" s="25" t="s">
        <v>39</v>
      </c>
      <c r="L2" s="25" t="s">
        <v>40</v>
      </c>
      <c r="M2" s="25" t="s">
        <v>41</v>
      </c>
      <c r="N2" s="511" t="s">
        <v>463</v>
      </c>
    </row>
    <row r="3" spans="1:14" ht="12.75">
      <c r="A3" s="26">
        <v>600</v>
      </c>
      <c r="B3" s="27" t="s">
        <v>42</v>
      </c>
      <c r="C3" s="26">
        <v>1300</v>
      </c>
      <c r="D3" s="191">
        <v>127</v>
      </c>
      <c r="E3" s="191">
        <v>127</v>
      </c>
      <c r="F3" s="380">
        <f>IF(C3&lt;972,E3+44,E3)</f>
        <v>127</v>
      </c>
      <c r="G3" s="380">
        <f aca="true" t="shared" si="0" ref="G3:G66">A3</f>
        <v>600</v>
      </c>
      <c r="H3" s="486">
        <v>0</v>
      </c>
      <c r="I3" s="486">
        <v>0</v>
      </c>
      <c r="J3" s="512">
        <f aca="true" t="shared" si="1" ref="J3:J66">C3+E3</f>
        <v>1427</v>
      </c>
      <c r="K3" s="28">
        <v>0</v>
      </c>
      <c r="L3" s="26">
        <v>0</v>
      </c>
      <c r="M3" s="26">
        <v>0</v>
      </c>
      <c r="N3" s="513"/>
    </row>
    <row r="4" spans="1:14" ht="12.75">
      <c r="A4" s="26">
        <v>603</v>
      </c>
      <c r="B4" s="27" t="s">
        <v>43</v>
      </c>
      <c r="C4" s="26">
        <v>3146</v>
      </c>
      <c r="D4" s="191">
        <v>0</v>
      </c>
      <c r="E4" s="191">
        <v>0</v>
      </c>
      <c r="F4" s="380">
        <f aca="true" t="shared" si="2" ref="F4:F67">IF(C4&lt;972,E4+44,E4)</f>
        <v>0</v>
      </c>
      <c r="G4" s="380">
        <f t="shared" si="0"/>
        <v>603</v>
      </c>
      <c r="H4" s="486">
        <v>0</v>
      </c>
      <c r="I4" s="486">
        <v>0</v>
      </c>
      <c r="J4" s="512">
        <f t="shared" si="1"/>
        <v>3146</v>
      </c>
      <c r="K4" s="28">
        <v>0</v>
      </c>
      <c r="L4" s="26">
        <v>0</v>
      </c>
      <c r="M4" s="26">
        <v>0</v>
      </c>
      <c r="N4" s="513"/>
    </row>
    <row r="5" spans="1:14" ht="12.75">
      <c r="A5" s="26">
        <v>604</v>
      </c>
      <c r="B5" s="27" t="s">
        <v>406</v>
      </c>
      <c r="C5" s="26">
        <v>1610</v>
      </c>
      <c r="D5" s="191">
        <v>87</v>
      </c>
      <c r="E5" s="191">
        <v>87</v>
      </c>
      <c r="F5" s="380">
        <f t="shared" si="2"/>
        <v>87</v>
      </c>
      <c r="G5" s="380">
        <f t="shared" si="0"/>
        <v>604</v>
      </c>
      <c r="H5" s="486">
        <v>388.2</v>
      </c>
      <c r="I5" s="486">
        <v>388.2</v>
      </c>
      <c r="J5" s="512">
        <f t="shared" si="1"/>
        <v>1697</v>
      </c>
      <c r="K5" s="28">
        <v>0</v>
      </c>
      <c r="L5" s="26">
        <v>0</v>
      </c>
      <c r="M5" s="26">
        <v>0</v>
      </c>
      <c r="N5" s="513"/>
    </row>
    <row r="6" spans="1:14" ht="12.75">
      <c r="A6" s="26">
        <v>605</v>
      </c>
      <c r="B6" s="27" t="s">
        <v>44</v>
      </c>
      <c r="C6" s="26">
        <v>2913</v>
      </c>
      <c r="D6" s="191">
        <v>0</v>
      </c>
      <c r="E6" s="191">
        <v>0</v>
      </c>
      <c r="F6" s="380">
        <f t="shared" si="2"/>
        <v>0</v>
      </c>
      <c r="G6" s="380">
        <f t="shared" si="0"/>
        <v>605</v>
      </c>
      <c r="H6" s="486">
        <v>776.4</v>
      </c>
      <c r="I6" s="486">
        <v>776.4</v>
      </c>
      <c r="J6" s="512">
        <f t="shared" si="1"/>
        <v>2913</v>
      </c>
      <c r="K6" s="28">
        <v>0</v>
      </c>
      <c r="L6" s="26">
        <v>0</v>
      </c>
      <c r="M6" s="26">
        <v>0</v>
      </c>
      <c r="N6" s="513"/>
    </row>
    <row r="7" spans="1:14" ht="12.75">
      <c r="A7" s="26">
        <v>606</v>
      </c>
      <c r="B7" s="27" t="s">
        <v>45</v>
      </c>
      <c r="C7" s="26">
        <v>2913</v>
      </c>
      <c r="D7" s="191">
        <v>0</v>
      </c>
      <c r="E7" s="191">
        <v>0</v>
      </c>
      <c r="F7" s="380">
        <f t="shared" si="2"/>
        <v>0</v>
      </c>
      <c r="G7" s="380">
        <f t="shared" si="0"/>
        <v>606</v>
      </c>
      <c r="H7" s="486">
        <v>0</v>
      </c>
      <c r="I7" s="486">
        <v>0</v>
      </c>
      <c r="J7" s="512">
        <f t="shared" si="1"/>
        <v>2913</v>
      </c>
      <c r="K7" s="28">
        <v>0</v>
      </c>
      <c r="L7" s="26">
        <v>0</v>
      </c>
      <c r="M7" s="26">
        <v>0</v>
      </c>
      <c r="N7" s="513"/>
    </row>
    <row r="8" spans="1:14" ht="12.75">
      <c r="A8" s="26">
        <v>608</v>
      </c>
      <c r="B8" s="27" t="s">
        <v>46</v>
      </c>
      <c r="C8" s="26">
        <v>2913</v>
      </c>
      <c r="D8" s="191">
        <v>0</v>
      </c>
      <c r="E8" s="191">
        <v>0</v>
      </c>
      <c r="F8" s="380">
        <f t="shared" si="2"/>
        <v>0</v>
      </c>
      <c r="G8" s="380">
        <f t="shared" si="0"/>
        <v>608</v>
      </c>
      <c r="H8" s="486">
        <v>0</v>
      </c>
      <c r="I8" s="486">
        <v>0</v>
      </c>
      <c r="J8" s="512">
        <f t="shared" si="1"/>
        <v>2913</v>
      </c>
      <c r="K8" s="28">
        <v>0</v>
      </c>
      <c r="L8" s="26">
        <v>0</v>
      </c>
      <c r="M8" s="26">
        <v>0</v>
      </c>
      <c r="N8" s="513"/>
    </row>
    <row r="9" spans="1:14" ht="12.75">
      <c r="A9" s="26">
        <v>609</v>
      </c>
      <c r="B9" s="27" t="s">
        <v>47</v>
      </c>
      <c r="C9" s="26">
        <v>2000</v>
      </c>
      <c r="D9" s="191">
        <v>36</v>
      </c>
      <c r="E9" s="191">
        <v>36</v>
      </c>
      <c r="F9" s="380">
        <f t="shared" si="2"/>
        <v>36</v>
      </c>
      <c r="G9" s="380">
        <f t="shared" si="0"/>
        <v>609</v>
      </c>
      <c r="H9" s="486">
        <v>647</v>
      </c>
      <c r="I9" s="486">
        <v>647</v>
      </c>
      <c r="J9" s="512">
        <f t="shared" si="1"/>
        <v>2036</v>
      </c>
      <c r="K9" s="28">
        <v>0</v>
      </c>
      <c r="L9" s="26">
        <v>0</v>
      </c>
      <c r="M9" s="26">
        <v>0</v>
      </c>
      <c r="N9" s="513"/>
    </row>
    <row r="10" spans="1:14" ht="12.75">
      <c r="A10" s="26">
        <v>611</v>
      </c>
      <c r="B10" s="27" t="s">
        <v>48</v>
      </c>
      <c r="C10" s="26">
        <v>1840</v>
      </c>
      <c r="D10" s="191">
        <v>57</v>
      </c>
      <c r="E10" s="191">
        <v>57</v>
      </c>
      <c r="F10" s="380">
        <f t="shared" si="2"/>
        <v>57</v>
      </c>
      <c r="G10" s="380">
        <f t="shared" si="0"/>
        <v>611</v>
      </c>
      <c r="H10" s="486">
        <v>582.3</v>
      </c>
      <c r="I10" s="486">
        <v>582.3</v>
      </c>
      <c r="J10" s="512">
        <f t="shared" si="1"/>
        <v>1897</v>
      </c>
      <c r="K10" s="28">
        <v>0</v>
      </c>
      <c r="L10" s="26">
        <v>0</v>
      </c>
      <c r="M10" s="26">
        <v>0</v>
      </c>
      <c r="N10" s="513"/>
    </row>
    <row r="11" spans="1:14" ht="12.75">
      <c r="A11" s="26">
        <v>612</v>
      </c>
      <c r="B11" s="27" t="s">
        <v>49</v>
      </c>
      <c r="C11" s="26">
        <v>1690</v>
      </c>
      <c r="D11" s="191">
        <v>76</v>
      </c>
      <c r="E11" s="191">
        <v>76</v>
      </c>
      <c r="F11" s="380">
        <f t="shared" si="2"/>
        <v>76</v>
      </c>
      <c r="G11" s="380">
        <f t="shared" si="0"/>
        <v>612</v>
      </c>
      <c r="H11" s="486">
        <v>452.9</v>
      </c>
      <c r="I11" s="486">
        <v>452.9</v>
      </c>
      <c r="J11" s="512">
        <f t="shared" si="1"/>
        <v>1766</v>
      </c>
      <c r="K11" s="28">
        <v>0</v>
      </c>
      <c r="L11" s="26">
        <v>0</v>
      </c>
      <c r="M11" s="26">
        <v>0</v>
      </c>
      <c r="N11" s="513"/>
    </row>
    <row r="12" spans="1:14" ht="12.75">
      <c r="A12" s="26">
        <v>613</v>
      </c>
      <c r="B12" s="27" t="s">
        <v>50</v>
      </c>
      <c r="C12" s="26">
        <v>1680</v>
      </c>
      <c r="D12" s="191">
        <v>77</v>
      </c>
      <c r="E12" s="191">
        <v>77</v>
      </c>
      <c r="F12" s="380">
        <f t="shared" si="2"/>
        <v>77</v>
      </c>
      <c r="G12" s="380">
        <f t="shared" si="0"/>
        <v>613</v>
      </c>
      <c r="H12" s="486">
        <v>452.9</v>
      </c>
      <c r="I12" s="486">
        <v>452.9</v>
      </c>
      <c r="J12" s="512">
        <f t="shared" si="1"/>
        <v>1757</v>
      </c>
      <c r="K12" s="28">
        <v>0</v>
      </c>
      <c r="L12" s="26">
        <v>0</v>
      </c>
      <c r="M12" s="26">
        <v>0</v>
      </c>
      <c r="N12" s="513"/>
    </row>
    <row r="13" spans="1:14" ht="12.75">
      <c r="A13" s="26">
        <v>614</v>
      </c>
      <c r="B13" s="27" t="s">
        <v>51</v>
      </c>
      <c r="C13" s="26">
        <v>1740</v>
      </c>
      <c r="D13" s="191">
        <v>70</v>
      </c>
      <c r="E13" s="191">
        <v>70</v>
      </c>
      <c r="F13" s="380">
        <f t="shared" si="2"/>
        <v>70</v>
      </c>
      <c r="G13" s="380">
        <f t="shared" si="0"/>
        <v>614</v>
      </c>
      <c r="H13" s="486">
        <v>517.6</v>
      </c>
      <c r="I13" s="486">
        <v>517.6</v>
      </c>
      <c r="J13" s="512">
        <f t="shared" si="1"/>
        <v>1810</v>
      </c>
      <c r="K13" s="28">
        <v>0</v>
      </c>
      <c r="L13" s="26">
        <v>0</v>
      </c>
      <c r="M13" s="26">
        <v>0</v>
      </c>
      <c r="N13" s="513"/>
    </row>
    <row r="14" spans="1:14" ht="12.75">
      <c r="A14" s="26">
        <v>615</v>
      </c>
      <c r="B14" s="27" t="s">
        <v>52</v>
      </c>
      <c r="C14" s="26">
        <v>1610</v>
      </c>
      <c r="D14" s="191">
        <v>87</v>
      </c>
      <c r="E14" s="191">
        <v>87</v>
      </c>
      <c r="F14" s="380">
        <f t="shared" si="2"/>
        <v>87</v>
      </c>
      <c r="G14" s="380">
        <f t="shared" si="0"/>
        <v>615</v>
      </c>
      <c r="H14" s="486">
        <v>388.2</v>
      </c>
      <c r="I14" s="486">
        <v>388.2</v>
      </c>
      <c r="J14" s="512">
        <f t="shared" si="1"/>
        <v>1697</v>
      </c>
      <c r="K14" s="28">
        <v>0</v>
      </c>
      <c r="L14" s="26">
        <v>0</v>
      </c>
      <c r="M14" s="26">
        <v>0</v>
      </c>
      <c r="N14" s="513"/>
    </row>
    <row r="15" spans="1:14" ht="12.75">
      <c r="A15" s="26">
        <v>616</v>
      </c>
      <c r="B15" s="27" t="s">
        <v>53</v>
      </c>
      <c r="C15" s="26">
        <v>1740</v>
      </c>
      <c r="D15" s="191">
        <v>70</v>
      </c>
      <c r="E15" s="191">
        <v>70</v>
      </c>
      <c r="F15" s="380">
        <f t="shared" si="2"/>
        <v>70</v>
      </c>
      <c r="G15" s="380">
        <f t="shared" si="0"/>
        <v>616</v>
      </c>
      <c r="H15" s="486">
        <v>0</v>
      </c>
      <c r="I15" s="486">
        <v>0</v>
      </c>
      <c r="J15" s="512">
        <f t="shared" si="1"/>
        <v>1810</v>
      </c>
      <c r="K15" s="28">
        <v>0</v>
      </c>
      <c r="L15" s="26">
        <v>0</v>
      </c>
      <c r="M15" s="26">
        <v>0</v>
      </c>
      <c r="N15" s="513"/>
    </row>
    <row r="16" spans="1:14" ht="12.75">
      <c r="A16" s="26">
        <v>617</v>
      </c>
      <c r="B16" s="27" t="s">
        <v>54</v>
      </c>
      <c r="C16" s="26">
        <v>1610</v>
      </c>
      <c r="D16" s="191">
        <v>87</v>
      </c>
      <c r="E16" s="191">
        <v>87</v>
      </c>
      <c r="F16" s="380">
        <f t="shared" si="2"/>
        <v>87</v>
      </c>
      <c r="G16" s="380">
        <f t="shared" si="0"/>
        <v>617</v>
      </c>
      <c r="H16" s="486">
        <v>0</v>
      </c>
      <c r="I16" s="486">
        <v>0</v>
      </c>
      <c r="J16" s="512">
        <f t="shared" si="1"/>
        <v>1697</v>
      </c>
      <c r="K16" s="28">
        <v>0</v>
      </c>
      <c r="L16" s="26">
        <v>0</v>
      </c>
      <c r="M16" s="26">
        <v>0</v>
      </c>
      <c r="N16" s="513"/>
    </row>
    <row r="17" spans="1:14" ht="12.75">
      <c r="A17" s="26">
        <v>618</v>
      </c>
      <c r="B17" s="27" t="s">
        <v>55</v>
      </c>
      <c r="C17" s="26">
        <v>1500</v>
      </c>
      <c r="D17" s="191">
        <v>101</v>
      </c>
      <c r="E17" s="191">
        <v>101</v>
      </c>
      <c r="F17" s="380">
        <f t="shared" si="2"/>
        <v>101</v>
      </c>
      <c r="G17" s="380">
        <f t="shared" si="0"/>
        <v>618</v>
      </c>
      <c r="H17" s="486">
        <v>0</v>
      </c>
      <c r="I17" s="486">
        <v>0</v>
      </c>
      <c r="J17" s="512">
        <f t="shared" si="1"/>
        <v>1601</v>
      </c>
      <c r="K17" s="28">
        <v>0</v>
      </c>
      <c r="L17" s="26">
        <v>0</v>
      </c>
      <c r="M17" s="26">
        <v>0</v>
      </c>
      <c r="N17" s="513"/>
    </row>
    <row r="18" spans="1:14" ht="12.75">
      <c r="A18" s="26">
        <v>619</v>
      </c>
      <c r="B18" s="27" t="s">
        <v>56</v>
      </c>
      <c r="C18" s="26">
        <v>1320</v>
      </c>
      <c r="D18" s="191">
        <v>124</v>
      </c>
      <c r="E18" s="191">
        <v>124</v>
      </c>
      <c r="F18" s="380">
        <f t="shared" si="2"/>
        <v>124</v>
      </c>
      <c r="G18" s="380">
        <f t="shared" si="0"/>
        <v>619</v>
      </c>
      <c r="H18" s="486">
        <v>0</v>
      </c>
      <c r="I18" s="486">
        <v>0</v>
      </c>
      <c r="J18" s="512">
        <f t="shared" si="1"/>
        <v>1444</v>
      </c>
      <c r="K18" s="28">
        <v>0</v>
      </c>
      <c r="L18" s="26">
        <v>0</v>
      </c>
      <c r="M18" s="26">
        <v>0</v>
      </c>
      <c r="N18" s="513"/>
    </row>
    <row r="19" spans="1:14" ht="12.75">
      <c r="A19" s="26">
        <v>620</v>
      </c>
      <c r="B19" s="27" t="s">
        <v>57</v>
      </c>
      <c r="C19" s="26">
        <v>1550</v>
      </c>
      <c r="D19" s="191">
        <v>94</v>
      </c>
      <c r="E19" s="191">
        <v>94</v>
      </c>
      <c r="F19" s="380">
        <f t="shared" si="2"/>
        <v>94</v>
      </c>
      <c r="G19" s="380">
        <f t="shared" si="0"/>
        <v>620</v>
      </c>
      <c r="H19" s="486">
        <v>0</v>
      </c>
      <c r="I19" s="486">
        <v>0</v>
      </c>
      <c r="J19" s="512">
        <f t="shared" si="1"/>
        <v>1644</v>
      </c>
      <c r="K19" s="28">
        <v>0</v>
      </c>
      <c r="L19" s="26">
        <v>0</v>
      </c>
      <c r="M19" s="26">
        <v>0</v>
      </c>
      <c r="N19" s="513"/>
    </row>
    <row r="20" spans="1:14" ht="12.75">
      <c r="A20" s="26">
        <v>621</v>
      </c>
      <c r="B20" s="27" t="s">
        <v>58</v>
      </c>
      <c r="C20" s="26">
        <v>1340</v>
      </c>
      <c r="D20" s="191">
        <v>122</v>
      </c>
      <c r="E20" s="191">
        <v>122</v>
      </c>
      <c r="F20" s="380">
        <f t="shared" si="2"/>
        <v>122</v>
      </c>
      <c r="G20" s="380">
        <f t="shared" si="0"/>
        <v>621</v>
      </c>
      <c r="H20" s="486">
        <v>0</v>
      </c>
      <c r="I20" s="486">
        <v>0</v>
      </c>
      <c r="J20" s="512">
        <f t="shared" si="1"/>
        <v>1462</v>
      </c>
      <c r="K20" s="28">
        <v>0</v>
      </c>
      <c r="L20" s="26">
        <v>0</v>
      </c>
      <c r="M20" s="26">
        <v>0</v>
      </c>
      <c r="N20" s="513"/>
    </row>
    <row r="21" spans="1:14" ht="12.75">
      <c r="A21" s="26">
        <v>622</v>
      </c>
      <c r="B21" s="27" t="s">
        <v>59</v>
      </c>
      <c r="C21" s="33">
        <v>971</v>
      </c>
      <c r="D21" s="191">
        <v>170</v>
      </c>
      <c r="E21" s="191">
        <v>216</v>
      </c>
      <c r="F21" s="380">
        <f t="shared" si="2"/>
        <v>260</v>
      </c>
      <c r="G21" s="380">
        <f t="shared" si="0"/>
        <v>622</v>
      </c>
      <c r="H21" s="486">
        <v>0</v>
      </c>
      <c r="I21" s="486">
        <v>0</v>
      </c>
      <c r="J21" s="512">
        <f t="shared" si="1"/>
        <v>1187</v>
      </c>
      <c r="K21" s="28">
        <v>0</v>
      </c>
      <c r="L21" s="26">
        <v>0</v>
      </c>
      <c r="M21" s="26">
        <v>0</v>
      </c>
      <c r="N21" s="513"/>
    </row>
    <row r="22" spans="1:14" ht="12.75">
      <c r="A22" s="26">
        <v>623</v>
      </c>
      <c r="B22" s="27" t="s">
        <v>60</v>
      </c>
      <c r="C22" s="26">
        <v>1690</v>
      </c>
      <c r="D22" s="191">
        <v>76</v>
      </c>
      <c r="E22" s="191">
        <v>76</v>
      </c>
      <c r="F22" s="380">
        <f t="shared" si="2"/>
        <v>76</v>
      </c>
      <c r="G22" s="380">
        <f t="shared" si="0"/>
        <v>623</v>
      </c>
      <c r="H22" s="486">
        <v>0</v>
      </c>
      <c r="I22" s="486">
        <v>0</v>
      </c>
      <c r="J22" s="512">
        <f t="shared" si="1"/>
        <v>1766</v>
      </c>
      <c r="K22" s="28">
        <v>0</v>
      </c>
      <c r="L22" s="26">
        <v>0</v>
      </c>
      <c r="M22" s="26">
        <v>0</v>
      </c>
      <c r="N22" s="513"/>
    </row>
    <row r="23" spans="1:14" ht="12.75">
      <c r="A23" s="26">
        <v>624</v>
      </c>
      <c r="B23" s="27" t="s">
        <v>61</v>
      </c>
      <c r="C23" s="26">
        <v>1400</v>
      </c>
      <c r="D23" s="191">
        <v>114</v>
      </c>
      <c r="E23" s="191">
        <v>114</v>
      </c>
      <c r="F23" s="380">
        <f t="shared" si="2"/>
        <v>114</v>
      </c>
      <c r="G23" s="380">
        <f t="shared" si="0"/>
        <v>624</v>
      </c>
      <c r="H23" s="486">
        <v>0</v>
      </c>
      <c r="I23" s="486">
        <v>0</v>
      </c>
      <c r="J23" s="512">
        <f t="shared" si="1"/>
        <v>1514</v>
      </c>
      <c r="K23" s="28">
        <v>0</v>
      </c>
      <c r="L23" s="26">
        <v>0</v>
      </c>
      <c r="M23" s="26">
        <v>0</v>
      </c>
      <c r="N23" s="513"/>
    </row>
    <row r="24" spans="1:14" ht="12.75">
      <c r="A24" s="26">
        <v>625</v>
      </c>
      <c r="B24" s="27" t="s">
        <v>62</v>
      </c>
      <c r="C24" s="26">
        <v>1370</v>
      </c>
      <c r="D24" s="191">
        <v>118</v>
      </c>
      <c r="E24" s="191">
        <v>118</v>
      </c>
      <c r="F24" s="380">
        <f t="shared" si="2"/>
        <v>118</v>
      </c>
      <c r="G24" s="380">
        <f t="shared" si="0"/>
        <v>625</v>
      </c>
      <c r="H24" s="486">
        <v>388.2</v>
      </c>
      <c r="I24" s="486">
        <v>388.2</v>
      </c>
      <c r="J24" s="512">
        <f t="shared" si="1"/>
        <v>1488</v>
      </c>
      <c r="K24" s="28">
        <v>0</v>
      </c>
      <c r="L24" s="26">
        <v>0</v>
      </c>
      <c r="M24" s="26">
        <v>0</v>
      </c>
      <c r="N24" s="513"/>
    </row>
    <row r="25" spans="1:14" ht="12.75">
      <c r="A25" s="26">
        <v>626</v>
      </c>
      <c r="B25" s="27" t="s">
        <v>63</v>
      </c>
      <c r="C25" s="26">
        <v>1340</v>
      </c>
      <c r="D25" s="191">
        <v>122</v>
      </c>
      <c r="E25" s="191">
        <v>122</v>
      </c>
      <c r="F25" s="380">
        <f t="shared" si="2"/>
        <v>122</v>
      </c>
      <c r="G25" s="380">
        <f t="shared" si="0"/>
        <v>626</v>
      </c>
      <c r="H25" s="486">
        <v>388.2</v>
      </c>
      <c r="I25" s="486">
        <v>388.2</v>
      </c>
      <c r="J25" s="512">
        <f t="shared" si="1"/>
        <v>1462</v>
      </c>
      <c r="K25" s="28">
        <v>0</v>
      </c>
      <c r="L25" s="26">
        <v>0</v>
      </c>
      <c r="M25" s="26">
        <v>0</v>
      </c>
      <c r="N25" s="513"/>
    </row>
    <row r="26" spans="1:14" ht="12.75">
      <c r="A26" s="26">
        <v>627</v>
      </c>
      <c r="B26" s="27" t="s">
        <v>64</v>
      </c>
      <c r="C26" s="26">
        <v>1300</v>
      </c>
      <c r="D26" s="191">
        <v>127</v>
      </c>
      <c r="E26" s="191">
        <v>127</v>
      </c>
      <c r="F26" s="380">
        <f t="shared" si="2"/>
        <v>127</v>
      </c>
      <c r="G26" s="380">
        <f t="shared" si="0"/>
        <v>627</v>
      </c>
      <c r="H26" s="486">
        <v>388.2</v>
      </c>
      <c r="I26" s="486">
        <v>388.2</v>
      </c>
      <c r="J26" s="512">
        <f t="shared" si="1"/>
        <v>1427</v>
      </c>
      <c r="K26" s="28">
        <v>0</v>
      </c>
      <c r="L26" s="26">
        <v>0</v>
      </c>
      <c r="M26" s="26">
        <v>0</v>
      </c>
      <c r="N26" s="513"/>
    </row>
    <row r="27" spans="1:14" ht="12.75">
      <c r="A27" s="26">
        <v>628</v>
      </c>
      <c r="B27" s="27" t="s">
        <v>65</v>
      </c>
      <c r="C27" s="26">
        <v>980</v>
      </c>
      <c r="D27" s="191">
        <v>169</v>
      </c>
      <c r="E27" s="191">
        <v>169</v>
      </c>
      <c r="F27" s="380">
        <f t="shared" si="2"/>
        <v>169</v>
      </c>
      <c r="G27" s="380">
        <f t="shared" si="0"/>
        <v>628</v>
      </c>
      <c r="H27" s="486">
        <v>0</v>
      </c>
      <c r="I27" s="486">
        <v>0</v>
      </c>
      <c r="J27" s="512">
        <f t="shared" si="1"/>
        <v>1149</v>
      </c>
      <c r="K27" s="28">
        <v>0</v>
      </c>
      <c r="L27" s="26">
        <v>0</v>
      </c>
      <c r="M27" s="26">
        <v>0</v>
      </c>
      <c r="N27" s="513"/>
    </row>
    <row r="28" spans="1:14" ht="12.75">
      <c r="A28" s="26">
        <v>629</v>
      </c>
      <c r="B28" s="27" t="s">
        <v>66</v>
      </c>
      <c r="C28" s="26">
        <v>941</v>
      </c>
      <c r="D28" s="191">
        <v>170</v>
      </c>
      <c r="E28" s="191">
        <v>216</v>
      </c>
      <c r="F28" s="380">
        <f t="shared" si="2"/>
        <v>260</v>
      </c>
      <c r="G28" s="380">
        <f t="shared" si="0"/>
        <v>629</v>
      </c>
      <c r="H28" s="486">
        <v>0</v>
      </c>
      <c r="I28" s="486">
        <v>0</v>
      </c>
      <c r="J28" s="512">
        <f t="shared" si="1"/>
        <v>1157</v>
      </c>
      <c r="K28" s="28">
        <v>0</v>
      </c>
      <c r="L28" s="26">
        <v>0</v>
      </c>
      <c r="M28" s="26">
        <v>0</v>
      </c>
      <c r="N28" s="513"/>
    </row>
    <row r="29" spans="1:14" ht="12.75">
      <c r="A29" s="26">
        <v>630</v>
      </c>
      <c r="B29" s="27" t="s">
        <v>67</v>
      </c>
      <c r="C29" s="26">
        <v>1170</v>
      </c>
      <c r="D29" s="191">
        <v>144</v>
      </c>
      <c r="E29" s="191">
        <v>144</v>
      </c>
      <c r="F29" s="380">
        <f t="shared" si="2"/>
        <v>144</v>
      </c>
      <c r="G29" s="380">
        <f t="shared" si="0"/>
        <v>630</v>
      </c>
      <c r="H29" s="486">
        <v>0</v>
      </c>
      <c r="I29" s="486">
        <v>0</v>
      </c>
      <c r="J29" s="512">
        <f t="shared" si="1"/>
        <v>1314</v>
      </c>
      <c r="K29" s="28">
        <v>0</v>
      </c>
      <c r="L29" s="26">
        <v>0</v>
      </c>
      <c r="M29" s="26">
        <v>0</v>
      </c>
      <c r="N29" s="513"/>
    </row>
    <row r="30" spans="1:14" ht="12.75">
      <c r="A30" s="26">
        <v>631</v>
      </c>
      <c r="B30" s="27" t="s">
        <v>68</v>
      </c>
      <c r="C30" s="26">
        <v>1170</v>
      </c>
      <c r="D30" s="191">
        <v>144</v>
      </c>
      <c r="E30" s="191">
        <v>144</v>
      </c>
      <c r="F30" s="380">
        <f t="shared" si="2"/>
        <v>144</v>
      </c>
      <c r="G30" s="380">
        <f t="shared" si="0"/>
        <v>631</v>
      </c>
      <c r="H30" s="486">
        <v>0</v>
      </c>
      <c r="I30" s="486">
        <v>0</v>
      </c>
      <c r="J30" s="512">
        <f t="shared" si="1"/>
        <v>1314</v>
      </c>
      <c r="K30" s="28">
        <v>0</v>
      </c>
      <c r="L30" s="26">
        <v>0</v>
      </c>
      <c r="M30" s="26">
        <v>0</v>
      </c>
      <c r="N30" s="513"/>
    </row>
    <row r="31" spans="1:14" ht="12.75">
      <c r="A31" s="26">
        <v>632</v>
      </c>
      <c r="B31" s="27" t="s">
        <v>69</v>
      </c>
      <c r="C31" s="26">
        <v>941</v>
      </c>
      <c r="D31" s="191">
        <v>170</v>
      </c>
      <c r="E31" s="191">
        <v>216</v>
      </c>
      <c r="F31" s="380">
        <f t="shared" si="2"/>
        <v>260</v>
      </c>
      <c r="G31" s="380">
        <f t="shared" si="0"/>
        <v>632</v>
      </c>
      <c r="H31" s="486">
        <v>0</v>
      </c>
      <c r="I31" s="486">
        <v>0</v>
      </c>
      <c r="J31" s="512">
        <f t="shared" si="1"/>
        <v>1157</v>
      </c>
      <c r="K31" s="28">
        <v>0</v>
      </c>
      <c r="L31" s="26">
        <v>0</v>
      </c>
      <c r="M31" s="26">
        <v>0</v>
      </c>
      <c r="N31" s="513"/>
    </row>
    <row r="32" spans="1:14" ht="12.75">
      <c r="A32" s="26">
        <v>633</v>
      </c>
      <c r="B32" s="27" t="s">
        <v>70</v>
      </c>
      <c r="C32" s="26">
        <v>941</v>
      </c>
      <c r="D32" s="191">
        <v>170</v>
      </c>
      <c r="E32" s="191">
        <v>216</v>
      </c>
      <c r="F32" s="380">
        <f t="shared" si="2"/>
        <v>260</v>
      </c>
      <c r="G32" s="380">
        <f t="shared" si="0"/>
        <v>633</v>
      </c>
      <c r="H32" s="486">
        <v>0</v>
      </c>
      <c r="I32" s="486">
        <v>0</v>
      </c>
      <c r="J32" s="512">
        <f t="shared" si="1"/>
        <v>1157</v>
      </c>
      <c r="K32" s="28">
        <v>0</v>
      </c>
      <c r="L32" s="26">
        <v>0</v>
      </c>
      <c r="M32" s="26">
        <v>0</v>
      </c>
      <c r="N32" s="513"/>
    </row>
    <row r="33" spans="1:14" ht="12.75">
      <c r="A33" s="26">
        <v>634</v>
      </c>
      <c r="B33" s="27" t="s">
        <v>71</v>
      </c>
      <c r="C33" s="26">
        <v>971</v>
      </c>
      <c r="D33" s="191">
        <v>170</v>
      </c>
      <c r="E33" s="191">
        <v>216</v>
      </c>
      <c r="F33" s="380">
        <f t="shared" si="2"/>
        <v>260</v>
      </c>
      <c r="G33" s="380">
        <f t="shared" si="0"/>
        <v>634</v>
      </c>
      <c r="H33" s="486">
        <v>0</v>
      </c>
      <c r="I33" s="486">
        <v>0</v>
      </c>
      <c r="J33" s="512">
        <f t="shared" si="1"/>
        <v>1187</v>
      </c>
      <c r="K33" s="28">
        <v>0</v>
      </c>
      <c r="L33" s="26">
        <v>0</v>
      </c>
      <c r="M33" s="26">
        <v>0</v>
      </c>
      <c r="N33" s="513"/>
    </row>
    <row r="34" spans="1:14" ht="12.75">
      <c r="A34" s="26">
        <v>635</v>
      </c>
      <c r="B34" s="27" t="s">
        <v>405</v>
      </c>
      <c r="C34" s="26">
        <v>1610</v>
      </c>
      <c r="D34" s="191">
        <v>87</v>
      </c>
      <c r="E34" s="191">
        <v>87</v>
      </c>
      <c r="F34" s="380">
        <f t="shared" si="2"/>
        <v>87</v>
      </c>
      <c r="G34" s="380">
        <f t="shared" si="0"/>
        <v>635</v>
      </c>
      <c r="H34" s="486">
        <v>388.2</v>
      </c>
      <c r="I34" s="486">
        <v>388.2</v>
      </c>
      <c r="J34" s="512">
        <f t="shared" si="1"/>
        <v>1697</v>
      </c>
      <c r="K34" s="28">
        <v>0</v>
      </c>
      <c r="L34" s="26">
        <v>0</v>
      </c>
      <c r="M34" s="26">
        <v>0</v>
      </c>
      <c r="N34" s="513"/>
    </row>
    <row r="35" spans="1:14" ht="12.75">
      <c r="A35" s="26">
        <v>636</v>
      </c>
      <c r="B35" s="27" t="s">
        <v>72</v>
      </c>
      <c r="C35" s="26">
        <v>971</v>
      </c>
      <c r="D35" s="191">
        <v>170</v>
      </c>
      <c r="E35" s="191">
        <v>216</v>
      </c>
      <c r="F35" s="380">
        <f t="shared" si="2"/>
        <v>260</v>
      </c>
      <c r="G35" s="380">
        <f t="shared" si="0"/>
        <v>636</v>
      </c>
      <c r="H35" s="486">
        <v>0</v>
      </c>
      <c r="I35" s="486">
        <v>0</v>
      </c>
      <c r="J35" s="512">
        <f t="shared" si="1"/>
        <v>1187</v>
      </c>
      <c r="K35" s="28">
        <v>0</v>
      </c>
      <c r="L35" s="26">
        <v>0</v>
      </c>
      <c r="M35" s="26">
        <v>0</v>
      </c>
      <c r="N35" s="513"/>
    </row>
    <row r="36" spans="1:14" ht="12.75">
      <c r="A36" s="26">
        <v>637</v>
      </c>
      <c r="B36" s="27" t="s">
        <v>73</v>
      </c>
      <c r="C36" s="26">
        <v>971</v>
      </c>
      <c r="D36" s="191">
        <v>170</v>
      </c>
      <c r="E36" s="191">
        <v>216</v>
      </c>
      <c r="F36" s="380">
        <f t="shared" si="2"/>
        <v>260</v>
      </c>
      <c r="G36" s="380">
        <f t="shared" si="0"/>
        <v>637</v>
      </c>
      <c r="H36" s="486">
        <v>0</v>
      </c>
      <c r="I36" s="486">
        <v>0</v>
      </c>
      <c r="J36" s="512">
        <f t="shared" si="1"/>
        <v>1187</v>
      </c>
      <c r="K36" s="28">
        <v>0</v>
      </c>
      <c r="L36" s="26">
        <v>0</v>
      </c>
      <c r="M36" s="26">
        <v>0</v>
      </c>
      <c r="N36" s="513"/>
    </row>
    <row r="37" spans="1:14" ht="12.75">
      <c r="A37" s="26">
        <v>638</v>
      </c>
      <c r="B37" s="27" t="s">
        <v>74</v>
      </c>
      <c r="C37" s="26">
        <v>906</v>
      </c>
      <c r="D37" s="191">
        <v>170</v>
      </c>
      <c r="E37" s="191">
        <v>216</v>
      </c>
      <c r="F37" s="380">
        <f t="shared" si="2"/>
        <v>260</v>
      </c>
      <c r="G37" s="380">
        <f t="shared" si="0"/>
        <v>638</v>
      </c>
      <c r="H37" s="486">
        <v>0</v>
      </c>
      <c r="I37" s="486">
        <v>0</v>
      </c>
      <c r="J37" s="512">
        <f t="shared" si="1"/>
        <v>1122</v>
      </c>
      <c r="K37" s="28">
        <v>0</v>
      </c>
      <c r="L37" s="26">
        <v>0</v>
      </c>
      <c r="M37" s="26">
        <v>0</v>
      </c>
      <c r="N37" s="513"/>
    </row>
    <row r="38" spans="1:14" ht="12.75">
      <c r="A38" s="26">
        <v>639</v>
      </c>
      <c r="B38" s="27" t="s">
        <v>75</v>
      </c>
      <c r="C38" s="26">
        <v>1300</v>
      </c>
      <c r="D38" s="191">
        <v>127</v>
      </c>
      <c r="E38" s="191">
        <v>127</v>
      </c>
      <c r="F38" s="380">
        <f t="shared" si="2"/>
        <v>127</v>
      </c>
      <c r="G38" s="380">
        <f t="shared" si="0"/>
        <v>639</v>
      </c>
      <c r="H38" s="486">
        <v>0</v>
      </c>
      <c r="I38" s="486">
        <v>0</v>
      </c>
      <c r="J38" s="512">
        <f t="shared" si="1"/>
        <v>1427</v>
      </c>
      <c r="K38" s="28">
        <v>0</v>
      </c>
      <c r="L38" s="26">
        <v>0</v>
      </c>
      <c r="M38" s="26">
        <v>0</v>
      </c>
      <c r="N38" s="513"/>
    </row>
    <row r="39" spans="1:14" ht="12.75">
      <c r="A39" s="26">
        <v>640</v>
      </c>
      <c r="B39" s="27" t="s">
        <v>76</v>
      </c>
      <c r="C39" s="26">
        <v>2830</v>
      </c>
      <c r="D39" s="191">
        <v>0</v>
      </c>
      <c r="E39" s="191">
        <v>0</v>
      </c>
      <c r="F39" s="380">
        <f t="shared" si="2"/>
        <v>0</v>
      </c>
      <c r="G39" s="380">
        <f t="shared" si="0"/>
        <v>640</v>
      </c>
      <c r="H39" s="486">
        <v>0</v>
      </c>
      <c r="I39" s="486">
        <v>0</v>
      </c>
      <c r="J39" s="512">
        <f t="shared" si="1"/>
        <v>2830</v>
      </c>
      <c r="K39" s="28">
        <v>0</v>
      </c>
      <c r="L39" s="26">
        <v>0</v>
      </c>
      <c r="M39" s="26">
        <v>0</v>
      </c>
      <c r="N39" s="513"/>
    </row>
    <row r="40" spans="1:14" ht="12.75">
      <c r="A40" s="26">
        <v>641</v>
      </c>
      <c r="B40" s="27" t="s">
        <v>77</v>
      </c>
      <c r="C40" s="26">
        <v>1550</v>
      </c>
      <c r="D40" s="191">
        <v>94</v>
      </c>
      <c r="E40" s="191">
        <v>94</v>
      </c>
      <c r="F40" s="380">
        <f t="shared" si="2"/>
        <v>94</v>
      </c>
      <c r="G40" s="380">
        <f t="shared" si="0"/>
        <v>641</v>
      </c>
      <c r="H40" s="486">
        <v>0</v>
      </c>
      <c r="I40" s="486">
        <v>0</v>
      </c>
      <c r="J40" s="512">
        <f t="shared" si="1"/>
        <v>1644</v>
      </c>
      <c r="K40" s="28">
        <v>0</v>
      </c>
      <c r="L40" s="26">
        <v>0</v>
      </c>
      <c r="M40" s="26">
        <v>0</v>
      </c>
      <c r="N40" s="513"/>
    </row>
    <row r="41" spans="1:14" ht="12.75">
      <c r="A41" s="26">
        <v>642</v>
      </c>
      <c r="B41" s="27" t="s">
        <v>78</v>
      </c>
      <c r="C41" s="26">
        <v>1170</v>
      </c>
      <c r="D41" s="191">
        <v>144</v>
      </c>
      <c r="E41" s="191">
        <v>144</v>
      </c>
      <c r="F41" s="380">
        <f t="shared" si="2"/>
        <v>144</v>
      </c>
      <c r="G41" s="380">
        <f t="shared" si="0"/>
        <v>642</v>
      </c>
      <c r="H41" s="486">
        <v>0</v>
      </c>
      <c r="I41" s="486">
        <v>0</v>
      </c>
      <c r="J41" s="512">
        <f t="shared" si="1"/>
        <v>1314</v>
      </c>
      <c r="K41" s="28">
        <v>0</v>
      </c>
      <c r="L41" s="26">
        <v>0</v>
      </c>
      <c r="M41" s="26">
        <v>0</v>
      </c>
      <c r="N41" s="513"/>
    </row>
    <row r="42" spans="1:14" ht="12.75">
      <c r="A42" s="26">
        <v>643</v>
      </c>
      <c r="B42" s="27" t="s">
        <v>79</v>
      </c>
      <c r="C42" s="26">
        <v>1500</v>
      </c>
      <c r="D42" s="191">
        <v>101</v>
      </c>
      <c r="E42" s="191">
        <v>101</v>
      </c>
      <c r="F42" s="380">
        <f t="shared" si="2"/>
        <v>101</v>
      </c>
      <c r="G42" s="380">
        <f t="shared" si="0"/>
        <v>643</v>
      </c>
      <c r="H42" s="486">
        <v>388.2</v>
      </c>
      <c r="I42" s="486">
        <v>388.2</v>
      </c>
      <c r="J42" s="512">
        <f t="shared" si="1"/>
        <v>1601</v>
      </c>
      <c r="K42" s="28">
        <v>0</v>
      </c>
      <c r="L42" s="26">
        <v>0</v>
      </c>
      <c r="M42" s="26">
        <v>0</v>
      </c>
      <c r="N42" s="513"/>
    </row>
    <row r="43" spans="1:14" ht="12.75">
      <c r="A43" s="26">
        <v>644</v>
      </c>
      <c r="B43" s="27" t="s">
        <v>80</v>
      </c>
      <c r="C43" s="26">
        <v>2490</v>
      </c>
      <c r="D43" s="191">
        <v>0</v>
      </c>
      <c r="E43" s="191">
        <v>0</v>
      </c>
      <c r="F43" s="380">
        <f t="shared" si="2"/>
        <v>0</v>
      </c>
      <c r="G43" s="380">
        <f t="shared" si="0"/>
        <v>644</v>
      </c>
      <c r="H43" s="486">
        <v>0</v>
      </c>
      <c r="I43" s="486">
        <v>0</v>
      </c>
      <c r="J43" s="512">
        <f t="shared" si="1"/>
        <v>2490</v>
      </c>
      <c r="K43" s="28">
        <v>0</v>
      </c>
      <c r="L43" s="26">
        <v>0</v>
      </c>
      <c r="M43" s="26">
        <v>0</v>
      </c>
      <c r="N43" s="513"/>
    </row>
    <row r="44" spans="1:14" ht="12.75">
      <c r="A44" s="26">
        <v>645</v>
      </c>
      <c r="B44" s="27" t="s">
        <v>81</v>
      </c>
      <c r="C44" s="26">
        <v>2329</v>
      </c>
      <c r="D44" s="191">
        <v>0</v>
      </c>
      <c r="E44" s="191">
        <v>0</v>
      </c>
      <c r="F44" s="380">
        <f t="shared" si="2"/>
        <v>0</v>
      </c>
      <c r="G44" s="380">
        <f t="shared" si="0"/>
        <v>645</v>
      </c>
      <c r="H44" s="486">
        <v>0</v>
      </c>
      <c r="I44" s="486">
        <v>0</v>
      </c>
      <c r="J44" s="512">
        <f t="shared" si="1"/>
        <v>2329</v>
      </c>
      <c r="K44" s="28">
        <v>0</v>
      </c>
      <c r="L44" s="26">
        <v>0</v>
      </c>
      <c r="M44" s="26">
        <v>0</v>
      </c>
      <c r="N44" s="513"/>
    </row>
    <row r="45" spans="1:14" ht="12.75">
      <c r="A45" s="26">
        <v>646</v>
      </c>
      <c r="B45" s="27" t="s">
        <v>82</v>
      </c>
      <c r="C45" s="26">
        <v>906</v>
      </c>
      <c r="D45" s="191">
        <v>170</v>
      </c>
      <c r="E45" s="191">
        <v>216</v>
      </c>
      <c r="F45" s="380">
        <f t="shared" si="2"/>
        <v>260</v>
      </c>
      <c r="G45" s="380">
        <f t="shared" si="0"/>
        <v>646</v>
      </c>
      <c r="H45" s="486">
        <v>0</v>
      </c>
      <c r="I45" s="486">
        <v>0</v>
      </c>
      <c r="J45" s="512">
        <f t="shared" si="1"/>
        <v>1122</v>
      </c>
      <c r="K45" s="28">
        <v>0</v>
      </c>
      <c r="L45" s="26">
        <v>0</v>
      </c>
      <c r="M45" s="26">
        <v>0</v>
      </c>
      <c r="N45" s="513"/>
    </row>
    <row r="46" spans="1:14" ht="12.75">
      <c r="A46" s="26">
        <v>647</v>
      </c>
      <c r="B46" s="27" t="s">
        <v>83</v>
      </c>
      <c r="C46" s="26">
        <v>1830</v>
      </c>
      <c r="D46" s="191">
        <v>58</v>
      </c>
      <c r="E46" s="191">
        <v>58</v>
      </c>
      <c r="F46" s="380">
        <f t="shared" si="2"/>
        <v>58</v>
      </c>
      <c r="G46" s="380">
        <f t="shared" si="0"/>
        <v>647</v>
      </c>
      <c r="H46" s="486">
        <v>0</v>
      </c>
      <c r="I46" s="486">
        <v>0</v>
      </c>
      <c r="J46" s="512">
        <f t="shared" si="1"/>
        <v>1888</v>
      </c>
      <c r="K46" s="28">
        <v>0</v>
      </c>
      <c r="L46" s="26">
        <v>0</v>
      </c>
      <c r="M46" s="26">
        <v>0</v>
      </c>
      <c r="N46" s="513"/>
    </row>
    <row r="47" spans="1:14" ht="12.75">
      <c r="A47" s="26">
        <v>648</v>
      </c>
      <c r="B47" s="27" t="s">
        <v>84</v>
      </c>
      <c r="C47" s="26">
        <v>1740</v>
      </c>
      <c r="D47" s="191">
        <v>70</v>
      </c>
      <c r="E47" s="191">
        <v>70</v>
      </c>
      <c r="F47" s="380">
        <f t="shared" si="2"/>
        <v>70</v>
      </c>
      <c r="G47" s="380">
        <f t="shared" si="0"/>
        <v>648</v>
      </c>
      <c r="H47" s="486">
        <v>517.6</v>
      </c>
      <c r="I47" s="486">
        <v>517.6</v>
      </c>
      <c r="J47" s="512">
        <f t="shared" si="1"/>
        <v>1810</v>
      </c>
      <c r="K47" s="28">
        <v>0</v>
      </c>
      <c r="L47" s="26">
        <v>0</v>
      </c>
      <c r="M47" s="26">
        <v>0</v>
      </c>
      <c r="N47" s="513"/>
    </row>
    <row r="48" spans="1:14" ht="12.75">
      <c r="A48" s="26">
        <v>649</v>
      </c>
      <c r="B48" s="27" t="s">
        <v>85</v>
      </c>
      <c r="C48" s="26">
        <v>971</v>
      </c>
      <c r="D48" s="191">
        <v>170</v>
      </c>
      <c r="E48" s="191">
        <v>216</v>
      </c>
      <c r="F48" s="380">
        <f t="shared" si="2"/>
        <v>260</v>
      </c>
      <c r="G48" s="380">
        <f t="shared" si="0"/>
        <v>649</v>
      </c>
      <c r="H48" s="486">
        <v>0</v>
      </c>
      <c r="I48" s="486">
        <v>0</v>
      </c>
      <c r="J48" s="512">
        <f t="shared" si="1"/>
        <v>1187</v>
      </c>
      <c r="K48" s="28">
        <v>0</v>
      </c>
      <c r="L48" s="26">
        <v>0</v>
      </c>
      <c r="M48" s="26">
        <v>0</v>
      </c>
      <c r="N48" s="513"/>
    </row>
    <row r="49" spans="1:14" ht="12.75">
      <c r="A49" s="26">
        <v>650</v>
      </c>
      <c r="B49" s="27" t="s">
        <v>86</v>
      </c>
      <c r="C49" s="26">
        <v>1740</v>
      </c>
      <c r="D49" s="191">
        <v>70</v>
      </c>
      <c r="E49" s="191">
        <v>70</v>
      </c>
      <c r="F49" s="380">
        <f t="shared" si="2"/>
        <v>70</v>
      </c>
      <c r="G49" s="380">
        <f t="shared" si="0"/>
        <v>650</v>
      </c>
      <c r="H49" s="486">
        <v>0</v>
      </c>
      <c r="I49" s="486">
        <v>0</v>
      </c>
      <c r="J49" s="512">
        <f t="shared" si="1"/>
        <v>1810</v>
      </c>
      <c r="K49" s="28">
        <v>0</v>
      </c>
      <c r="L49" s="26">
        <v>750</v>
      </c>
      <c r="M49" s="26">
        <v>0</v>
      </c>
      <c r="N49" s="513"/>
    </row>
    <row r="50" spans="1:14" ht="12.75">
      <c r="A50" s="26">
        <v>651</v>
      </c>
      <c r="B50" s="27" t="s">
        <v>87</v>
      </c>
      <c r="C50" s="26">
        <v>971</v>
      </c>
      <c r="D50" s="191">
        <v>170</v>
      </c>
      <c r="E50" s="191">
        <v>216</v>
      </c>
      <c r="F50" s="380">
        <f t="shared" si="2"/>
        <v>260</v>
      </c>
      <c r="G50" s="380">
        <f t="shared" si="0"/>
        <v>651</v>
      </c>
      <c r="H50" s="486">
        <v>0</v>
      </c>
      <c r="I50" s="486">
        <v>0</v>
      </c>
      <c r="J50" s="512">
        <f t="shared" si="1"/>
        <v>1187</v>
      </c>
      <c r="K50" s="28">
        <v>0</v>
      </c>
      <c r="L50" s="26">
        <v>0</v>
      </c>
      <c r="M50" s="26">
        <v>0</v>
      </c>
      <c r="N50" s="513"/>
    </row>
    <row r="51" spans="1:14" ht="12.75">
      <c r="A51" s="26">
        <v>652</v>
      </c>
      <c r="B51" s="27" t="s">
        <v>88</v>
      </c>
      <c r="C51" s="26">
        <v>1250</v>
      </c>
      <c r="D51" s="191">
        <v>134</v>
      </c>
      <c r="E51" s="191">
        <v>134</v>
      </c>
      <c r="F51" s="380">
        <f t="shared" si="2"/>
        <v>134</v>
      </c>
      <c r="G51" s="380">
        <f t="shared" si="0"/>
        <v>652</v>
      </c>
      <c r="H51" s="486">
        <v>0</v>
      </c>
      <c r="I51" s="486">
        <v>0</v>
      </c>
      <c r="J51" s="512">
        <f t="shared" si="1"/>
        <v>1384</v>
      </c>
      <c r="K51" s="28">
        <v>0</v>
      </c>
      <c r="L51" s="26">
        <v>0</v>
      </c>
      <c r="M51" s="26">
        <v>0</v>
      </c>
      <c r="N51" s="513"/>
    </row>
    <row r="52" spans="1:14" ht="12.75">
      <c r="A52" s="26">
        <v>653</v>
      </c>
      <c r="B52" s="27" t="s">
        <v>89</v>
      </c>
      <c r="C52" s="26">
        <v>1400</v>
      </c>
      <c r="D52" s="191">
        <v>114</v>
      </c>
      <c r="E52" s="191">
        <v>114</v>
      </c>
      <c r="F52" s="380">
        <f t="shared" si="2"/>
        <v>114</v>
      </c>
      <c r="G52" s="380">
        <f t="shared" si="0"/>
        <v>653</v>
      </c>
      <c r="H52" s="486">
        <v>0</v>
      </c>
      <c r="I52" s="486">
        <v>0</v>
      </c>
      <c r="J52" s="512">
        <f t="shared" si="1"/>
        <v>1514</v>
      </c>
      <c r="K52" s="28">
        <v>0</v>
      </c>
      <c r="L52" s="26">
        <v>100</v>
      </c>
      <c r="M52" s="26">
        <v>0</v>
      </c>
      <c r="N52" s="513"/>
    </row>
    <row r="53" spans="1:14" ht="12.75">
      <c r="A53" s="26">
        <v>654</v>
      </c>
      <c r="B53" s="27" t="s">
        <v>90</v>
      </c>
      <c r="C53" s="26">
        <v>1690</v>
      </c>
      <c r="D53" s="191">
        <v>76</v>
      </c>
      <c r="E53" s="191">
        <v>76</v>
      </c>
      <c r="F53" s="380">
        <f t="shared" si="2"/>
        <v>76</v>
      </c>
      <c r="G53" s="380">
        <f t="shared" si="0"/>
        <v>654</v>
      </c>
      <c r="H53" s="486">
        <v>0</v>
      </c>
      <c r="I53" s="486">
        <v>0</v>
      </c>
      <c r="J53" s="512">
        <f t="shared" si="1"/>
        <v>1766</v>
      </c>
      <c r="K53" s="28">
        <v>0</v>
      </c>
      <c r="L53" s="26">
        <v>300</v>
      </c>
      <c r="M53" s="26">
        <v>0</v>
      </c>
      <c r="N53" s="513"/>
    </row>
    <row r="54" spans="1:14" ht="12.75">
      <c r="A54" s="26">
        <v>655</v>
      </c>
      <c r="B54" s="27" t="s">
        <v>91</v>
      </c>
      <c r="C54" s="26">
        <v>1550</v>
      </c>
      <c r="D54" s="191">
        <v>94</v>
      </c>
      <c r="E54" s="191">
        <v>94</v>
      </c>
      <c r="F54" s="380">
        <f t="shared" si="2"/>
        <v>94</v>
      </c>
      <c r="G54" s="380">
        <f t="shared" si="0"/>
        <v>655</v>
      </c>
      <c r="H54" s="486">
        <v>0</v>
      </c>
      <c r="I54" s="486">
        <v>0</v>
      </c>
      <c r="J54" s="512">
        <f t="shared" si="1"/>
        <v>1644</v>
      </c>
      <c r="K54" s="28">
        <v>0</v>
      </c>
      <c r="L54" s="26">
        <v>200</v>
      </c>
      <c r="M54" s="26">
        <v>0</v>
      </c>
      <c r="N54" s="513"/>
    </row>
    <row r="55" spans="1:14" ht="12.75">
      <c r="A55" s="26">
        <v>657</v>
      </c>
      <c r="B55" s="27" t="s">
        <v>92</v>
      </c>
      <c r="C55" s="26">
        <v>1340</v>
      </c>
      <c r="D55" s="191">
        <v>122</v>
      </c>
      <c r="E55" s="191">
        <v>122</v>
      </c>
      <c r="F55" s="380">
        <f t="shared" si="2"/>
        <v>122</v>
      </c>
      <c r="G55" s="380">
        <f t="shared" si="0"/>
        <v>657</v>
      </c>
      <c r="H55" s="486">
        <v>0</v>
      </c>
      <c r="I55" s="486">
        <v>0</v>
      </c>
      <c r="J55" s="512">
        <f t="shared" si="1"/>
        <v>1462</v>
      </c>
      <c r="K55" s="28">
        <v>0</v>
      </c>
      <c r="L55" s="26">
        <v>0</v>
      </c>
      <c r="M55" s="26">
        <v>0</v>
      </c>
      <c r="N55" s="513"/>
    </row>
    <row r="56" spans="1:14" ht="12.75">
      <c r="A56" s="26">
        <v>658</v>
      </c>
      <c r="B56" s="27" t="s">
        <v>93</v>
      </c>
      <c r="C56" s="26">
        <v>1300</v>
      </c>
      <c r="D56" s="191">
        <v>127</v>
      </c>
      <c r="E56" s="191">
        <v>127</v>
      </c>
      <c r="F56" s="380">
        <f t="shared" si="2"/>
        <v>127</v>
      </c>
      <c r="G56" s="380">
        <f t="shared" si="0"/>
        <v>658</v>
      </c>
      <c r="H56" s="486">
        <v>0</v>
      </c>
      <c r="I56" s="486">
        <v>0</v>
      </c>
      <c r="J56" s="512">
        <f t="shared" si="1"/>
        <v>1427</v>
      </c>
      <c r="K56" s="28">
        <v>0</v>
      </c>
      <c r="L56" s="26">
        <v>0</v>
      </c>
      <c r="M56" s="26">
        <v>0</v>
      </c>
      <c r="N56" s="513"/>
    </row>
    <row r="57" spans="1:14" ht="12.75">
      <c r="A57" s="26">
        <v>659</v>
      </c>
      <c r="B57" s="27" t="s">
        <v>94</v>
      </c>
      <c r="C57" s="26">
        <v>1340</v>
      </c>
      <c r="D57" s="191">
        <v>122</v>
      </c>
      <c r="E57" s="191">
        <v>122</v>
      </c>
      <c r="F57" s="380">
        <f t="shared" si="2"/>
        <v>122</v>
      </c>
      <c r="G57" s="380">
        <f t="shared" si="0"/>
        <v>659</v>
      </c>
      <c r="H57" s="486">
        <v>0</v>
      </c>
      <c r="I57" s="486">
        <v>0</v>
      </c>
      <c r="J57" s="512">
        <f t="shared" si="1"/>
        <v>1462</v>
      </c>
      <c r="K57" s="28">
        <v>0</v>
      </c>
      <c r="L57" s="26">
        <v>0</v>
      </c>
      <c r="M57" s="26">
        <v>0</v>
      </c>
      <c r="N57" s="513"/>
    </row>
    <row r="58" spans="1:14" ht="12.75">
      <c r="A58" s="26">
        <v>660</v>
      </c>
      <c r="B58" s="27" t="s">
        <v>95</v>
      </c>
      <c r="C58" s="26">
        <v>1300</v>
      </c>
      <c r="D58" s="191">
        <v>127</v>
      </c>
      <c r="E58" s="191">
        <v>127</v>
      </c>
      <c r="F58" s="380">
        <f t="shared" si="2"/>
        <v>127</v>
      </c>
      <c r="G58" s="380">
        <f t="shared" si="0"/>
        <v>660</v>
      </c>
      <c r="H58" s="486">
        <v>0</v>
      </c>
      <c r="I58" s="486">
        <v>0</v>
      </c>
      <c r="J58" s="512">
        <f t="shared" si="1"/>
        <v>1427</v>
      </c>
      <c r="K58" s="28">
        <v>0</v>
      </c>
      <c r="L58" s="26">
        <v>0</v>
      </c>
      <c r="M58" s="26">
        <v>0</v>
      </c>
      <c r="N58" s="513"/>
    </row>
    <row r="59" spans="1:14" ht="12.75">
      <c r="A59" s="26">
        <v>661</v>
      </c>
      <c r="B59" s="27" t="s">
        <v>96</v>
      </c>
      <c r="C59" s="26">
        <v>1300</v>
      </c>
      <c r="D59" s="191">
        <v>127</v>
      </c>
      <c r="E59" s="191">
        <v>127</v>
      </c>
      <c r="F59" s="380">
        <f t="shared" si="2"/>
        <v>127</v>
      </c>
      <c r="G59" s="380">
        <f t="shared" si="0"/>
        <v>661</v>
      </c>
      <c r="H59" s="486">
        <v>0</v>
      </c>
      <c r="I59" s="486">
        <v>0</v>
      </c>
      <c r="J59" s="512">
        <f t="shared" si="1"/>
        <v>1427</v>
      </c>
      <c r="K59" s="28">
        <v>0</v>
      </c>
      <c r="L59" s="26">
        <v>0</v>
      </c>
      <c r="M59" s="26">
        <v>0</v>
      </c>
      <c r="N59" s="513"/>
    </row>
    <row r="60" spans="1:14" ht="12.75">
      <c r="A60" s="26">
        <v>662</v>
      </c>
      <c r="B60" s="27" t="s">
        <v>97</v>
      </c>
      <c r="C60" s="26">
        <v>1690</v>
      </c>
      <c r="D60" s="191">
        <v>76</v>
      </c>
      <c r="E60" s="191">
        <v>76</v>
      </c>
      <c r="F60" s="380">
        <f t="shared" si="2"/>
        <v>76</v>
      </c>
      <c r="G60" s="380">
        <f t="shared" si="0"/>
        <v>662</v>
      </c>
      <c r="H60" s="486">
        <v>0</v>
      </c>
      <c r="I60" s="486">
        <v>0</v>
      </c>
      <c r="J60" s="512">
        <f t="shared" si="1"/>
        <v>1766</v>
      </c>
      <c r="K60" s="28">
        <v>0</v>
      </c>
      <c r="L60" s="26">
        <v>708</v>
      </c>
      <c r="M60" s="26">
        <v>0</v>
      </c>
      <c r="N60" s="513"/>
    </row>
    <row r="61" spans="1:14" ht="12.75">
      <c r="A61" s="26">
        <v>663</v>
      </c>
      <c r="B61" s="27" t="s">
        <v>98</v>
      </c>
      <c r="C61" s="26">
        <v>1500</v>
      </c>
      <c r="D61" s="191">
        <v>101</v>
      </c>
      <c r="E61" s="191">
        <v>101</v>
      </c>
      <c r="F61" s="380">
        <f t="shared" si="2"/>
        <v>101</v>
      </c>
      <c r="G61" s="380">
        <f t="shared" si="0"/>
        <v>663</v>
      </c>
      <c r="H61" s="486">
        <v>0</v>
      </c>
      <c r="I61" s="486">
        <v>0</v>
      </c>
      <c r="J61" s="512">
        <f t="shared" si="1"/>
        <v>1601</v>
      </c>
      <c r="K61" s="28">
        <v>0</v>
      </c>
      <c r="L61" s="26">
        <v>0</v>
      </c>
      <c r="M61" s="26">
        <v>0</v>
      </c>
      <c r="N61" s="513"/>
    </row>
    <row r="62" spans="1:14" ht="12.75">
      <c r="A62" s="26">
        <v>664</v>
      </c>
      <c r="B62" s="27" t="s">
        <v>99</v>
      </c>
      <c r="C62" s="26">
        <v>971</v>
      </c>
      <c r="D62" s="191">
        <v>170</v>
      </c>
      <c r="E62" s="191">
        <v>216</v>
      </c>
      <c r="F62" s="380">
        <f t="shared" si="2"/>
        <v>260</v>
      </c>
      <c r="G62" s="380">
        <f t="shared" si="0"/>
        <v>664</v>
      </c>
      <c r="H62" s="486">
        <v>0</v>
      </c>
      <c r="I62" s="486">
        <v>0</v>
      </c>
      <c r="J62" s="512">
        <f t="shared" si="1"/>
        <v>1187</v>
      </c>
      <c r="K62" s="28">
        <v>0</v>
      </c>
      <c r="L62" s="26">
        <v>620</v>
      </c>
      <c r="M62" s="26">
        <v>0</v>
      </c>
      <c r="N62" s="513"/>
    </row>
    <row r="63" spans="1:14" ht="12.75">
      <c r="A63" s="26">
        <v>667</v>
      </c>
      <c r="B63" s="27" t="s">
        <v>100</v>
      </c>
      <c r="C63" s="26">
        <v>2000</v>
      </c>
      <c r="D63" s="191">
        <v>36</v>
      </c>
      <c r="E63" s="191">
        <v>36</v>
      </c>
      <c r="F63" s="380">
        <f t="shared" si="2"/>
        <v>36</v>
      </c>
      <c r="G63" s="380">
        <f t="shared" si="0"/>
        <v>667</v>
      </c>
      <c r="H63" s="486">
        <v>647</v>
      </c>
      <c r="I63" s="486">
        <v>647</v>
      </c>
      <c r="J63" s="512">
        <f t="shared" si="1"/>
        <v>2036</v>
      </c>
      <c r="K63" s="28">
        <v>0</v>
      </c>
      <c r="L63" s="26">
        <v>830</v>
      </c>
      <c r="M63" s="26">
        <v>0</v>
      </c>
      <c r="N63" s="513"/>
    </row>
    <row r="64" spans="1:14" ht="12.75">
      <c r="A64" s="26">
        <v>668</v>
      </c>
      <c r="B64" s="27" t="s">
        <v>101</v>
      </c>
      <c r="C64" s="26">
        <v>1840</v>
      </c>
      <c r="D64" s="191">
        <v>57</v>
      </c>
      <c r="E64" s="191">
        <v>57</v>
      </c>
      <c r="F64" s="380">
        <f t="shared" si="2"/>
        <v>57</v>
      </c>
      <c r="G64" s="380">
        <f t="shared" si="0"/>
        <v>668</v>
      </c>
      <c r="H64" s="486">
        <v>582.3</v>
      </c>
      <c r="I64" s="486">
        <v>582.3</v>
      </c>
      <c r="J64" s="512">
        <f t="shared" si="1"/>
        <v>1897</v>
      </c>
      <c r="K64" s="28">
        <v>0</v>
      </c>
      <c r="L64" s="26">
        <v>830</v>
      </c>
      <c r="M64" s="26">
        <v>0</v>
      </c>
      <c r="N64" s="513"/>
    </row>
    <row r="65" spans="1:14" ht="12.75">
      <c r="A65" s="26">
        <v>669</v>
      </c>
      <c r="B65" s="27" t="s">
        <v>102</v>
      </c>
      <c r="C65" s="26">
        <v>1680</v>
      </c>
      <c r="D65" s="191">
        <v>77</v>
      </c>
      <c r="E65" s="191">
        <v>77</v>
      </c>
      <c r="F65" s="380">
        <f t="shared" si="2"/>
        <v>77</v>
      </c>
      <c r="G65" s="380">
        <f t="shared" si="0"/>
        <v>669</v>
      </c>
      <c r="H65" s="486">
        <v>452.9</v>
      </c>
      <c r="I65" s="486">
        <v>452.9</v>
      </c>
      <c r="J65" s="512">
        <f t="shared" si="1"/>
        <v>1757</v>
      </c>
      <c r="K65" s="28">
        <v>0</v>
      </c>
      <c r="L65" s="26">
        <v>830</v>
      </c>
      <c r="M65" s="26">
        <v>0</v>
      </c>
      <c r="N65" s="513"/>
    </row>
    <row r="66" spans="1:14" ht="12.75">
      <c r="A66" s="26">
        <v>670</v>
      </c>
      <c r="B66" s="27" t="s">
        <v>103</v>
      </c>
      <c r="C66" s="26">
        <v>1740</v>
      </c>
      <c r="D66" s="191">
        <v>70</v>
      </c>
      <c r="E66" s="191">
        <v>70</v>
      </c>
      <c r="F66" s="380">
        <f t="shared" si="2"/>
        <v>70</v>
      </c>
      <c r="G66" s="380">
        <f t="shared" si="0"/>
        <v>670</v>
      </c>
      <c r="H66" s="486">
        <v>517.6</v>
      </c>
      <c r="I66" s="486">
        <v>517.6</v>
      </c>
      <c r="J66" s="512">
        <f t="shared" si="1"/>
        <v>1810</v>
      </c>
      <c r="K66" s="28">
        <v>0</v>
      </c>
      <c r="L66" s="26">
        <v>750</v>
      </c>
      <c r="M66" s="26">
        <v>0</v>
      </c>
      <c r="N66" s="513"/>
    </row>
    <row r="67" spans="1:14" ht="12.75">
      <c r="A67" s="26">
        <v>671</v>
      </c>
      <c r="B67" s="27" t="s">
        <v>104</v>
      </c>
      <c r="C67" s="26">
        <v>1610</v>
      </c>
      <c r="D67" s="191">
        <v>87</v>
      </c>
      <c r="E67" s="191">
        <v>87</v>
      </c>
      <c r="F67" s="380">
        <f t="shared" si="2"/>
        <v>87</v>
      </c>
      <c r="G67" s="380">
        <f aca="true" t="shared" si="3" ref="G67:G130">A67</f>
        <v>671</v>
      </c>
      <c r="H67" s="486">
        <v>0</v>
      </c>
      <c r="I67" s="486">
        <v>0</v>
      </c>
      <c r="J67" s="512">
        <f aca="true" t="shared" si="4" ref="J67:J130">C67+E67</f>
        <v>1697</v>
      </c>
      <c r="K67" s="28">
        <v>0</v>
      </c>
      <c r="L67" s="26">
        <v>750</v>
      </c>
      <c r="M67" s="26">
        <v>0</v>
      </c>
      <c r="N67" s="513"/>
    </row>
    <row r="68" spans="1:14" ht="12.75">
      <c r="A68" s="26">
        <v>672</v>
      </c>
      <c r="B68" s="27" t="s">
        <v>105</v>
      </c>
      <c r="C68" s="26">
        <v>2000</v>
      </c>
      <c r="D68" s="191">
        <v>36</v>
      </c>
      <c r="E68" s="191">
        <v>36</v>
      </c>
      <c r="F68" s="380">
        <f aca="true" t="shared" si="5" ref="F68:F131">IF(C68&lt;972,E68+44,E68)</f>
        <v>36</v>
      </c>
      <c r="G68" s="380">
        <f t="shared" si="3"/>
        <v>672</v>
      </c>
      <c r="H68" s="486">
        <v>647</v>
      </c>
      <c r="I68" s="486">
        <v>647</v>
      </c>
      <c r="J68" s="512">
        <f t="shared" si="4"/>
        <v>2036</v>
      </c>
      <c r="K68" s="28">
        <v>0</v>
      </c>
      <c r="L68" s="26">
        <v>300</v>
      </c>
      <c r="M68" s="26">
        <v>0</v>
      </c>
      <c r="N68" s="513"/>
    </row>
    <row r="69" spans="1:14" ht="12.75">
      <c r="A69" s="26">
        <v>673</v>
      </c>
      <c r="B69" s="27" t="s">
        <v>106</v>
      </c>
      <c r="C69" s="26">
        <v>1840</v>
      </c>
      <c r="D69" s="191">
        <v>57</v>
      </c>
      <c r="E69" s="191">
        <v>57</v>
      </c>
      <c r="F69" s="380">
        <f t="shared" si="5"/>
        <v>57</v>
      </c>
      <c r="G69" s="380">
        <f t="shared" si="3"/>
        <v>673</v>
      </c>
      <c r="H69" s="486">
        <v>582.3</v>
      </c>
      <c r="I69" s="486">
        <v>582.3</v>
      </c>
      <c r="J69" s="512">
        <f t="shared" si="4"/>
        <v>1897</v>
      </c>
      <c r="K69" s="28">
        <v>0</v>
      </c>
      <c r="L69" s="26">
        <v>300</v>
      </c>
      <c r="M69" s="26">
        <v>0</v>
      </c>
      <c r="N69" s="513"/>
    </row>
    <row r="70" spans="1:14" ht="12.75">
      <c r="A70" s="26">
        <v>674</v>
      </c>
      <c r="B70" s="27" t="s">
        <v>107</v>
      </c>
      <c r="C70" s="26">
        <v>1680</v>
      </c>
      <c r="D70" s="191">
        <v>77</v>
      </c>
      <c r="E70" s="191">
        <v>77</v>
      </c>
      <c r="F70" s="380">
        <f t="shared" si="5"/>
        <v>77</v>
      </c>
      <c r="G70" s="380">
        <f t="shared" si="3"/>
        <v>674</v>
      </c>
      <c r="H70" s="486">
        <v>452.9</v>
      </c>
      <c r="I70" s="486">
        <v>452.9</v>
      </c>
      <c r="J70" s="512">
        <f t="shared" si="4"/>
        <v>1757</v>
      </c>
      <c r="K70" s="28">
        <v>0</v>
      </c>
      <c r="L70" s="26">
        <v>300</v>
      </c>
      <c r="M70" s="26">
        <v>0</v>
      </c>
      <c r="N70" s="513"/>
    </row>
    <row r="71" spans="1:14" ht="12.75">
      <c r="A71" s="26">
        <v>675</v>
      </c>
      <c r="B71" s="27" t="s">
        <v>108</v>
      </c>
      <c r="C71" s="26">
        <v>1740</v>
      </c>
      <c r="D71" s="191">
        <v>70</v>
      </c>
      <c r="E71" s="191">
        <v>70</v>
      </c>
      <c r="F71" s="380">
        <f t="shared" si="5"/>
        <v>70</v>
      </c>
      <c r="G71" s="380">
        <f t="shared" si="3"/>
        <v>675</v>
      </c>
      <c r="H71" s="486">
        <v>0</v>
      </c>
      <c r="I71" s="486">
        <v>0</v>
      </c>
      <c r="J71" s="512">
        <f t="shared" si="4"/>
        <v>1810</v>
      </c>
      <c r="K71" s="28">
        <v>0</v>
      </c>
      <c r="L71" s="26">
        <v>725</v>
      </c>
      <c r="M71" s="26">
        <v>0</v>
      </c>
      <c r="N71" s="513"/>
    </row>
    <row r="72" spans="1:14" ht="12.75">
      <c r="A72" s="26">
        <v>676</v>
      </c>
      <c r="B72" s="27" t="s">
        <v>109</v>
      </c>
      <c r="C72" s="26">
        <v>1610</v>
      </c>
      <c r="D72" s="191">
        <v>87</v>
      </c>
      <c r="E72" s="191">
        <v>87</v>
      </c>
      <c r="F72" s="380">
        <f t="shared" si="5"/>
        <v>87</v>
      </c>
      <c r="G72" s="380">
        <f t="shared" si="3"/>
        <v>676</v>
      </c>
      <c r="H72" s="486">
        <v>0</v>
      </c>
      <c r="I72" s="486">
        <v>0</v>
      </c>
      <c r="J72" s="512">
        <f t="shared" si="4"/>
        <v>1697</v>
      </c>
      <c r="K72" s="28">
        <v>0</v>
      </c>
      <c r="L72" s="26">
        <v>725</v>
      </c>
      <c r="M72" s="26">
        <v>0</v>
      </c>
      <c r="N72" s="513"/>
    </row>
    <row r="73" spans="1:14" ht="12.75">
      <c r="A73" s="26">
        <v>677</v>
      </c>
      <c r="B73" s="27" t="s">
        <v>110</v>
      </c>
      <c r="C73" s="26">
        <v>1500</v>
      </c>
      <c r="D73" s="191">
        <v>101</v>
      </c>
      <c r="E73" s="191">
        <v>101</v>
      </c>
      <c r="F73" s="380">
        <f t="shared" si="5"/>
        <v>101</v>
      </c>
      <c r="G73" s="380">
        <f t="shared" si="3"/>
        <v>677</v>
      </c>
      <c r="H73" s="486">
        <v>0</v>
      </c>
      <c r="I73" s="486">
        <v>0</v>
      </c>
      <c r="J73" s="512">
        <f t="shared" si="4"/>
        <v>1601</v>
      </c>
      <c r="K73" s="28">
        <v>0</v>
      </c>
      <c r="L73" s="26">
        <v>725</v>
      </c>
      <c r="M73" s="26">
        <v>0</v>
      </c>
      <c r="N73" s="513"/>
    </row>
    <row r="74" spans="1:14" ht="12.75">
      <c r="A74" s="26">
        <v>678</v>
      </c>
      <c r="B74" s="27" t="s">
        <v>111</v>
      </c>
      <c r="C74" s="26">
        <v>1320</v>
      </c>
      <c r="D74" s="191">
        <v>124</v>
      </c>
      <c r="E74" s="191">
        <v>124</v>
      </c>
      <c r="F74" s="380">
        <f t="shared" si="5"/>
        <v>124</v>
      </c>
      <c r="G74" s="380">
        <f t="shared" si="3"/>
        <v>678</v>
      </c>
      <c r="H74" s="486">
        <v>0</v>
      </c>
      <c r="I74" s="486">
        <v>0</v>
      </c>
      <c r="J74" s="512">
        <f t="shared" si="4"/>
        <v>1444</v>
      </c>
      <c r="K74" s="28">
        <v>0</v>
      </c>
      <c r="L74" s="26">
        <v>590</v>
      </c>
      <c r="M74" s="26">
        <v>0</v>
      </c>
      <c r="N74" s="513"/>
    </row>
    <row r="75" spans="1:14" ht="12.75">
      <c r="A75" s="26">
        <v>679</v>
      </c>
      <c r="B75" s="27" t="s">
        <v>112</v>
      </c>
      <c r="C75" s="26">
        <v>1690</v>
      </c>
      <c r="D75" s="191">
        <v>76</v>
      </c>
      <c r="E75" s="191">
        <v>76</v>
      </c>
      <c r="F75" s="380">
        <f t="shared" si="5"/>
        <v>76</v>
      </c>
      <c r="G75" s="380">
        <f t="shared" si="3"/>
        <v>679</v>
      </c>
      <c r="H75" s="486">
        <v>0</v>
      </c>
      <c r="I75" s="486">
        <v>0</v>
      </c>
      <c r="J75" s="512">
        <f t="shared" si="4"/>
        <v>1766</v>
      </c>
      <c r="K75" s="28">
        <v>0</v>
      </c>
      <c r="L75" s="26">
        <v>708</v>
      </c>
      <c r="M75" s="26">
        <v>0</v>
      </c>
      <c r="N75" s="513"/>
    </row>
    <row r="76" spans="1:14" ht="12.75">
      <c r="A76" s="26">
        <v>680</v>
      </c>
      <c r="B76" s="27" t="s">
        <v>113</v>
      </c>
      <c r="C76" s="26">
        <v>1550</v>
      </c>
      <c r="D76" s="191">
        <v>94</v>
      </c>
      <c r="E76" s="191">
        <v>94</v>
      </c>
      <c r="F76" s="380">
        <f t="shared" si="5"/>
        <v>94</v>
      </c>
      <c r="G76" s="380">
        <f t="shared" si="3"/>
        <v>680</v>
      </c>
      <c r="H76" s="486">
        <v>0</v>
      </c>
      <c r="I76" s="486">
        <v>0</v>
      </c>
      <c r="J76" s="512">
        <f t="shared" si="4"/>
        <v>1644</v>
      </c>
      <c r="K76" s="28">
        <v>0</v>
      </c>
      <c r="L76" s="26">
        <v>708</v>
      </c>
      <c r="M76" s="26">
        <v>0</v>
      </c>
      <c r="N76" s="513"/>
    </row>
    <row r="77" spans="1:14" ht="12.75">
      <c r="A77" s="26">
        <v>681</v>
      </c>
      <c r="B77" s="27" t="s">
        <v>114</v>
      </c>
      <c r="C77" s="26">
        <v>1400</v>
      </c>
      <c r="D77" s="191">
        <v>114</v>
      </c>
      <c r="E77" s="191">
        <v>114</v>
      </c>
      <c r="F77" s="380">
        <f t="shared" si="5"/>
        <v>114</v>
      </c>
      <c r="G77" s="380">
        <f t="shared" si="3"/>
        <v>681</v>
      </c>
      <c r="H77" s="486">
        <v>0</v>
      </c>
      <c r="I77" s="486">
        <v>0</v>
      </c>
      <c r="J77" s="512">
        <f t="shared" si="4"/>
        <v>1514</v>
      </c>
      <c r="K77" s="28">
        <v>0</v>
      </c>
      <c r="L77" s="26">
        <v>708</v>
      </c>
      <c r="M77" s="26">
        <v>0</v>
      </c>
      <c r="N77" s="513"/>
    </row>
    <row r="78" spans="1:14" ht="12.75">
      <c r="A78" s="26">
        <v>682</v>
      </c>
      <c r="B78" s="29" t="s">
        <v>115</v>
      </c>
      <c r="C78" s="26">
        <v>1170</v>
      </c>
      <c r="D78" s="191">
        <v>144</v>
      </c>
      <c r="E78" s="191">
        <v>144</v>
      </c>
      <c r="F78" s="380">
        <f t="shared" si="5"/>
        <v>144</v>
      </c>
      <c r="G78" s="380">
        <f t="shared" si="3"/>
        <v>682</v>
      </c>
      <c r="H78" s="486">
        <v>0</v>
      </c>
      <c r="I78" s="486">
        <v>0</v>
      </c>
      <c r="J78" s="512">
        <f t="shared" si="4"/>
        <v>1314</v>
      </c>
      <c r="K78" s="28">
        <v>0</v>
      </c>
      <c r="L78" s="26">
        <v>580</v>
      </c>
      <c r="M78" s="26">
        <v>0</v>
      </c>
      <c r="N78" s="513"/>
    </row>
    <row r="79" spans="1:14" ht="12.75">
      <c r="A79" s="26">
        <v>683</v>
      </c>
      <c r="B79" s="29" t="s">
        <v>116</v>
      </c>
      <c r="C79" s="26">
        <v>1170</v>
      </c>
      <c r="D79" s="191">
        <v>144</v>
      </c>
      <c r="E79" s="191">
        <v>144</v>
      </c>
      <c r="F79" s="380">
        <f t="shared" si="5"/>
        <v>144</v>
      </c>
      <c r="G79" s="380">
        <f t="shared" si="3"/>
        <v>683</v>
      </c>
      <c r="H79" s="486">
        <v>0</v>
      </c>
      <c r="I79" s="486">
        <v>0</v>
      </c>
      <c r="J79" s="512">
        <f t="shared" si="4"/>
        <v>1314</v>
      </c>
      <c r="K79" s="28">
        <v>0</v>
      </c>
      <c r="L79" s="26">
        <v>580</v>
      </c>
      <c r="M79" s="26">
        <v>0</v>
      </c>
      <c r="N79" s="513"/>
    </row>
    <row r="80" spans="1:14" ht="12.75">
      <c r="A80" s="26">
        <v>684</v>
      </c>
      <c r="B80" s="27" t="s">
        <v>117</v>
      </c>
      <c r="C80" s="26">
        <v>1170</v>
      </c>
      <c r="D80" s="191">
        <v>144</v>
      </c>
      <c r="E80" s="191">
        <v>144</v>
      </c>
      <c r="F80" s="380">
        <f t="shared" si="5"/>
        <v>144</v>
      </c>
      <c r="G80" s="380">
        <f t="shared" si="3"/>
        <v>684</v>
      </c>
      <c r="H80" s="486">
        <v>0</v>
      </c>
      <c r="I80" s="486">
        <v>0</v>
      </c>
      <c r="J80" s="512">
        <f t="shared" si="4"/>
        <v>1314</v>
      </c>
      <c r="K80" s="28">
        <v>0</v>
      </c>
      <c r="L80" s="26">
        <v>580</v>
      </c>
      <c r="M80" s="26">
        <v>0</v>
      </c>
      <c r="N80" s="513"/>
    </row>
    <row r="81" spans="1:14" ht="12.75">
      <c r="A81" s="26">
        <v>685</v>
      </c>
      <c r="B81" s="27" t="s">
        <v>118</v>
      </c>
      <c r="C81" s="26">
        <v>1500</v>
      </c>
      <c r="D81" s="191">
        <v>101</v>
      </c>
      <c r="E81" s="191">
        <v>101</v>
      </c>
      <c r="F81" s="380">
        <f t="shared" si="5"/>
        <v>101</v>
      </c>
      <c r="G81" s="380">
        <f t="shared" si="3"/>
        <v>685</v>
      </c>
      <c r="H81" s="486">
        <v>388.2</v>
      </c>
      <c r="I81" s="486">
        <v>388.2</v>
      </c>
      <c r="J81" s="512">
        <f t="shared" si="4"/>
        <v>1601</v>
      </c>
      <c r="K81" s="28">
        <v>0</v>
      </c>
      <c r="L81" s="26">
        <v>750</v>
      </c>
      <c r="M81" s="26">
        <v>0</v>
      </c>
      <c r="N81" s="513"/>
    </row>
    <row r="82" spans="1:14" ht="12.75">
      <c r="A82" s="26">
        <v>686</v>
      </c>
      <c r="B82" s="27" t="s">
        <v>119</v>
      </c>
      <c r="C82" s="26">
        <v>2000</v>
      </c>
      <c r="D82" s="191">
        <v>36</v>
      </c>
      <c r="E82" s="191">
        <v>36</v>
      </c>
      <c r="F82" s="380">
        <f t="shared" si="5"/>
        <v>36</v>
      </c>
      <c r="G82" s="380">
        <f t="shared" si="3"/>
        <v>686</v>
      </c>
      <c r="H82" s="486">
        <v>647</v>
      </c>
      <c r="I82" s="486">
        <v>647</v>
      </c>
      <c r="J82" s="512">
        <f t="shared" si="4"/>
        <v>2036</v>
      </c>
      <c r="K82" s="28">
        <v>0</v>
      </c>
      <c r="L82" s="26">
        <v>600</v>
      </c>
      <c r="M82" s="26">
        <v>0</v>
      </c>
      <c r="N82" s="513"/>
    </row>
    <row r="83" spans="1:14" ht="12.75">
      <c r="A83" s="26">
        <v>687</v>
      </c>
      <c r="B83" s="27" t="s">
        <v>120</v>
      </c>
      <c r="C83" s="26">
        <v>1840</v>
      </c>
      <c r="D83" s="191">
        <v>57</v>
      </c>
      <c r="E83" s="191">
        <v>57</v>
      </c>
      <c r="F83" s="380">
        <f t="shared" si="5"/>
        <v>57</v>
      </c>
      <c r="G83" s="380">
        <f t="shared" si="3"/>
        <v>687</v>
      </c>
      <c r="H83" s="486">
        <v>582.3</v>
      </c>
      <c r="I83" s="486">
        <v>582.3</v>
      </c>
      <c r="J83" s="512">
        <f t="shared" si="4"/>
        <v>1897</v>
      </c>
      <c r="K83" s="28">
        <v>0</v>
      </c>
      <c r="L83" s="26">
        <v>600</v>
      </c>
      <c r="M83" s="26">
        <v>0</v>
      </c>
      <c r="N83" s="513"/>
    </row>
    <row r="84" spans="1:14" ht="12.75">
      <c r="A84" s="26">
        <v>688</v>
      </c>
      <c r="B84" s="27" t="s">
        <v>121</v>
      </c>
      <c r="C84" s="26">
        <v>1680</v>
      </c>
      <c r="D84" s="191">
        <v>77</v>
      </c>
      <c r="E84" s="191">
        <v>77</v>
      </c>
      <c r="F84" s="380">
        <f t="shared" si="5"/>
        <v>77</v>
      </c>
      <c r="G84" s="380">
        <f t="shared" si="3"/>
        <v>688</v>
      </c>
      <c r="H84" s="486">
        <v>0</v>
      </c>
      <c r="I84" s="486">
        <v>0</v>
      </c>
      <c r="J84" s="512">
        <f t="shared" si="4"/>
        <v>1757</v>
      </c>
      <c r="K84" s="28">
        <v>0</v>
      </c>
      <c r="L84" s="26">
        <v>600</v>
      </c>
      <c r="M84" s="26">
        <v>0</v>
      </c>
      <c r="N84" s="513"/>
    </row>
    <row r="85" spans="1:14" ht="12.75">
      <c r="A85" s="26">
        <v>689</v>
      </c>
      <c r="B85" s="29" t="s">
        <v>122</v>
      </c>
      <c r="C85" s="26">
        <v>1170</v>
      </c>
      <c r="D85" s="191">
        <v>144</v>
      </c>
      <c r="E85" s="191">
        <v>144</v>
      </c>
      <c r="F85" s="380">
        <f t="shared" si="5"/>
        <v>144</v>
      </c>
      <c r="G85" s="380">
        <f t="shared" si="3"/>
        <v>689</v>
      </c>
      <c r="H85" s="486">
        <v>0</v>
      </c>
      <c r="I85" s="486">
        <v>0</v>
      </c>
      <c r="J85" s="512">
        <f t="shared" si="4"/>
        <v>1314</v>
      </c>
      <c r="K85" s="28">
        <v>0</v>
      </c>
      <c r="L85" s="26">
        <v>580</v>
      </c>
      <c r="M85" s="26">
        <v>0</v>
      </c>
      <c r="N85" s="513"/>
    </row>
    <row r="86" spans="1:14" ht="12.75">
      <c r="A86" s="26">
        <v>691</v>
      </c>
      <c r="B86" s="27" t="s">
        <v>123</v>
      </c>
      <c r="C86" s="26">
        <v>1500</v>
      </c>
      <c r="D86" s="191">
        <v>101</v>
      </c>
      <c r="E86" s="191">
        <v>101</v>
      </c>
      <c r="F86" s="380">
        <f t="shared" si="5"/>
        <v>101</v>
      </c>
      <c r="G86" s="380">
        <f t="shared" si="3"/>
        <v>691</v>
      </c>
      <c r="H86" s="486">
        <v>0</v>
      </c>
      <c r="I86" s="486">
        <v>0</v>
      </c>
      <c r="J86" s="512">
        <f t="shared" si="4"/>
        <v>1601</v>
      </c>
      <c r="K86" s="28">
        <v>0</v>
      </c>
      <c r="L86" s="26">
        <v>750</v>
      </c>
      <c r="M86" s="26">
        <v>0</v>
      </c>
      <c r="N86" s="513"/>
    </row>
    <row r="87" spans="1:14" ht="12.75">
      <c r="A87" s="26">
        <v>692</v>
      </c>
      <c r="B87" s="27" t="s">
        <v>124</v>
      </c>
      <c r="C87" s="26">
        <v>1690</v>
      </c>
      <c r="D87" s="191">
        <v>76</v>
      </c>
      <c r="E87" s="191">
        <v>76</v>
      </c>
      <c r="F87" s="380">
        <f t="shared" si="5"/>
        <v>76</v>
      </c>
      <c r="G87" s="380">
        <f t="shared" si="3"/>
        <v>692</v>
      </c>
      <c r="H87" s="486">
        <v>0</v>
      </c>
      <c r="I87" s="486">
        <v>0</v>
      </c>
      <c r="J87" s="512">
        <f t="shared" si="4"/>
        <v>1766</v>
      </c>
      <c r="K87" s="28">
        <v>0</v>
      </c>
      <c r="L87" s="26">
        <v>620</v>
      </c>
      <c r="M87" s="26">
        <v>0</v>
      </c>
      <c r="N87" s="513"/>
    </row>
    <row r="88" spans="1:14" ht="12.75">
      <c r="A88" s="26">
        <v>693</v>
      </c>
      <c r="B88" s="27" t="s">
        <v>125</v>
      </c>
      <c r="C88" s="26">
        <v>1550</v>
      </c>
      <c r="D88" s="191">
        <v>94</v>
      </c>
      <c r="E88" s="191">
        <v>94</v>
      </c>
      <c r="F88" s="380">
        <f t="shared" si="5"/>
        <v>94</v>
      </c>
      <c r="G88" s="380">
        <f t="shared" si="3"/>
        <v>693</v>
      </c>
      <c r="H88" s="486">
        <v>0</v>
      </c>
      <c r="I88" s="486">
        <v>0</v>
      </c>
      <c r="J88" s="512">
        <f t="shared" si="4"/>
        <v>1644</v>
      </c>
      <c r="K88" s="28">
        <v>0</v>
      </c>
      <c r="L88" s="26">
        <v>620</v>
      </c>
      <c r="M88" s="26">
        <v>0</v>
      </c>
      <c r="N88" s="513"/>
    </row>
    <row r="89" spans="1:14" ht="12.75">
      <c r="A89" s="26">
        <v>694</v>
      </c>
      <c r="B89" s="27" t="s">
        <v>126</v>
      </c>
      <c r="C89" s="26">
        <v>1400</v>
      </c>
      <c r="D89" s="191">
        <v>114</v>
      </c>
      <c r="E89" s="191">
        <v>114</v>
      </c>
      <c r="F89" s="380">
        <f t="shared" si="5"/>
        <v>114</v>
      </c>
      <c r="G89" s="380">
        <f t="shared" si="3"/>
        <v>694</v>
      </c>
      <c r="H89" s="486">
        <v>0</v>
      </c>
      <c r="I89" s="486">
        <v>0</v>
      </c>
      <c r="J89" s="512">
        <f t="shared" si="4"/>
        <v>1514</v>
      </c>
      <c r="K89" s="28">
        <v>0</v>
      </c>
      <c r="L89" s="26">
        <v>620</v>
      </c>
      <c r="M89" s="26">
        <v>0</v>
      </c>
      <c r="N89" s="513"/>
    </row>
    <row r="90" spans="1:14" ht="12.75">
      <c r="A90" s="26">
        <v>695</v>
      </c>
      <c r="B90" s="27" t="s">
        <v>127</v>
      </c>
      <c r="C90" s="26">
        <v>906</v>
      </c>
      <c r="D90" s="191">
        <v>170</v>
      </c>
      <c r="E90" s="191">
        <v>216</v>
      </c>
      <c r="F90" s="380">
        <f t="shared" si="5"/>
        <v>260</v>
      </c>
      <c r="G90" s="380">
        <f t="shared" si="3"/>
        <v>695</v>
      </c>
      <c r="H90" s="486">
        <v>0</v>
      </c>
      <c r="I90" s="486">
        <v>0</v>
      </c>
      <c r="J90" s="512">
        <f t="shared" si="4"/>
        <v>1122</v>
      </c>
      <c r="K90" s="28">
        <v>0</v>
      </c>
      <c r="L90" s="26">
        <v>0</v>
      </c>
      <c r="M90" s="26">
        <v>0</v>
      </c>
      <c r="N90" s="513"/>
    </row>
    <row r="91" spans="1:14" ht="12.75">
      <c r="A91" s="26">
        <v>696</v>
      </c>
      <c r="B91" s="27" t="s">
        <v>128</v>
      </c>
      <c r="C91" s="26">
        <v>1500</v>
      </c>
      <c r="D91" s="191">
        <v>101</v>
      </c>
      <c r="E91" s="191">
        <v>101</v>
      </c>
      <c r="F91" s="380">
        <f t="shared" si="5"/>
        <v>101</v>
      </c>
      <c r="G91" s="380">
        <f t="shared" si="3"/>
        <v>696</v>
      </c>
      <c r="H91" s="486">
        <v>388.2</v>
      </c>
      <c r="I91" s="486">
        <v>388.2</v>
      </c>
      <c r="J91" s="512">
        <f t="shared" si="4"/>
        <v>1601</v>
      </c>
      <c r="K91" s="28">
        <v>0</v>
      </c>
      <c r="L91" s="26">
        <v>0</v>
      </c>
      <c r="M91" s="26">
        <v>0</v>
      </c>
      <c r="N91" s="513"/>
    </row>
    <row r="92" spans="1:14" ht="12.75">
      <c r="A92" s="26">
        <v>697</v>
      </c>
      <c r="B92" s="27" t="s">
        <v>129</v>
      </c>
      <c r="C92" s="26">
        <v>1500</v>
      </c>
      <c r="D92" s="191">
        <v>101</v>
      </c>
      <c r="E92" s="191">
        <v>101</v>
      </c>
      <c r="F92" s="380">
        <f t="shared" si="5"/>
        <v>101</v>
      </c>
      <c r="G92" s="380">
        <f t="shared" si="3"/>
        <v>697</v>
      </c>
      <c r="H92" s="486">
        <v>0</v>
      </c>
      <c r="I92" s="486">
        <v>0</v>
      </c>
      <c r="J92" s="512">
        <f t="shared" si="4"/>
        <v>1601</v>
      </c>
      <c r="K92" s="28">
        <v>0</v>
      </c>
      <c r="L92" s="26">
        <v>0</v>
      </c>
      <c r="M92" s="26">
        <v>0</v>
      </c>
      <c r="N92" s="513"/>
    </row>
    <row r="93" spans="1:14" ht="12.75">
      <c r="A93" s="26">
        <v>698</v>
      </c>
      <c r="B93" s="27" t="s">
        <v>130</v>
      </c>
      <c r="C93" s="26">
        <v>1690</v>
      </c>
      <c r="D93" s="191">
        <v>76</v>
      </c>
      <c r="E93" s="191">
        <v>76</v>
      </c>
      <c r="F93" s="380">
        <f t="shared" si="5"/>
        <v>76</v>
      </c>
      <c r="G93" s="380">
        <f t="shared" si="3"/>
        <v>698</v>
      </c>
      <c r="H93" s="486">
        <v>0</v>
      </c>
      <c r="I93" s="486">
        <v>0</v>
      </c>
      <c r="J93" s="512">
        <f t="shared" si="4"/>
        <v>1766</v>
      </c>
      <c r="K93" s="28">
        <v>0</v>
      </c>
      <c r="L93" s="26">
        <v>0</v>
      </c>
      <c r="M93" s="26">
        <v>0</v>
      </c>
      <c r="N93" s="513"/>
    </row>
    <row r="94" spans="1:14" ht="12.75">
      <c r="A94" s="26">
        <v>699</v>
      </c>
      <c r="B94" s="27" t="s">
        <v>131</v>
      </c>
      <c r="C94" s="26">
        <v>1550</v>
      </c>
      <c r="D94" s="191">
        <v>94</v>
      </c>
      <c r="E94" s="191">
        <v>94</v>
      </c>
      <c r="F94" s="380">
        <f t="shared" si="5"/>
        <v>94</v>
      </c>
      <c r="G94" s="380">
        <f t="shared" si="3"/>
        <v>699</v>
      </c>
      <c r="H94" s="486">
        <v>0</v>
      </c>
      <c r="I94" s="486">
        <v>0</v>
      </c>
      <c r="J94" s="512">
        <f t="shared" si="4"/>
        <v>1644</v>
      </c>
      <c r="K94" s="28">
        <v>0</v>
      </c>
      <c r="L94" s="26">
        <v>0</v>
      </c>
      <c r="M94" s="26">
        <v>0</v>
      </c>
      <c r="N94" s="513"/>
    </row>
    <row r="95" spans="1:14" ht="12.75">
      <c r="A95" s="514">
        <v>702</v>
      </c>
      <c r="B95" s="515" t="s">
        <v>132</v>
      </c>
      <c r="C95" s="514">
        <v>971</v>
      </c>
      <c r="D95" s="516">
        <v>170</v>
      </c>
      <c r="E95" s="516">
        <v>216</v>
      </c>
      <c r="F95" s="380">
        <f t="shared" si="5"/>
        <v>260</v>
      </c>
      <c r="G95" s="517">
        <f t="shared" si="3"/>
        <v>702</v>
      </c>
      <c r="H95" s="487">
        <v>0</v>
      </c>
      <c r="I95" s="487">
        <v>0</v>
      </c>
      <c r="J95" s="518">
        <f t="shared" si="4"/>
        <v>1187</v>
      </c>
      <c r="K95" s="519">
        <v>0</v>
      </c>
      <c r="L95" s="514">
        <v>0</v>
      </c>
      <c r="M95" s="514">
        <v>0</v>
      </c>
      <c r="N95" s="520"/>
    </row>
    <row r="96" spans="1:14" ht="12.75">
      <c r="A96" s="26">
        <v>703</v>
      </c>
      <c r="B96" s="27" t="s">
        <v>133</v>
      </c>
      <c r="C96" s="26">
        <v>3429</v>
      </c>
      <c r="D96" s="191">
        <v>0</v>
      </c>
      <c r="E96" s="191">
        <v>0</v>
      </c>
      <c r="F96" s="380">
        <f t="shared" si="5"/>
        <v>0</v>
      </c>
      <c r="G96" s="380">
        <f t="shared" si="3"/>
        <v>703</v>
      </c>
      <c r="H96" s="486">
        <v>0</v>
      </c>
      <c r="I96" s="486">
        <v>0</v>
      </c>
      <c r="J96" s="512">
        <f t="shared" si="4"/>
        <v>3429</v>
      </c>
      <c r="K96" s="28">
        <v>0</v>
      </c>
      <c r="L96" s="26">
        <v>0</v>
      </c>
      <c r="M96" s="26">
        <v>0</v>
      </c>
      <c r="N96" s="513"/>
    </row>
    <row r="97" spans="1:14" ht="12.75">
      <c r="A97" s="26">
        <v>704</v>
      </c>
      <c r="B97" s="27" t="s">
        <v>134</v>
      </c>
      <c r="C97" s="26">
        <v>1500</v>
      </c>
      <c r="D97" s="191">
        <v>101</v>
      </c>
      <c r="E97" s="191">
        <v>101</v>
      </c>
      <c r="F97" s="380">
        <f t="shared" si="5"/>
        <v>101</v>
      </c>
      <c r="G97" s="380">
        <f t="shared" si="3"/>
        <v>704</v>
      </c>
      <c r="H97" s="486">
        <v>0</v>
      </c>
      <c r="I97" s="486">
        <v>136</v>
      </c>
      <c r="J97" s="512">
        <f t="shared" si="4"/>
        <v>1601</v>
      </c>
      <c r="K97" s="28">
        <v>0</v>
      </c>
      <c r="L97" s="26">
        <v>0</v>
      </c>
      <c r="M97" s="26">
        <v>0</v>
      </c>
      <c r="N97" s="513"/>
    </row>
    <row r="98" spans="1:14" ht="12.75">
      <c r="A98" s="26">
        <v>705</v>
      </c>
      <c r="B98" s="27" t="s">
        <v>135</v>
      </c>
      <c r="C98" s="26">
        <v>1592</v>
      </c>
      <c r="D98" s="191">
        <v>89</v>
      </c>
      <c r="E98" s="191">
        <v>89</v>
      </c>
      <c r="F98" s="380">
        <f t="shared" si="5"/>
        <v>89</v>
      </c>
      <c r="G98" s="380">
        <f t="shared" si="3"/>
        <v>705</v>
      </c>
      <c r="H98" s="486">
        <v>0</v>
      </c>
      <c r="I98" s="486">
        <v>175</v>
      </c>
      <c r="J98" s="512">
        <f t="shared" si="4"/>
        <v>1681</v>
      </c>
      <c r="K98" s="28">
        <v>0</v>
      </c>
      <c r="L98" s="26">
        <v>0</v>
      </c>
      <c r="M98" s="26">
        <v>0</v>
      </c>
      <c r="N98" s="513"/>
    </row>
    <row r="99" spans="1:14" ht="12.75">
      <c r="A99" s="26">
        <v>706</v>
      </c>
      <c r="B99" s="27" t="s">
        <v>136</v>
      </c>
      <c r="C99" s="26">
        <v>2482</v>
      </c>
      <c r="D99" s="191">
        <v>0</v>
      </c>
      <c r="E99" s="191">
        <v>0</v>
      </c>
      <c r="F99" s="380">
        <f t="shared" si="5"/>
        <v>0</v>
      </c>
      <c r="G99" s="380">
        <f t="shared" si="3"/>
        <v>706</v>
      </c>
      <c r="H99" s="486">
        <v>0</v>
      </c>
      <c r="I99" s="486">
        <f>D99*0.09</f>
        <v>0</v>
      </c>
      <c r="J99" s="512">
        <f t="shared" si="4"/>
        <v>2482</v>
      </c>
      <c r="K99" s="28">
        <v>0</v>
      </c>
      <c r="L99" s="26">
        <v>0</v>
      </c>
      <c r="M99" s="26">
        <v>0</v>
      </c>
      <c r="N99" s="513"/>
    </row>
    <row r="100" spans="1:14" ht="12.75">
      <c r="A100" s="26">
        <v>708</v>
      </c>
      <c r="B100" s="27" t="s">
        <v>137</v>
      </c>
      <c r="C100" s="26">
        <v>3146</v>
      </c>
      <c r="D100" s="191">
        <v>0</v>
      </c>
      <c r="E100" s="191">
        <v>0</v>
      </c>
      <c r="F100" s="380">
        <f t="shared" si="5"/>
        <v>0</v>
      </c>
      <c r="G100" s="380">
        <f t="shared" si="3"/>
        <v>708</v>
      </c>
      <c r="H100" s="486">
        <v>0</v>
      </c>
      <c r="I100" s="486">
        <v>0</v>
      </c>
      <c r="J100" s="512">
        <f t="shared" si="4"/>
        <v>3146</v>
      </c>
      <c r="K100" s="28">
        <v>0</v>
      </c>
      <c r="L100" s="26">
        <v>0</v>
      </c>
      <c r="M100" s="26">
        <v>0</v>
      </c>
      <c r="N100" s="513"/>
    </row>
    <row r="101" spans="1:14" ht="12.75">
      <c r="A101" s="499">
        <v>709</v>
      </c>
      <c r="B101" s="521" t="s">
        <v>138</v>
      </c>
      <c r="C101" s="499">
        <v>2913</v>
      </c>
      <c r="D101" s="500">
        <v>0</v>
      </c>
      <c r="E101" s="500">
        <v>0</v>
      </c>
      <c r="F101" s="501">
        <f t="shared" si="5"/>
        <v>0</v>
      </c>
      <c r="G101" s="501">
        <f t="shared" si="3"/>
        <v>709</v>
      </c>
      <c r="H101" s="502">
        <v>0</v>
      </c>
      <c r="I101" s="522">
        <v>233</v>
      </c>
      <c r="J101" s="523">
        <f t="shared" si="4"/>
        <v>2913</v>
      </c>
      <c r="K101" s="503">
        <v>0</v>
      </c>
      <c r="L101" s="499">
        <v>0</v>
      </c>
      <c r="M101" s="499">
        <v>0</v>
      </c>
      <c r="N101" s="524"/>
    </row>
    <row r="102" spans="1:14" ht="12.75">
      <c r="A102" s="499">
        <v>710</v>
      </c>
      <c r="B102" s="521" t="s">
        <v>139</v>
      </c>
      <c r="C102" s="499">
        <v>2913</v>
      </c>
      <c r="D102" s="500">
        <v>0</v>
      </c>
      <c r="E102" s="500">
        <v>0</v>
      </c>
      <c r="F102" s="501">
        <f t="shared" si="5"/>
        <v>0</v>
      </c>
      <c r="G102" s="501">
        <f t="shared" si="3"/>
        <v>710</v>
      </c>
      <c r="H102" s="502">
        <v>0</v>
      </c>
      <c r="I102" s="522">
        <v>233</v>
      </c>
      <c r="J102" s="523">
        <f t="shared" si="4"/>
        <v>2913</v>
      </c>
      <c r="K102" s="503">
        <v>20</v>
      </c>
      <c r="L102" s="499">
        <v>0</v>
      </c>
      <c r="M102" s="499">
        <v>0</v>
      </c>
      <c r="N102" s="524"/>
    </row>
    <row r="103" spans="1:14" ht="12.75">
      <c r="A103" s="499">
        <v>711</v>
      </c>
      <c r="B103" s="521" t="s">
        <v>140</v>
      </c>
      <c r="C103" s="499">
        <v>2913</v>
      </c>
      <c r="D103" s="500">
        <v>0</v>
      </c>
      <c r="E103" s="500">
        <v>0</v>
      </c>
      <c r="F103" s="501">
        <f t="shared" si="5"/>
        <v>0</v>
      </c>
      <c r="G103" s="501">
        <f t="shared" si="3"/>
        <v>711</v>
      </c>
      <c r="H103" s="502">
        <v>0</v>
      </c>
      <c r="I103" s="522">
        <v>233</v>
      </c>
      <c r="J103" s="523">
        <f t="shared" si="4"/>
        <v>2913</v>
      </c>
      <c r="K103" s="503">
        <v>0</v>
      </c>
      <c r="L103" s="499">
        <v>0</v>
      </c>
      <c r="M103" s="499">
        <v>0</v>
      </c>
      <c r="N103" s="524"/>
    </row>
    <row r="104" spans="1:14" ht="12.75">
      <c r="A104" s="499">
        <v>712</v>
      </c>
      <c r="B104" s="521" t="s">
        <v>141</v>
      </c>
      <c r="C104" s="499">
        <v>2913</v>
      </c>
      <c r="D104" s="500">
        <v>0</v>
      </c>
      <c r="E104" s="500">
        <v>0</v>
      </c>
      <c r="F104" s="501">
        <f t="shared" si="5"/>
        <v>0</v>
      </c>
      <c r="G104" s="501">
        <f t="shared" si="3"/>
        <v>712</v>
      </c>
      <c r="H104" s="502">
        <v>0</v>
      </c>
      <c r="I104" s="522">
        <v>233</v>
      </c>
      <c r="J104" s="523">
        <f t="shared" si="4"/>
        <v>2913</v>
      </c>
      <c r="K104" s="503">
        <v>0</v>
      </c>
      <c r="L104" s="499">
        <v>0</v>
      </c>
      <c r="M104" s="499">
        <v>0</v>
      </c>
      <c r="N104" s="524"/>
    </row>
    <row r="105" spans="1:14" ht="12.75">
      <c r="A105" s="499">
        <v>713</v>
      </c>
      <c r="B105" s="521" t="s">
        <v>142</v>
      </c>
      <c r="C105" s="499">
        <v>2913</v>
      </c>
      <c r="D105" s="500">
        <v>0</v>
      </c>
      <c r="E105" s="500">
        <v>0</v>
      </c>
      <c r="F105" s="501">
        <f t="shared" si="5"/>
        <v>0</v>
      </c>
      <c r="G105" s="501">
        <f t="shared" si="3"/>
        <v>713</v>
      </c>
      <c r="H105" s="502">
        <v>0</v>
      </c>
      <c r="I105" s="522">
        <v>233</v>
      </c>
      <c r="J105" s="523">
        <f t="shared" si="4"/>
        <v>2913</v>
      </c>
      <c r="K105" s="503">
        <v>0</v>
      </c>
      <c r="L105" s="499">
        <v>0</v>
      </c>
      <c r="M105" s="499">
        <v>0</v>
      </c>
      <c r="N105" s="524"/>
    </row>
    <row r="106" spans="1:14" ht="12.75">
      <c r="A106" s="26">
        <v>714</v>
      </c>
      <c r="B106" s="27" t="s">
        <v>143</v>
      </c>
      <c r="C106" s="26">
        <v>2913</v>
      </c>
      <c r="D106" s="191">
        <v>0</v>
      </c>
      <c r="E106" s="191">
        <v>0</v>
      </c>
      <c r="F106" s="380">
        <f t="shared" si="5"/>
        <v>0</v>
      </c>
      <c r="G106" s="380">
        <f t="shared" si="3"/>
        <v>714</v>
      </c>
      <c r="H106" s="486">
        <v>0</v>
      </c>
      <c r="I106" s="486">
        <f>D106*0.09</f>
        <v>0</v>
      </c>
      <c r="J106" s="512">
        <f t="shared" si="4"/>
        <v>2913</v>
      </c>
      <c r="K106" s="28">
        <v>0</v>
      </c>
      <c r="L106" s="26">
        <v>0</v>
      </c>
      <c r="M106" s="26">
        <v>0</v>
      </c>
      <c r="N106" s="513"/>
    </row>
    <row r="107" spans="1:14" ht="12.75">
      <c r="A107" s="26">
        <v>715</v>
      </c>
      <c r="B107" s="27" t="s">
        <v>144</v>
      </c>
      <c r="C107" s="26">
        <v>1912</v>
      </c>
      <c r="D107" s="191">
        <v>47</v>
      </c>
      <c r="E107" s="191">
        <v>47</v>
      </c>
      <c r="F107" s="380">
        <f t="shared" si="5"/>
        <v>47</v>
      </c>
      <c r="G107" s="380">
        <f t="shared" si="3"/>
        <v>715</v>
      </c>
      <c r="H107" s="486">
        <v>0</v>
      </c>
      <c r="I107" s="486">
        <v>230</v>
      </c>
      <c r="J107" s="512">
        <f t="shared" si="4"/>
        <v>1959</v>
      </c>
      <c r="K107" s="28">
        <v>0</v>
      </c>
      <c r="L107" s="26">
        <v>42</v>
      </c>
      <c r="M107" s="26">
        <v>0</v>
      </c>
      <c r="N107" s="513"/>
    </row>
    <row r="108" spans="1:14" ht="12.75">
      <c r="A108" s="499">
        <v>716</v>
      </c>
      <c r="B108" s="521" t="s">
        <v>145</v>
      </c>
      <c r="C108" s="499">
        <v>1942</v>
      </c>
      <c r="D108" s="500">
        <v>43</v>
      </c>
      <c r="E108" s="500">
        <v>43</v>
      </c>
      <c r="F108" s="501">
        <f t="shared" si="5"/>
        <v>43</v>
      </c>
      <c r="G108" s="501">
        <f t="shared" si="3"/>
        <v>716</v>
      </c>
      <c r="H108" s="502">
        <v>0</v>
      </c>
      <c r="I108" s="525">
        <v>194</v>
      </c>
      <c r="J108" s="523">
        <f t="shared" si="4"/>
        <v>1985</v>
      </c>
      <c r="K108" s="503">
        <v>0</v>
      </c>
      <c r="L108" s="499">
        <v>0</v>
      </c>
      <c r="M108" s="499">
        <v>0</v>
      </c>
      <c r="N108" s="499">
        <v>782</v>
      </c>
    </row>
    <row r="109" spans="1:14" ht="12.75">
      <c r="A109" s="499">
        <v>717</v>
      </c>
      <c r="B109" s="521" t="s">
        <v>146</v>
      </c>
      <c r="C109" s="499">
        <v>2100</v>
      </c>
      <c r="D109" s="500">
        <v>23</v>
      </c>
      <c r="E109" s="500">
        <v>23</v>
      </c>
      <c r="F109" s="501">
        <f t="shared" si="5"/>
        <v>23</v>
      </c>
      <c r="G109" s="501">
        <f t="shared" si="3"/>
        <v>717</v>
      </c>
      <c r="H109" s="502">
        <v>0</v>
      </c>
      <c r="I109" s="525">
        <v>194</v>
      </c>
      <c r="J109" s="523">
        <f t="shared" si="4"/>
        <v>2123</v>
      </c>
      <c r="K109" s="503">
        <v>150</v>
      </c>
      <c r="L109" s="499">
        <v>0</v>
      </c>
      <c r="M109" s="499">
        <v>0</v>
      </c>
      <c r="N109" s="524"/>
    </row>
    <row r="110" spans="1:14" ht="12.75">
      <c r="A110" s="499">
        <v>718</v>
      </c>
      <c r="B110" s="521" t="s">
        <v>147</v>
      </c>
      <c r="C110" s="499">
        <v>1942</v>
      </c>
      <c r="D110" s="500">
        <v>43</v>
      </c>
      <c r="E110" s="500">
        <v>43</v>
      </c>
      <c r="F110" s="501">
        <f t="shared" si="5"/>
        <v>43</v>
      </c>
      <c r="G110" s="501">
        <f t="shared" si="3"/>
        <v>718</v>
      </c>
      <c r="H110" s="502">
        <v>0</v>
      </c>
      <c r="I110" s="525">
        <v>194</v>
      </c>
      <c r="J110" s="523">
        <f t="shared" si="4"/>
        <v>1985</v>
      </c>
      <c r="K110" s="503">
        <v>17</v>
      </c>
      <c r="L110" s="499">
        <v>0</v>
      </c>
      <c r="M110" s="499">
        <v>0</v>
      </c>
      <c r="N110" s="524"/>
    </row>
    <row r="111" spans="1:14" ht="12.75">
      <c r="A111" s="499">
        <v>719</v>
      </c>
      <c r="B111" s="521" t="s">
        <v>148</v>
      </c>
      <c r="C111" s="499">
        <v>1782</v>
      </c>
      <c r="D111" s="500">
        <v>64</v>
      </c>
      <c r="E111" s="500">
        <v>64</v>
      </c>
      <c r="F111" s="501">
        <f t="shared" si="5"/>
        <v>64</v>
      </c>
      <c r="G111" s="501">
        <f t="shared" si="3"/>
        <v>719</v>
      </c>
      <c r="H111" s="502">
        <v>0</v>
      </c>
      <c r="I111" s="525">
        <v>175</v>
      </c>
      <c r="J111" s="523">
        <f t="shared" si="4"/>
        <v>1846</v>
      </c>
      <c r="K111" s="503">
        <v>0</v>
      </c>
      <c r="L111" s="499">
        <v>0</v>
      </c>
      <c r="M111" s="499">
        <v>0</v>
      </c>
      <c r="N111" s="499">
        <v>782</v>
      </c>
    </row>
    <row r="112" spans="1:14" ht="12.75">
      <c r="A112" s="499">
        <v>720</v>
      </c>
      <c r="B112" s="521" t="s">
        <v>149</v>
      </c>
      <c r="C112" s="499">
        <v>1782</v>
      </c>
      <c r="D112" s="500">
        <v>64</v>
      </c>
      <c r="E112" s="500">
        <v>64</v>
      </c>
      <c r="F112" s="501">
        <f t="shared" si="5"/>
        <v>64</v>
      </c>
      <c r="G112" s="501">
        <f t="shared" si="3"/>
        <v>720</v>
      </c>
      <c r="H112" s="502">
        <v>0</v>
      </c>
      <c r="I112" s="525">
        <v>175</v>
      </c>
      <c r="J112" s="523">
        <f t="shared" si="4"/>
        <v>1846</v>
      </c>
      <c r="K112" s="503">
        <v>17</v>
      </c>
      <c r="L112" s="499">
        <v>0</v>
      </c>
      <c r="M112" s="499">
        <v>0</v>
      </c>
      <c r="N112" s="524"/>
    </row>
    <row r="113" spans="1:14" ht="12.75">
      <c r="A113" s="499">
        <v>721</v>
      </c>
      <c r="B113" s="521" t="s">
        <v>150</v>
      </c>
      <c r="C113" s="499">
        <v>1942</v>
      </c>
      <c r="D113" s="500">
        <v>43</v>
      </c>
      <c r="E113" s="500">
        <v>43</v>
      </c>
      <c r="F113" s="501">
        <f t="shared" si="5"/>
        <v>43</v>
      </c>
      <c r="G113" s="501">
        <f t="shared" si="3"/>
        <v>721</v>
      </c>
      <c r="H113" s="502">
        <v>0</v>
      </c>
      <c r="I113" s="525">
        <v>194</v>
      </c>
      <c r="J113" s="523">
        <f t="shared" si="4"/>
        <v>1985</v>
      </c>
      <c r="K113" s="503">
        <v>150</v>
      </c>
      <c r="L113" s="499">
        <v>0</v>
      </c>
      <c r="M113" s="499">
        <v>0</v>
      </c>
      <c r="N113" s="524"/>
    </row>
    <row r="114" spans="1:14" ht="12.75">
      <c r="A114" s="499">
        <v>722</v>
      </c>
      <c r="B114" s="521" t="s">
        <v>151</v>
      </c>
      <c r="C114" s="499">
        <v>1692</v>
      </c>
      <c r="D114" s="500">
        <v>76</v>
      </c>
      <c r="E114" s="500">
        <v>76</v>
      </c>
      <c r="F114" s="501">
        <f t="shared" si="5"/>
        <v>76</v>
      </c>
      <c r="G114" s="501">
        <f t="shared" si="3"/>
        <v>722</v>
      </c>
      <c r="H114" s="502">
        <v>0</v>
      </c>
      <c r="I114" s="525">
        <v>136</v>
      </c>
      <c r="J114" s="523">
        <f t="shared" si="4"/>
        <v>1768</v>
      </c>
      <c r="K114" s="503">
        <v>0</v>
      </c>
      <c r="L114" s="499">
        <v>0</v>
      </c>
      <c r="M114" s="499">
        <v>0</v>
      </c>
      <c r="N114" s="499">
        <v>744</v>
      </c>
    </row>
    <row r="115" spans="1:14" ht="12.75">
      <c r="A115" s="499">
        <v>723</v>
      </c>
      <c r="B115" s="521" t="s">
        <v>152</v>
      </c>
      <c r="C115" s="499">
        <v>1700</v>
      </c>
      <c r="D115" s="500">
        <v>75</v>
      </c>
      <c r="E115" s="500">
        <v>75</v>
      </c>
      <c r="F115" s="501">
        <f t="shared" si="5"/>
        <v>75</v>
      </c>
      <c r="G115" s="501">
        <f t="shared" si="3"/>
        <v>723</v>
      </c>
      <c r="H115" s="502">
        <v>0</v>
      </c>
      <c r="I115" s="525">
        <v>116</v>
      </c>
      <c r="J115" s="523">
        <f t="shared" si="4"/>
        <v>1775</v>
      </c>
      <c r="K115" s="503">
        <v>0</v>
      </c>
      <c r="L115" s="499">
        <v>0</v>
      </c>
      <c r="M115" s="499">
        <v>0</v>
      </c>
      <c r="N115" s="499">
        <v>769</v>
      </c>
    </row>
    <row r="116" spans="1:14" ht="12.75">
      <c r="A116" s="26">
        <v>724</v>
      </c>
      <c r="B116" s="27" t="s">
        <v>153</v>
      </c>
      <c r="C116" s="26">
        <v>1942</v>
      </c>
      <c r="D116" s="191">
        <v>43</v>
      </c>
      <c r="E116" s="191">
        <v>43</v>
      </c>
      <c r="F116" s="380">
        <f t="shared" si="5"/>
        <v>43</v>
      </c>
      <c r="G116" s="380">
        <f t="shared" si="3"/>
        <v>724</v>
      </c>
      <c r="H116" s="486">
        <v>0</v>
      </c>
      <c r="I116" s="486">
        <v>233</v>
      </c>
      <c r="J116" s="512">
        <f t="shared" si="4"/>
        <v>1985</v>
      </c>
      <c r="K116" s="28">
        <v>150</v>
      </c>
      <c r="L116" s="26">
        <v>0</v>
      </c>
      <c r="M116" s="26">
        <v>0</v>
      </c>
      <c r="N116" s="513"/>
    </row>
    <row r="117" spans="1:14" ht="12.75">
      <c r="A117" s="26">
        <v>725</v>
      </c>
      <c r="B117" s="27" t="s">
        <v>154</v>
      </c>
      <c r="C117" s="26">
        <v>1592</v>
      </c>
      <c r="D117" s="191">
        <v>89</v>
      </c>
      <c r="E117" s="191">
        <v>89</v>
      </c>
      <c r="F117" s="380">
        <f t="shared" si="5"/>
        <v>89</v>
      </c>
      <c r="G117" s="380">
        <f t="shared" si="3"/>
        <v>725</v>
      </c>
      <c r="H117" s="486">
        <v>0</v>
      </c>
      <c r="I117" s="486">
        <v>116</v>
      </c>
      <c r="J117" s="512">
        <f t="shared" si="4"/>
        <v>1681</v>
      </c>
      <c r="K117" s="28">
        <v>0</v>
      </c>
      <c r="L117" s="26">
        <v>0</v>
      </c>
      <c r="M117" s="26">
        <v>0</v>
      </c>
      <c r="N117" s="526">
        <v>738</v>
      </c>
    </row>
    <row r="118" spans="1:14" ht="12.75">
      <c r="A118" s="26">
        <v>726</v>
      </c>
      <c r="B118" s="27" t="s">
        <v>155</v>
      </c>
      <c r="C118" s="26">
        <v>1500</v>
      </c>
      <c r="D118" s="191">
        <v>101</v>
      </c>
      <c r="E118" s="191">
        <v>101</v>
      </c>
      <c r="F118" s="380">
        <f t="shared" si="5"/>
        <v>101</v>
      </c>
      <c r="G118" s="380">
        <f t="shared" si="3"/>
        <v>726</v>
      </c>
      <c r="H118" s="486">
        <v>0</v>
      </c>
      <c r="I118" s="486">
        <v>0</v>
      </c>
      <c r="J118" s="512">
        <f t="shared" si="4"/>
        <v>1601</v>
      </c>
      <c r="K118" s="28">
        <v>150</v>
      </c>
      <c r="L118" s="26">
        <v>0</v>
      </c>
      <c r="M118" s="26">
        <v>0</v>
      </c>
      <c r="N118" s="513"/>
    </row>
    <row r="119" spans="1:14" ht="12.75">
      <c r="A119" s="505">
        <v>727</v>
      </c>
      <c r="B119" s="506" t="s">
        <v>156</v>
      </c>
      <c r="C119" s="507">
        <v>1600</v>
      </c>
      <c r="D119" s="527">
        <v>88</v>
      </c>
      <c r="E119" s="527">
        <v>88</v>
      </c>
      <c r="F119" s="508">
        <f t="shared" si="5"/>
        <v>88</v>
      </c>
      <c r="G119" s="508">
        <f t="shared" si="3"/>
        <v>727</v>
      </c>
      <c r="H119" s="508">
        <v>0</v>
      </c>
      <c r="I119" s="508">
        <v>116</v>
      </c>
      <c r="J119" s="528">
        <f t="shared" si="4"/>
        <v>1688</v>
      </c>
      <c r="K119" s="529">
        <v>0</v>
      </c>
      <c r="L119" s="505">
        <v>0</v>
      </c>
      <c r="M119" s="505">
        <v>0</v>
      </c>
      <c r="N119" s="505">
        <v>738</v>
      </c>
    </row>
    <row r="120" spans="1:14" ht="12.75">
      <c r="A120" s="26">
        <v>728</v>
      </c>
      <c r="B120" s="27" t="s">
        <v>157</v>
      </c>
      <c r="C120" s="26">
        <v>1360</v>
      </c>
      <c r="D120" s="191">
        <v>120</v>
      </c>
      <c r="E120" s="191">
        <v>120</v>
      </c>
      <c r="F120" s="380">
        <f t="shared" si="5"/>
        <v>120</v>
      </c>
      <c r="G120" s="380">
        <f t="shared" si="3"/>
        <v>728</v>
      </c>
      <c r="H120" s="486">
        <v>0</v>
      </c>
      <c r="I120" s="486">
        <v>116</v>
      </c>
      <c r="J120" s="512">
        <f t="shared" si="4"/>
        <v>1480</v>
      </c>
      <c r="K120" s="28">
        <v>17</v>
      </c>
      <c r="L120" s="26">
        <v>0</v>
      </c>
      <c r="M120" s="26">
        <v>0</v>
      </c>
      <c r="N120" s="513"/>
    </row>
    <row r="121" spans="1:14" ht="12.75">
      <c r="A121" s="499">
        <v>729</v>
      </c>
      <c r="B121" s="521" t="s">
        <v>158</v>
      </c>
      <c r="C121" s="499">
        <v>1692</v>
      </c>
      <c r="D121" s="500">
        <v>76</v>
      </c>
      <c r="E121" s="500">
        <v>76</v>
      </c>
      <c r="F121" s="501">
        <f t="shared" si="5"/>
        <v>76</v>
      </c>
      <c r="G121" s="501">
        <f t="shared" si="3"/>
        <v>729</v>
      </c>
      <c r="H121" s="502">
        <v>0</v>
      </c>
      <c r="I121" s="525">
        <v>194</v>
      </c>
      <c r="J121" s="523">
        <f t="shared" si="4"/>
        <v>1768</v>
      </c>
      <c r="K121" s="503">
        <v>0</v>
      </c>
      <c r="L121" s="499">
        <v>0</v>
      </c>
      <c r="M121" s="499">
        <v>0</v>
      </c>
      <c r="N121" s="524"/>
    </row>
    <row r="122" spans="1:14" ht="12.75">
      <c r="A122" s="499">
        <v>730</v>
      </c>
      <c r="B122" s="521" t="s">
        <v>159</v>
      </c>
      <c r="C122" s="499">
        <v>1700</v>
      </c>
      <c r="D122" s="500">
        <v>75</v>
      </c>
      <c r="E122" s="500">
        <v>75</v>
      </c>
      <c r="F122" s="501">
        <f t="shared" si="5"/>
        <v>75</v>
      </c>
      <c r="G122" s="501">
        <f t="shared" si="3"/>
        <v>730</v>
      </c>
      <c r="H122" s="502">
        <v>0</v>
      </c>
      <c r="I122" s="525">
        <v>194</v>
      </c>
      <c r="J122" s="523">
        <f t="shared" si="4"/>
        <v>1775</v>
      </c>
      <c r="K122" s="503">
        <v>0</v>
      </c>
      <c r="L122" s="499">
        <v>0</v>
      </c>
      <c r="M122" s="499">
        <v>0</v>
      </c>
      <c r="N122" s="524"/>
    </row>
    <row r="123" spans="1:14" ht="12.75">
      <c r="A123" s="499">
        <v>731</v>
      </c>
      <c r="B123" s="521" t="s">
        <v>160</v>
      </c>
      <c r="C123" s="499">
        <v>1592</v>
      </c>
      <c r="D123" s="500">
        <v>89</v>
      </c>
      <c r="E123" s="500">
        <v>89</v>
      </c>
      <c r="F123" s="501">
        <f t="shared" si="5"/>
        <v>89</v>
      </c>
      <c r="G123" s="501">
        <f t="shared" si="3"/>
        <v>731</v>
      </c>
      <c r="H123" s="502">
        <v>0</v>
      </c>
      <c r="I123" s="525">
        <v>175</v>
      </c>
      <c r="J123" s="523">
        <f t="shared" si="4"/>
        <v>1681</v>
      </c>
      <c r="K123" s="503">
        <v>0</v>
      </c>
      <c r="L123" s="499">
        <v>0</v>
      </c>
      <c r="M123" s="499">
        <v>0</v>
      </c>
      <c r="N123" s="524"/>
    </row>
    <row r="124" spans="1:14" ht="12.75">
      <c r="A124" s="26">
        <v>732</v>
      </c>
      <c r="B124" s="27" t="s">
        <v>161</v>
      </c>
      <c r="C124" s="26">
        <v>971</v>
      </c>
      <c r="D124" s="191">
        <v>170</v>
      </c>
      <c r="E124" s="191">
        <v>216</v>
      </c>
      <c r="F124" s="380">
        <f t="shared" si="5"/>
        <v>260</v>
      </c>
      <c r="G124" s="380">
        <f t="shared" si="3"/>
        <v>732</v>
      </c>
      <c r="H124" s="486">
        <v>0</v>
      </c>
      <c r="I124" s="486">
        <v>0</v>
      </c>
      <c r="J124" s="512">
        <f t="shared" si="4"/>
        <v>1187</v>
      </c>
      <c r="K124" s="28">
        <v>150</v>
      </c>
      <c r="L124" s="26">
        <v>0</v>
      </c>
      <c r="M124" s="26">
        <v>0</v>
      </c>
      <c r="N124" s="513"/>
    </row>
    <row r="125" spans="1:14" ht="12.75">
      <c r="A125" s="26">
        <v>733</v>
      </c>
      <c r="B125" s="27" t="s">
        <v>162</v>
      </c>
      <c r="C125" s="26">
        <v>1150</v>
      </c>
      <c r="D125" s="191">
        <v>147</v>
      </c>
      <c r="E125" s="191">
        <v>147</v>
      </c>
      <c r="F125" s="380">
        <f t="shared" si="5"/>
        <v>147</v>
      </c>
      <c r="G125" s="380">
        <f t="shared" si="3"/>
        <v>733</v>
      </c>
      <c r="H125" s="486">
        <v>0</v>
      </c>
      <c r="I125" s="486">
        <v>0</v>
      </c>
      <c r="J125" s="512">
        <f t="shared" si="4"/>
        <v>1297</v>
      </c>
      <c r="K125" s="28">
        <v>0</v>
      </c>
      <c r="L125" s="26">
        <v>0</v>
      </c>
      <c r="M125" s="26">
        <v>0</v>
      </c>
      <c r="N125" s="513"/>
    </row>
    <row r="126" spans="1:14" ht="12.75">
      <c r="A126" s="26">
        <v>734</v>
      </c>
      <c r="B126" s="27" t="s">
        <v>163</v>
      </c>
      <c r="C126" s="26">
        <v>1500</v>
      </c>
      <c r="D126" s="191">
        <v>101</v>
      </c>
      <c r="E126" s="191">
        <v>101</v>
      </c>
      <c r="F126" s="380">
        <f t="shared" si="5"/>
        <v>101</v>
      </c>
      <c r="G126" s="380">
        <f t="shared" si="3"/>
        <v>734</v>
      </c>
      <c r="H126" s="486">
        <v>0</v>
      </c>
      <c r="I126" s="486">
        <v>0</v>
      </c>
      <c r="J126" s="512">
        <f t="shared" si="4"/>
        <v>1601</v>
      </c>
      <c r="K126" s="28">
        <v>150</v>
      </c>
      <c r="L126" s="26">
        <v>0</v>
      </c>
      <c r="M126" s="26">
        <v>0</v>
      </c>
      <c r="N126" s="513"/>
    </row>
    <row r="127" spans="1:14" ht="12.75">
      <c r="A127" s="26">
        <v>735</v>
      </c>
      <c r="B127" s="27" t="s">
        <v>164</v>
      </c>
      <c r="C127" s="26">
        <v>971</v>
      </c>
      <c r="D127" s="191">
        <v>170</v>
      </c>
      <c r="E127" s="191">
        <v>216</v>
      </c>
      <c r="F127" s="380">
        <f t="shared" si="5"/>
        <v>260</v>
      </c>
      <c r="G127" s="380">
        <f t="shared" si="3"/>
        <v>735</v>
      </c>
      <c r="H127" s="486">
        <v>0</v>
      </c>
      <c r="I127" s="486">
        <v>0</v>
      </c>
      <c r="J127" s="512">
        <f t="shared" si="4"/>
        <v>1187</v>
      </c>
      <c r="K127" s="28">
        <v>150</v>
      </c>
      <c r="L127" s="26">
        <v>0</v>
      </c>
      <c r="M127" s="26">
        <v>0</v>
      </c>
      <c r="N127" s="513"/>
    </row>
    <row r="128" spans="1:14" ht="12.75">
      <c r="A128" s="499">
        <v>736</v>
      </c>
      <c r="B128" s="521" t="s">
        <v>165</v>
      </c>
      <c r="C128" s="499">
        <v>1600</v>
      </c>
      <c r="D128" s="500">
        <v>88</v>
      </c>
      <c r="E128" s="500">
        <v>88</v>
      </c>
      <c r="F128" s="501">
        <f t="shared" si="5"/>
        <v>88</v>
      </c>
      <c r="G128" s="501">
        <f t="shared" si="3"/>
        <v>736</v>
      </c>
      <c r="H128" s="502">
        <v>0</v>
      </c>
      <c r="I128" s="525">
        <v>194</v>
      </c>
      <c r="J128" s="523">
        <f t="shared" si="4"/>
        <v>1688</v>
      </c>
      <c r="K128" s="503">
        <v>0</v>
      </c>
      <c r="L128" s="499">
        <v>0</v>
      </c>
      <c r="M128" s="499">
        <v>0</v>
      </c>
      <c r="N128" s="524"/>
    </row>
    <row r="129" spans="1:14" ht="12.75">
      <c r="A129" s="26">
        <v>737</v>
      </c>
      <c r="B129" s="27" t="s">
        <v>166</v>
      </c>
      <c r="C129" s="26">
        <v>971</v>
      </c>
      <c r="D129" s="191">
        <v>170</v>
      </c>
      <c r="E129" s="191">
        <v>216</v>
      </c>
      <c r="F129" s="380">
        <f t="shared" si="5"/>
        <v>260</v>
      </c>
      <c r="G129" s="380">
        <f t="shared" si="3"/>
        <v>737</v>
      </c>
      <c r="H129" s="486">
        <v>0</v>
      </c>
      <c r="I129" s="486">
        <v>0</v>
      </c>
      <c r="J129" s="512">
        <f t="shared" si="4"/>
        <v>1187</v>
      </c>
      <c r="K129" s="28">
        <v>150</v>
      </c>
      <c r="L129" s="26">
        <v>0</v>
      </c>
      <c r="M129" s="26">
        <v>0</v>
      </c>
      <c r="N129" s="513"/>
    </row>
    <row r="130" spans="1:14" ht="12.75">
      <c r="A130" s="26">
        <v>738</v>
      </c>
      <c r="B130" s="27" t="s">
        <v>167</v>
      </c>
      <c r="C130" s="26">
        <v>971</v>
      </c>
      <c r="D130" s="191">
        <v>170</v>
      </c>
      <c r="E130" s="191">
        <v>216</v>
      </c>
      <c r="F130" s="380">
        <f t="shared" si="5"/>
        <v>260</v>
      </c>
      <c r="G130" s="380">
        <f t="shared" si="3"/>
        <v>738</v>
      </c>
      <c r="H130" s="486">
        <v>0</v>
      </c>
      <c r="I130" s="486">
        <v>0</v>
      </c>
      <c r="J130" s="512">
        <f t="shared" si="4"/>
        <v>1187</v>
      </c>
      <c r="K130" s="28">
        <v>17</v>
      </c>
      <c r="L130" s="26">
        <v>0</v>
      </c>
      <c r="M130" s="26">
        <v>0</v>
      </c>
      <c r="N130" s="513"/>
    </row>
    <row r="131" spans="1:14" ht="12.75">
      <c r="A131" s="26">
        <v>739</v>
      </c>
      <c r="B131" s="27" t="s">
        <v>168</v>
      </c>
      <c r="C131" s="26">
        <v>971</v>
      </c>
      <c r="D131" s="191">
        <v>170</v>
      </c>
      <c r="E131" s="191">
        <v>216</v>
      </c>
      <c r="F131" s="380">
        <f t="shared" si="5"/>
        <v>260</v>
      </c>
      <c r="G131" s="380">
        <f aca="true" t="shared" si="6" ref="G131:G196">A131</f>
        <v>739</v>
      </c>
      <c r="H131" s="486">
        <v>0</v>
      </c>
      <c r="I131" s="486">
        <v>0</v>
      </c>
      <c r="J131" s="512">
        <f aca="true" t="shared" si="7" ref="J131:J196">C131+E131</f>
        <v>1187</v>
      </c>
      <c r="K131" s="28">
        <v>150</v>
      </c>
      <c r="L131" s="26">
        <v>0</v>
      </c>
      <c r="M131" s="26">
        <v>0</v>
      </c>
      <c r="N131" s="513"/>
    </row>
    <row r="132" spans="1:14" ht="12.75">
      <c r="A132" s="26">
        <v>740</v>
      </c>
      <c r="B132" s="27" t="s">
        <v>169</v>
      </c>
      <c r="C132" s="26">
        <v>971</v>
      </c>
      <c r="D132" s="191">
        <v>170</v>
      </c>
      <c r="E132" s="191">
        <v>216</v>
      </c>
      <c r="F132" s="380">
        <f aca="true" t="shared" si="8" ref="F132:F197">IF(C132&lt;972,E132+44,E132)</f>
        <v>260</v>
      </c>
      <c r="G132" s="380">
        <f t="shared" si="6"/>
        <v>740</v>
      </c>
      <c r="H132" s="486">
        <v>0</v>
      </c>
      <c r="I132" s="486">
        <v>0</v>
      </c>
      <c r="J132" s="512">
        <f t="shared" si="7"/>
        <v>1187</v>
      </c>
      <c r="K132" s="28">
        <v>150</v>
      </c>
      <c r="L132" s="26">
        <v>0</v>
      </c>
      <c r="M132" s="26">
        <v>0</v>
      </c>
      <c r="N132" s="513"/>
    </row>
    <row r="133" spans="1:14" ht="12.75">
      <c r="A133" s="499">
        <v>741</v>
      </c>
      <c r="B133" s="521" t="s">
        <v>170</v>
      </c>
      <c r="C133" s="499">
        <v>1300</v>
      </c>
      <c r="D133" s="500">
        <v>127</v>
      </c>
      <c r="E133" s="500">
        <v>127</v>
      </c>
      <c r="F133" s="501">
        <f t="shared" si="8"/>
        <v>127</v>
      </c>
      <c r="G133" s="501">
        <f t="shared" si="6"/>
        <v>741</v>
      </c>
      <c r="H133" s="502">
        <v>0</v>
      </c>
      <c r="I133" s="525">
        <v>116</v>
      </c>
      <c r="J133" s="523">
        <f t="shared" si="7"/>
        <v>1427</v>
      </c>
      <c r="K133" s="503">
        <v>0</v>
      </c>
      <c r="L133" s="499">
        <v>0</v>
      </c>
      <c r="M133" s="499">
        <v>0</v>
      </c>
      <c r="N133" s="524"/>
    </row>
    <row r="134" spans="1:14" ht="12.75">
      <c r="A134" s="26">
        <v>742</v>
      </c>
      <c r="B134" s="27" t="s">
        <v>171</v>
      </c>
      <c r="C134" s="26">
        <v>971</v>
      </c>
      <c r="D134" s="191">
        <v>170</v>
      </c>
      <c r="E134" s="191">
        <v>216</v>
      </c>
      <c r="F134" s="380">
        <f t="shared" si="8"/>
        <v>260</v>
      </c>
      <c r="G134" s="380">
        <f t="shared" si="6"/>
        <v>742</v>
      </c>
      <c r="H134" s="486">
        <v>0</v>
      </c>
      <c r="I134" s="486">
        <v>0</v>
      </c>
      <c r="J134" s="512">
        <f t="shared" si="7"/>
        <v>1187</v>
      </c>
      <c r="K134" s="28">
        <v>150</v>
      </c>
      <c r="L134" s="26">
        <v>0</v>
      </c>
      <c r="M134" s="26">
        <v>0</v>
      </c>
      <c r="N134" s="513"/>
    </row>
    <row r="135" spans="1:14" ht="12.75">
      <c r="A135" s="30">
        <v>743</v>
      </c>
      <c r="B135" s="31" t="s">
        <v>172</v>
      </c>
      <c r="C135" s="30">
        <v>971</v>
      </c>
      <c r="D135" s="191">
        <v>170</v>
      </c>
      <c r="E135" s="191">
        <v>216</v>
      </c>
      <c r="F135" s="380">
        <f t="shared" si="8"/>
        <v>260</v>
      </c>
      <c r="G135" s="380">
        <f t="shared" si="6"/>
        <v>743</v>
      </c>
      <c r="H135" s="486">
        <v>0</v>
      </c>
      <c r="I135" s="486">
        <v>0</v>
      </c>
      <c r="J135" s="512">
        <f t="shared" si="7"/>
        <v>1187</v>
      </c>
      <c r="K135" s="32">
        <v>17</v>
      </c>
      <c r="L135" s="30">
        <v>0</v>
      </c>
      <c r="M135" s="30">
        <v>0</v>
      </c>
      <c r="N135" s="513"/>
    </row>
    <row r="136" spans="1:14" ht="12.75">
      <c r="A136" s="499">
        <v>744</v>
      </c>
      <c r="B136" s="521" t="s">
        <v>173</v>
      </c>
      <c r="C136" s="499">
        <v>1400</v>
      </c>
      <c r="D136" s="500">
        <v>114</v>
      </c>
      <c r="E136" s="500">
        <v>114</v>
      </c>
      <c r="F136" s="501">
        <f t="shared" si="8"/>
        <v>114</v>
      </c>
      <c r="G136" s="501">
        <f t="shared" si="6"/>
        <v>744</v>
      </c>
      <c r="H136" s="502">
        <v>0</v>
      </c>
      <c r="I136" s="530">
        <v>116</v>
      </c>
      <c r="J136" s="523">
        <f t="shared" si="7"/>
        <v>1514</v>
      </c>
      <c r="K136" s="503">
        <v>0</v>
      </c>
      <c r="L136" s="499">
        <v>0</v>
      </c>
      <c r="M136" s="499">
        <v>0</v>
      </c>
      <c r="N136" s="524"/>
    </row>
    <row r="137" spans="1:14" ht="12.75">
      <c r="A137" s="26">
        <v>745</v>
      </c>
      <c r="B137" s="27" t="s">
        <v>174</v>
      </c>
      <c r="C137" s="26">
        <v>1450</v>
      </c>
      <c r="D137" s="191">
        <v>107</v>
      </c>
      <c r="E137" s="191">
        <v>107</v>
      </c>
      <c r="F137" s="380">
        <f t="shared" si="8"/>
        <v>107</v>
      </c>
      <c r="G137" s="380">
        <f t="shared" si="6"/>
        <v>745</v>
      </c>
      <c r="H137" s="486">
        <v>0</v>
      </c>
      <c r="I137" s="486">
        <v>0</v>
      </c>
      <c r="J137" s="512">
        <f t="shared" si="7"/>
        <v>1557</v>
      </c>
      <c r="K137" s="28">
        <v>0</v>
      </c>
      <c r="L137" s="26">
        <v>0</v>
      </c>
      <c r="M137" s="26">
        <v>0</v>
      </c>
      <c r="N137" s="513"/>
    </row>
    <row r="138" spans="1:14" ht="12.75">
      <c r="A138" s="26">
        <v>746</v>
      </c>
      <c r="B138" s="27" t="s">
        <v>175</v>
      </c>
      <c r="C138" s="26">
        <v>971</v>
      </c>
      <c r="D138" s="191">
        <v>170</v>
      </c>
      <c r="E138" s="191">
        <v>216</v>
      </c>
      <c r="F138" s="380">
        <f t="shared" si="8"/>
        <v>260</v>
      </c>
      <c r="G138" s="380">
        <f t="shared" si="6"/>
        <v>746</v>
      </c>
      <c r="H138" s="486">
        <v>0</v>
      </c>
      <c r="I138" s="486">
        <v>0</v>
      </c>
      <c r="J138" s="512">
        <f t="shared" si="7"/>
        <v>1187</v>
      </c>
      <c r="K138" s="28">
        <v>150</v>
      </c>
      <c r="L138" s="26">
        <v>0</v>
      </c>
      <c r="M138" s="26">
        <v>0</v>
      </c>
      <c r="N138" s="513"/>
    </row>
    <row r="139" spans="1:14" ht="12.75">
      <c r="A139" s="26">
        <v>747</v>
      </c>
      <c r="B139" s="27" t="s">
        <v>176</v>
      </c>
      <c r="C139" s="26">
        <v>971</v>
      </c>
      <c r="D139" s="191">
        <v>170</v>
      </c>
      <c r="E139" s="191">
        <v>216</v>
      </c>
      <c r="F139" s="380">
        <f t="shared" si="8"/>
        <v>260</v>
      </c>
      <c r="G139" s="380">
        <f t="shared" si="6"/>
        <v>747</v>
      </c>
      <c r="H139" s="486">
        <v>0</v>
      </c>
      <c r="I139" s="486">
        <v>0</v>
      </c>
      <c r="J139" s="512">
        <f t="shared" si="7"/>
        <v>1187</v>
      </c>
      <c r="K139" s="28">
        <v>0</v>
      </c>
      <c r="L139" s="26">
        <v>0</v>
      </c>
      <c r="M139" s="26">
        <v>0</v>
      </c>
      <c r="N139" s="513"/>
    </row>
    <row r="140" spans="1:14" ht="12.75">
      <c r="A140" s="499">
        <v>748</v>
      </c>
      <c r="B140" s="521" t="s">
        <v>177</v>
      </c>
      <c r="C140" s="499">
        <v>1250</v>
      </c>
      <c r="D140" s="500">
        <v>134</v>
      </c>
      <c r="E140" s="500">
        <v>134</v>
      </c>
      <c r="F140" s="501">
        <f t="shared" si="8"/>
        <v>134</v>
      </c>
      <c r="G140" s="501">
        <f t="shared" si="6"/>
        <v>748</v>
      </c>
      <c r="H140" s="502">
        <v>0</v>
      </c>
      <c r="I140" s="525">
        <v>116</v>
      </c>
      <c r="J140" s="523">
        <f t="shared" si="7"/>
        <v>1384</v>
      </c>
      <c r="K140" s="503">
        <v>0</v>
      </c>
      <c r="L140" s="499">
        <v>0</v>
      </c>
      <c r="M140" s="499">
        <v>0</v>
      </c>
      <c r="N140" s="524"/>
    </row>
    <row r="141" spans="1:14" ht="12.75">
      <c r="A141" s="514">
        <v>749</v>
      </c>
      <c r="B141" s="515" t="s">
        <v>71</v>
      </c>
      <c r="C141" s="514">
        <v>971</v>
      </c>
      <c r="D141" s="516">
        <v>170</v>
      </c>
      <c r="E141" s="516">
        <v>216</v>
      </c>
      <c r="F141" s="380">
        <f t="shared" si="8"/>
        <v>260</v>
      </c>
      <c r="G141" s="517">
        <f t="shared" si="6"/>
        <v>749</v>
      </c>
      <c r="H141" s="487">
        <v>0</v>
      </c>
      <c r="I141" s="487">
        <v>0</v>
      </c>
      <c r="J141" s="518">
        <f t="shared" si="7"/>
        <v>1187</v>
      </c>
      <c r="K141" s="519">
        <v>0</v>
      </c>
      <c r="L141" s="514">
        <v>0</v>
      </c>
      <c r="M141" s="514">
        <v>0</v>
      </c>
      <c r="N141" s="520"/>
    </row>
    <row r="142" spans="1:14" ht="12.75">
      <c r="A142" s="26">
        <v>750</v>
      </c>
      <c r="B142" s="27" t="s">
        <v>70</v>
      </c>
      <c r="C142" s="26">
        <v>971</v>
      </c>
      <c r="D142" s="191">
        <v>170</v>
      </c>
      <c r="E142" s="191">
        <v>216</v>
      </c>
      <c r="F142" s="380">
        <f t="shared" si="8"/>
        <v>260</v>
      </c>
      <c r="G142" s="380">
        <f t="shared" si="6"/>
        <v>750</v>
      </c>
      <c r="H142" s="486">
        <v>0</v>
      </c>
      <c r="I142" s="486">
        <v>0</v>
      </c>
      <c r="J142" s="512">
        <f t="shared" si="7"/>
        <v>1187</v>
      </c>
      <c r="K142" s="28">
        <v>0</v>
      </c>
      <c r="L142" s="26">
        <v>0</v>
      </c>
      <c r="M142" s="26">
        <v>0</v>
      </c>
      <c r="N142" s="513"/>
    </row>
    <row r="143" spans="1:14" s="504" customFormat="1" ht="12.75">
      <c r="A143" s="505">
        <v>751</v>
      </c>
      <c r="B143" s="506" t="s">
        <v>454</v>
      </c>
      <c r="C143" s="505">
        <v>1500</v>
      </c>
      <c r="D143" s="531">
        <v>101</v>
      </c>
      <c r="E143" s="531">
        <v>101</v>
      </c>
      <c r="F143" s="532">
        <f t="shared" si="8"/>
        <v>101</v>
      </c>
      <c r="G143" s="532">
        <f t="shared" si="6"/>
        <v>751</v>
      </c>
      <c r="H143" s="533">
        <v>0</v>
      </c>
      <c r="I143" s="508">
        <v>116</v>
      </c>
      <c r="J143" s="528">
        <f t="shared" si="7"/>
        <v>1601</v>
      </c>
      <c r="K143" s="529">
        <v>150</v>
      </c>
      <c r="L143" s="505">
        <v>0</v>
      </c>
      <c r="M143" s="505">
        <v>0</v>
      </c>
      <c r="N143" s="534"/>
    </row>
    <row r="144" spans="1:14" ht="12.75">
      <c r="A144" s="26">
        <v>752</v>
      </c>
      <c r="B144" s="27" t="s">
        <v>179</v>
      </c>
      <c r="C144" s="26">
        <v>2913</v>
      </c>
      <c r="D144" s="191">
        <v>0</v>
      </c>
      <c r="E144" s="191">
        <v>0</v>
      </c>
      <c r="F144" s="380">
        <f t="shared" si="8"/>
        <v>0</v>
      </c>
      <c r="G144" s="380">
        <f t="shared" si="6"/>
        <v>752</v>
      </c>
      <c r="H144" s="486">
        <v>0</v>
      </c>
      <c r="I144" s="486">
        <v>0</v>
      </c>
      <c r="J144" s="512">
        <f t="shared" si="7"/>
        <v>2913</v>
      </c>
      <c r="K144" s="28">
        <v>20</v>
      </c>
      <c r="L144" s="26">
        <v>0</v>
      </c>
      <c r="M144" s="26">
        <v>0</v>
      </c>
      <c r="N144" s="513"/>
    </row>
    <row r="145" spans="1:14" ht="12.75">
      <c r="A145" s="26">
        <v>753</v>
      </c>
      <c r="B145" s="27" t="s">
        <v>180</v>
      </c>
      <c r="C145" s="26">
        <v>1942</v>
      </c>
      <c r="D145" s="191">
        <v>43</v>
      </c>
      <c r="E145" s="191">
        <v>43</v>
      </c>
      <c r="F145" s="380">
        <f t="shared" si="8"/>
        <v>43</v>
      </c>
      <c r="G145" s="380">
        <f t="shared" si="6"/>
        <v>753</v>
      </c>
      <c r="H145" s="486">
        <v>0</v>
      </c>
      <c r="I145" s="486">
        <v>233</v>
      </c>
      <c r="J145" s="512">
        <f t="shared" si="7"/>
        <v>1985</v>
      </c>
      <c r="K145" s="28">
        <v>150</v>
      </c>
      <c r="L145" s="26">
        <v>0</v>
      </c>
      <c r="M145" s="26">
        <v>0</v>
      </c>
      <c r="N145" s="513"/>
    </row>
    <row r="146" spans="1:14" ht="12.75">
      <c r="A146" s="26">
        <v>754</v>
      </c>
      <c r="B146" s="27" t="s">
        <v>181</v>
      </c>
      <c r="C146" s="26">
        <v>971</v>
      </c>
      <c r="D146" s="191">
        <v>170</v>
      </c>
      <c r="E146" s="191">
        <v>216</v>
      </c>
      <c r="F146" s="380">
        <f t="shared" si="8"/>
        <v>260</v>
      </c>
      <c r="G146" s="380">
        <f t="shared" si="6"/>
        <v>754</v>
      </c>
      <c r="H146" s="486">
        <v>0</v>
      </c>
      <c r="I146" s="486">
        <v>0</v>
      </c>
      <c r="J146" s="512">
        <f t="shared" si="7"/>
        <v>1187</v>
      </c>
      <c r="K146" s="28">
        <v>0</v>
      </c>
      <c r="L146" s="26">
        <v>0</v>
      </c>
      <c r="M146" s="26">
        <v>0</v>
      </c>
      <c r="N146" s="513"/>
    </row>
    <row r="147" spans="1:14" ht="12.75">
      <c r="A147" s="26">
        <v>755</v>
      </c>
      <c r="B147" s="27" t="s">
        <v>182</v>
      </c>
      <c r="C147" s="26">
        <v>971</v>
      </c>
      <c r="D147" s="191">
        <v>170</v>
      </c>
      <c r="E147" s="191">
        <v>216</v>
      </c>
      <c r="F147" s="380">
        <f t="shared" si="8"/>
        <v>260</v>
      </c>
      <c r="G147" s="380">
        <f t="shared" si="6"/>
        <v>755</v>
      </c>
      <c r="H147" s="486">
        <v>0</v>
      </c>
      <c r="I147" s="486">
        <v>0</v>
      </c>
      <c r="J147" s="512">
        <f t="shared" si="7"/>
        <v>1187</v>
      </c>
      <c r="K147" s="28">
        <v>0</v>
      </c>
      <c r="L147" s="26">
        <v>0</v>
      </c>
      <c r="M147" s="26">
        <v>0</v>
      </c>
      <c r="N147" s="513"/>
    </row>
    <row r="148" spans="1:14" ht="12.75">
      <c r="A148" s="499">
        <v>756</v>
      </c>
      <c r="B148" s="521" t="s">
        <v>183</v>
      </c>
      <c r="C148" s="499">
        <v>1290</v>
      </c>
      <c r="D148" s="500">
        <v>128</v>
      </c>
      <c r="E148" s="500">
        <v>128</v>
      </c>
      <c r="F148" s="501">
        <f t="shared" si="8"/>
        <v>128</v>
      </c>
      <c r="G148" s="501">
        <f t="shared" si="6"/>
        <v>756</v>
      </c>
      <c r="H148" s="502">
        <v>0</v>
      </c>
      <c r="I148" s="525">
        <v>116</v>
      </c>
      <c r="J148" s="523">
        <f t="shared" si="7"/>
        <v>1418</v>
      </c>
      <c r="K148" s="503">
        <v>0</v>
      </c>
      <c r="L148" s="499">
        <v>0</v>
      </c>
      <c r="M148" s="499">
        <v>0</v>
      </c>
      <c r="N148" s="524"/>
    </row>
    <row r="149" spans="1:14" ht="12.75">
      <c r="A149" s="26">
        <v>757</v>
      </c>
      <c r="B149" s="27" t="s">
        <v>184</v>
      </c>
      <c r="C149" s="26">
        <v>971</v>
      </c>
      <c r="D149" s="191">
        <v>170</v>
      </c>
      <c r="E149" s="191">
        <v>216</v>
      </c>
      <c r="F149" s="380">
        <f t="shared" si="8"/>
        <v>260</v>
      </c>
      <c r="G149" s="380">
        <f t="shared" si="6"/>
        <v>757</v>
      </c>
      <c r="H149" s="486">
        <v>0</v>
      </c>
      <c r="I149" s="486">
        <v>0</v>
      </c>
      <c r="J149" s="512">
        <f t="shared" si="7"/>
        <v>1187</v>
      </c>
      <c r="K149" s="28">
        <v>0</v>
      </c>
      <c r="L149" s="26">
        <v>0</v>
      </c>
      <c r="M149" s="26">
        <v>0</v>
      </c>
      <c r="N149" s="513"/>
    </row>
    <row r="150" spans="1:14" ht="12.75">
      <c r="A150" s="26">
        <v>758</v>
      </c>
      <c r="B150" s="27" t="s">
        <v>185</v>
      </c>
      <c r="C150" s="26">
        <v>971</v>
      </c>
      <c r="D150" s="191">
        <v>170</v>
      </c>
      <c r="E150" s="191">
        <v>216</v>
      </c>
      <c r="F150" s="380">
        <f t="shared" si="8"/>
        <v>260</v>
      </c>
      <c r="G150" s="380">
        <f t="shared" si="6"/>
        <v>758</v>
      </c>
      <c r="H150" s="486">
        <v>0</v>
      </c>
      <c r="I150" s="486">
        <v>0</v>
      </c>
      <c r="J150" s="512">
        <f t="shared" si="7"/>
        <v>1187</v>
      </c>
      <c r="K150" s="28">
        <v>0</v>
      </c>
      <c r="L150" s="26">
        <v>0</v>
      </c>
      <c r="M150" s="26">
        <v>0</v>
      </c>
      <c r="N150" s="513"/>
    </row>
    <row r="151" spans="1:14" ht="12.75">
      <c r="A151" s="26">
        <v>759</v>
      </c>
      <c r="B151" s="27" t="s">
        <v>186</v>
      </c>
      <c r="C151" s="26">
        <v>971</v>
      </c>
      <c r="D151" s="191">
        <v>170</v>
      </c>
      <c r="E151" s="191">
        <v>216</v>
      </c>
      <c r="F151" s="380">
        <f t="shared" si="8"/>
        <v>260</v>
      </c>
      <c r="G151" s="380">
        <f t="shared" si="6"/>
        <v>759</v>
      </c>
      <c r="H151" s="486">
        <v>0</v>
      </c>
      <c r="I151" s="486">
        <v>0</v>
      </c>
      <c r="J151" s="512">
        <f t="shared" si="7"/>
        <v>1187</v>
      </c>
      <c r="K151" s="28">
        <v>150</v>
      </c>
      <c r="L151" s="26">
        <v>0</v>
      </c>
      <c r="M151" s="26">
        <v>0</v>
      </c>
      <c r="N151" s="513"/>
    </row>
    <row r="152" spans="1:14" ht="12.75">
      <c r="A152" s="26">
        <v>760</v>
      </c>
      <c r="B152" s="27" t="s">
        <v>187</v>
      </c>
      <c r="C152" s="26">
        <v>1400</v>
      </c>
      <c r="D152" s="191">
        <v>114</v>
      </c>
      <c r="E152" s="191">
        <v>114</v>
      </c>
      <c r="F152" s="380">
        <f t="shared" si="8"/>
        <v>114</v>
      </c>
      <c r="G152" s="380">
        <f t="shared" si="6"/>
        <v>760</v>
      </c>
      <c r="H152" s="486">
        <v>0</v>
      </c>
      <c r="I152" s="486">
        <v>0</v>
      </c>
      <c r="J152" s="512">
        <f t="shared" si="7"/>
        <v>1514</v>
      </c>
      <c r="K152" s="28">
        <v>0</v>
      </c>
      <c r="L152" s="26">
        <v>0</v>
      </c>
      <c r="M152" s="26">
        <v>0</v>
      </c>
      <c r="N152" s="513"/>
    </row>
    <row r="153" spans="1:14" ht="12.75">
      <c r="A153" s="26">
        <v>761</v>
      </c>
      <c r="B153" s="27" t="s">
        <v>188</v>
      </c>
      <c r="C153" s="26">
        <v>1700</v>
      </c>
      <c r="D153" s="191">
        <v>75</v>
      </c>
      <c r="E153" s="191">
        <v>75</v>
      </c>
      <c r="F153" s="380">
        <f t="shared" si="8"/>
        <v>75</v>
      </c>
      <c r="G153" s="380">
        <f t="shared" si="6"/>
        <v>761</v>
      </c>
      <c r="H153" s="486">
        <v>0</v>
      </c>
      <c r="I153" s="486">
        <v>136</v>
      </c>
      <c r="J153" s="512">
        <f t="shared" si="7"/>
        <v>1775</v>
      </c>
      <c r="K153" s="28">
        <v>150</v>
      </c>
      <c r="L153" s="26">
        <v>0</v>
      </c>
      <c r="M153" s="26">
        <v>0</v>
      </c>
      <c r="N153" s="513"/>
    </row>
    <row r="154" spans="1:14" ht="12.75">
      <c r="A154" s="26">
        <v>762</v>
      </c>
      <c r="B154" s="27" t="s">
        <v>189</v>
      </c>
      <c r="C154" s="26">
        <v>971</v>
      </c>
      <c r="D154" s="191">
        <v>170</v>
      </c>
      <c r="E154" s="191">
        <v>216</v>
      </c>
      <c r="F154" s="380">
        <f t="shared" si="8"/>
        <v>260</v>
      </c>
      <c r="G154" s="380">
        <f t="shared" si="6"/>
        <v>762</v>
      </c>
      <c r="H154" s="486">
        <v>0</v>
      </c>
      <c r="I154" s="486">
        <v>0</v>
      </c>
      <c r="J154" s="512">
        <f t="shared" si="7"/>
        <v>1187</v>
      </c>
      <c r="K154" s="28">
        <v>0</v>
      </c>
      <c r="L154" s="26">
        <v>0</v>
      </c>
      <c r="M154" s="26">
        <v>0</v>
      </c>
      <c r="N154" s="513"/>
    </row>
    <row r="155" spans="1:14" ht="12.75">
      <c r="A155" s="26">
        <v>763</v>
      </c>
      <c r="B155" s="27" t="s">
        <v>190</v>
      </c>
      <c r="C155" s="26">
        <v>971</v>
      </c>
      <c r="D155" s="191">
        <v>170</v>
      </c>
      <c r="E155" s="191">
        <v>216</v>
      </c>
      <c r="F155" s="380">
        <f t="shared" si="8"/>
        <v>260</v>
      </c>
      <c r="G155" s="380">
        <f t="shared" si="6"/>
        <v>763</v>
      </c>
      <c r="H155" s="486">
        <v>0</v>
      </c>
      <c r="I155" s="486">
        <v>0</v>
      </c>
      <c r="J155" s="512">
        <f t="shared" si="7"/>
        <v>1187</v>
      </c>
      <c r="K155" s="28">
        <v>0</v>
      </c>
      <c r="L155" s="26">
        <v>0</v>
      </c>
      <c r="M155" s="26">
        <v>0</v>
      </c>
      <c r="N155" s="513"/>
    </row>
    <row r="156" spans="1:14" ht="12.75">
      <c r="A156" s="26">
        <v>764</v>
      </c>
      <c r="B156" s="27" t="s">
        <v>191</v>
      </c>
      <c r="C156" s="26">
        <v>1500</v>
      </c>
      <c r="D156" s="191">
        <v>101</v>
      </c>
      <c r="E156" s="191">
        <v>101</v>
      </c>
      <c r="F156" s="380">
        <f t="shared" si="8"/>
        <v>101</v>
      </c>
      <c r="G156" s="380">
        <f t="shared" si="6"/>
        <v>764</v>
      </c>
      <c r="H156" s="486">
        <v>0</v>
      </c>
      <c r="I156" s="486">
        <v>0</v>
      </c>
      <c r="J156" s="512">
        <f t="shared" si="7"/>
        <v>1601</v>
      </c>
      <c r="K156" s="28">
        <v>150</v>
      </c>
      <c r="L156" s="26">
        <v>0</v>
      </c>
      <c r="M156" s="26">
        <v>0</v>
      </c>
      <c r="N156" s="513"/>
    </row>
    <row r="157" spans="1:14" ht="12.75">
      <c r="A157" s="26">
        <v>765</v>
      </c>
      <c r="B157" s="27" t="s">
        <v>192</v>
      </c>
      <c r="C157" s="26">
        <v>1500</v>
      </c>
      <c r="D157" s="191">
        <v>101</v>
      </c>
      <c r="E157" s="191">
        <v>101</v>
      </c>
      <c r="F157" s="380">
        <f t="shared" si="8"/>
        <v>101</v>
      </c>
      <c r="G157" s="380">
        <f t="shared" si="6"/>
        <v>765</v>
      </c>
      <c r="H157" s="486">
        <v>0</v>
      </c>
      <c r="I157" s="486">
        <v>0</v>
      </c>
      <c r="J157" s="512">
        <f t="shared" si="7"/>
        <v>1601</v>
      </c>
      <c r="K157" s="28">
        <v>150</v>
      </c>
      <c r="L157" s="26">
        <v>0</v>
      </c>
      <c r="M157" s="26">
        <v>0</v>
      </c>
      <c r="N157" s="513"/>
    </row>
    <row r="158" spans="1:14" ht="12.75">
      <c r="A158" s="26">
        <v>766</v>
      </c>
      <c r="B158" s="27" t="s">
        <v>193</v>
      </c>
      <c r="C158" s="26">
        <v>1942</v>
      </c>
      <c r="D158" s="191">
        <v>43</v>
      </c>
      <c r="E158" s="191">
        <v>43</v>
      </c>
      <c r="F158" s="380">
        <f t="shared" si="8"/>
        <v>43</v>
      </c>
      <c r="G158" s="380">
        <f t="shared" si="6"/>
        <v>766</v>
      </c>
      <c r="H158" s="486">
        <v>0</v>
      </c>
      <c r="I158" s="486">
        <v>233</v>
      </c>
      <c r="J158" s="512">
        <f t="shared" si="7"/>
        <v>1985</v>
      </c>
      <c r="K158" s="28">
        <v>150</v>
      </c>
      <c r="L158" s="26">
        <v>0</v>
      </c>
      <c r="M158" s="26">
        <v>0</v>
      </c>
      <c r="N158" s="513"/>
    </row>
    <row r="159" spans="1:14" ht="12.75">
      <c r="A159" s="499">
        <v>767</v>
      </c>
      <c r="B159" s="521" t="s">
        <v>194</v>
      </c>
      <c r="C159" s="499">
        <v>1700</v>
      </c>
      <c r="D159" s="500">
        <v>75</v>
      </c>
      <c r="E159" s="500">
        <v>75</v>
      </c>
      <c r="F159" s="501">
        <f t="shared" si="8"/>
        <v>75</v>
      </c>
      <c r="G159" s="501">
        <f t="shared" si="6"/>
        <v>767</v>
      </c>
      <c r="H159" s="502">
        <v>0</v>
      </c>
      <c r="I159" s="525">
        <v>116</v>
      </c>
      <c r="J159" s="523">
        <f t="shared" si="7"/>
        <v>1775</v>
      </c>
      <c r="K159" s="503">
        <v>150</v>
      </c>
      <c r="L159" s="499">
        <v>0</v>
      </c>
      <c r="M159" s="499">
        <v>0</v>
      </c>
      <c r="N159" s="524"/>
    </row>
    <row r="160" spans="1:14" ht="12.75">
      <c r="A160" s="26">
        <v>768</v>
      </c>
      <c r="B160" s="27" t="s">
        <v>195</v>
      </c>
      <c r="C160" s="26">
        <v>971</v>
      </c>
      <c r="D160" s="191">
        <v>170</v>
      </c>
      <c r="E160" s="191">
        <v>216</v>
      </c>
      <c r="F160" s="380">
        <f t="shared" si="8"/>
        <v>260</v>
      </c>
      <c r="G160" s="380">
        <f t="shared" si="6"/>
        <v>768</v>
      </c>
      <c r="H160" s="486">
        <v>0</v>
      </c>
      <c r="I160" s="486">
        <v>0</v>
      </c>
      <c r="J160" s="512">
        <f t="shared" si="7"/>
        <v>1187</v>
      </c>
      <c r="K160" s="28">
        <v>150</v>
      </c>
      <c r="L160" s="26">
        <v>0</v>
      </c>
      <c r="M160" s="26">
        <v>0</v>
      </c>
      <c r="N160" s="513"/>
    </row>
    <row r="161" spans="1:14" ht="12.75">
      <c r="A161" s="26">
        <v>769</v>
      </c>
      <c r="B161" s="27" t="s">
        <v>196</v>
      </c>
      <c r="C161" s="26">
        <v>2913</v>
      </c>
      <c r="D161" s="191">
        <v>0</v>
      </c>
      <c r="E161" s="191">
        <v>0</v>
      </c>
      <c r="F161" s="380">
        <f t="shared" si="8"/>
        <v>0</v>
      </c>
      <c r="G161" s="380">
        <f t="shared" si="6"/>
        <v>769</v>
      </c>
      <c r="H161" s="486">
        <v>0</v>
      </c>
      <c r="I161" s="486">
        <f>D161*0.09</f>
        <v>0</v>
      </c>
      <c r="J161" s="512">
        <f t="shared" si="7"/>
        <v>2913</v>
      </c>
      <c r="K161" s="28">
        <v>0</v>
      </c>
      <c r="L161" s="26">
        <v>0</v>
      </c>
      <c r="M161" s="26">
        <v>0</v>
      </c>
      <c r="N161" s="513"/>
    </row>
    <row r="162" spans="1:14" ht="12.75">
      <c r="A162" s="499">
        <v>770</v>
      </c>
      <c r="B162" s="521" t="s">
        <v>197</v>
      </c>
      <c r="C162" s="499">
        <v>2913</v>
      </c>
      <c r="D162" s="500">
        <v>0</v>
      </c>
      <c r="E162" s="500">
        <v>0</v>
      </c>
      <c r="F162" s="501">
        <f t="shared" si="8"/>
        <v>0</v>
      </c>
      <c r="G162" s="501">
        <f t="shared" si="6"/>
        <v>770</v>
      </c>
      <c r="H162" s="502">
        <v>0</v>
      </c>
      <c r="I162" s="522">
        <v>233</v>
      </c>
      <c r="J162" s="523">
        <f t="shared" si="7"/>
        <v>2913</v>
      </c>
      <c r="K162" s="503">
        <v>0</v>
      </c>
      <c r="L162" s="499">
        <v>0</v>
      </c>
      <c r="M162" s="499">
        <v>0</v>
      </c>
      <c r="N162" s="524"/>
    </row>
    <row r="163" spans="1:14" ht="12.75">
      <c r="A163" s="26">
        <v>771</v>
      </c>
      <c r="B163" s="27" t="s">
        <v>198</v>
      </c>
      <c r="C163" s="26">
        <v>971</v>
      </c>
      <c r="D163" s="191">
        <v>170</v>
      </c>
      <c r="E163" s="191">
        <v>216</v>
      </c>
      <c r="F163" s="380">
        <f t="shared" si="8"/>
        <v>260</v>
      </c>
      <c r="G163" s="380">
        <f t="shared" si="6"/>
        <v>771</v>
      </c>
      <c r="H163" s="486">
        <v>0</v>
      </c>
      <c r="I163" s="486">
        <v>0</v>
      </c>
      <c r="J163" s="512">
        <f t="shared" si="7"/>
        <v>1187</v>
      </c>
      <c r="K163" s="28">
        <v>0</v>
      </c>
      <c r="L163" s="26">
        <v>0</v>
      </c>
      <c r="M163" s="26">
        <v>620</v>
      </c>
      <c r="N163" s="513"/>
    </row>
    <row r="164" spans="1:14" ht="12.75">
      <c r="A164" s="26">
        <v>772</v>
      </c>
      <c r="B164" s="27" t="s">
        <v>199</v>
      </c>
      <c r="C164" s="26">
        <v>971</v>
      </c>
      <c r="D164" s="191">
        <v>170</v>
      </c>
      <c r="E164" s="191">
        <v>216</v>
      </c>
      <c r="F164" s="380">
        <f t="shared" si="8"/>
        <v>260</v>
      </c>
      <c r="G164" s="380">
        <f t="shared" si="6"/>
        <v>772</v>
      </c>
      <c r="H164" s="486">
        <v>0</v>
      </c>
      <c r="I164" s="486">
        <v>0</v>
      </c>
      <c r="J164" s="512">
        <f t="shared" si="7"/>
        <v>1187</v>
      </c>
      <c r="K164" s="28">
        <v>0</v>
      </c>
      <c r="L164" s="26">
        <v>0</v>
      </c>
      <c r="M164" s="26">
        <v>620</v>
      </c>
      <c r="N164" s="513"/>
    </row>
    <row r="165" spans="1:14" ht="12.75">
      <c r="A165" s="26">
        <v>773</v>
      </c>
      <c r="B165" s="27" t="s">
        <v>200</v>
      </c>
      <c r="C165" s="26">
        <v>1942</v>
      </c>
      <c r="D165" s="191">
        <v>43</v>
      </c>
      <c r="E165" s="191">
        <v>43</v>
      </c>
      <c r="F165" s="380">
        <f t="shared" si="8"/>
        <v>43</v>
      </c>
      <c r="G165" s="380">
        <f t="shared" si="6"/>
        <v>773</v>
      </c>
      <c r="H165" s="486">
        <v>0</v>
      </c>
      <c r="I165" s="486">
        <v>233</v>
      </c>
      <c r="J165" s="512">
        <f t="shared" si="7"/>
        <v>1985</v>
      </c>
      <c r="K165" s="28">
        <v>0</v>
      </c>
      <c r="L165" s="26">
        <v>0</v>
      </c>
      <c r="M165" s="26">
        <v>669</v>
      </c>
      <c r="N165" s="513"/>
    </row>
    <row r="166" spans="1:14" ht="12.75">
      <c r="A166" s="26">
        <v>774</v>
      </c>
      <c r="B166" s="27" t="s">
        <v>201</v>
      </c>
      <c r="C166" s="26">
        <v>1700</v>
      </c>
      <c r="D166" s="191">
        <v>75</v>
      </c>
      <c r="E166" s="191">
        <v>75</v>
      </c>
      <c r="F166" s="380">
        <f t="shared" si="8"/>
        <v>75</v>
      </c>
      <c r="G166" s="380">
        <f t="shared" si="6"/>
        <v>774</v>
      </c>
      <c r="H166" s="486">
        <v>0</v>
      </c>
      <c r="I166" s="486">
        <v>155</v>
      </c>
      <c r="J166" s="512">
        <f t="shared" si="7"/>
        <v>1775</v>
      </c>
      <c r="K166" s="28">
        <v>0</v>
      </c>
      <c r="L166" s="26">
        <v>0</v>
      </c>
      <c r="M166" s="26">
        <v>657</v>
      </c>
      <c r="N166" s="513"/>
    </row>
    <row r="167" spans="1:14" ht="12.75">
      <c r="A167" s="499">
        <v>775</v>
      </c>
      <c r="B167" s="521" t="s">
        <v>202</v>
      </c>
      <c r="C167" s="499">
        <v>1400</v>
      </c>
      <c r="D167" s="500">
        <v>114</v>
      </c>
      <c r="E167" s="500">
        <v>114</v>
      </c>
      <c r="F167" s="501">
        <f t="shared" si="8"/>
        <v>114</v>
      </c>
      <c r="G167" s="501">
        <f t="shared" si="6"/>
        <v>775</v>
      </c>
      <c r="H167" s="502">
        <v>0</v>
      </c>
      <c r="I167" s="525">
        <v>116</v>
      </c>
      <c r="J167" s="523">
        <f t="shared" si="7"/>
        <v>1514</v>
      </c>
      <c r="K167" s="503">
        <v>150</v>
      </c>
      <c r="L167" s="499">
        <v>0</v>
      </c>
      <c r="M167" s="499">
        <v>0</v>
      </c>
      <c r="N167" s="524"/>
    </row>
    <row r="168" spans="1:14" ht="12.75">
      <c r="A168" s="26">
        <v>776</v>
      </c>
      <c r="B168" s="27" t="s">
        <v>203</v>
      </c>
      <c r="C168" s="26">
        <v>971</v>
      </c>
      <c r="D168" s="191">
        <v>170</v>
      </c>
      <c r="E168" s="191">
        <v>216</v>
      </c>
      <c r="F168" s="380">
        <f t="shared" si="8"/>
        <v>260</v>
      </c>
      <c r="G168" s="380">
        <f t="shared" si="6"/>
        <v>776</v>
      </c>
      <c r="H168" s="486">
        <v>0</v>
      </c>
      <c r="I168" s="486">
        <v>0</v>
      </c>
      <c r="J168" s="512">
        <f t="shared" si="7"/>
        <v>1187</v>
      </c>
      <c r="K168" s="28">
        <v>0</v>
      </c>
      <c r="L168" s="26">
        <v>0</v>
      </c>
      <c r="M168" s="26">
        <v>0</v>
      </c>
      <c r="N168" s="513"/>
    </row>
    <row r="169" spans="1:14" ht="12.75">
      <c r="A169" s="26">
        <v>777</v>
      </c>
      <c r="B169" s="27" t="s">
        <v>204</v>
      </c>
      <c r="C169" s="26">
        <v>971</v>
      </c>
      <c r="D169" s="191">
        <v>170</v>
      </c>
      <c r="E169" s="191">
        <v>216</v>
      </c>
      <c r="F169" s="380">
        <f t="shared" si="8"/>
        <v>260</v>
      </c>
      <c r="G169" s="380">
        <f t="shared" si="6"/>
        <v>777</v>
      </c>
      <c r="H169" s="486">
        <v>0</v>
      </c>
      <c r="I169" s="486">
        <v>0</v>
      </c>
      <c r="J169" s="512">
        <f t="shared" si="7"/>
        <v>1187</v>
      </c>
      <c r="K169" s="28">
        <v>0</v>
      </c>
      <c r="L169" s="26">
        <v>0</v>
      </c>
      <c r="M169" s="26">
        <v>155</v>
      </c>
      <c r="N169" s="513"/>
    </row>
    <row r="170" spans="1:14" ht="12.75">
      <c r="A170" s="499">
        <v>778</v>
      </c>
      <c r="B170" s="521" t="s">
        <v>205</v>
      </c>
      <c r="C170" s="499">
        <v>1692</v>
      </c>
      <c r="D170" s="500">
        <v>76</v>
      </c>
      <c r="E170" s="500">
        <v>76</v>
      </c>
      <c r="F170" s="501">
        <f t="shared" si="8"/>
        <v>76</v>
      </c>
      <c r="G170" s="501">
        <f t="shared" si="6"/>
        <v>778</v>
      </c>
      <c r="H170" s="502">
        <v>0</v>
      </c>
      <c r="I170" s="525">
        <v>136</v>
      </c>
      <c r="J170" s="523">
        <f t="shared" si="7"/>
        <v>1768</v>
      </c>
      <c r="K170" s="503">
        <v>17</v>
      </c>
      <c r="L170" s="499">
        <v>0</v>
      </c>
      <c r="M170" s="499">
        <v>0</v>
      </c>
      <c r="N170" s="524"/>
    </row>
    <row r="171" spans="1:14" ht="12.75">
      <c r="A171" s="26">
        <v>779</v>
      </c>
      <c r="B171" s="29" t="s">
        <v>206</v>
      </c>
      <c r="C171" s="26">
        <v>853</v>
      </c>
      <c r="D171" s="191">
        <v>170</v>
      </c>
      <c r="E171" s="191">
        <v>216</v>
      </c>
      <c r="F171" s="380">
        <f t="shared" si="8"/>
        <v>260</v>
      </c>
      <c r="G171" s="380">
        <f t="shared" si="6"/>
        <v>779</v>
      </c>
      <c r="H171" s="486">
        <v>0</v>
      </c>
      <c r="I171" s="486">
        <v>0</v>
      </c>
      <c r="J171" s="512">
        <f t="shared" si="7"/>
        <v>1069</v>
      </c>
      <c r="K171" s="28">
        <v>0</v>
      </c>
      <c r="L171" s="26">
        <v>0</v>
      </c>
      <c r="M171" s="26">
        <v>0</v>
      </c>
      <c r="N171" s="513"/>
    </row>
    <row r="172" spans="1:14" ht="12.75">
      <c r="A172" s="26">
        <v>780</v>
      </c>
      <c r="B172" s="27" t="s">
        <v>207</v>
      </c>
      <c r="C172" s="26">
        <v>3146</v>
      </c>
      <c r="D172" s="191">
        <v>0</v>
      </c>
      <c r="E172" s="191">
        <v>0</v>
      </c>
      <c r="F172" s="380">
        <f t="shared" si="8"/>
        <v>0</v>
      </c>
      <c r="G172" s="380">
        <f t="shared" si="6"/>
        <v>780</v>
      </c>
      <c r="H172" s="486">
        <v>0</v>
      </c>
      <c r="I172" s="486">
        <f>D172*0.09</f>
        <v>0</v>
      </c>
      <c r="J172" s="512">
        <f t="shared" si="7"/>
        <v>3146</v>
      </c>
      <c r="K172" s="28">
        <v>0</v>
      </c>
      <c r="L172" s="26">
        <v>0</v>
      </c>
      <c r="M172" s="26">
        <v>0</v>
      </c>
      <c r="N172" s="513"/>
    </row>
    <row r="173" spans="1:14" ht="12.75">
      <c r="A173" s="26">
        <v>781</v>
      </c>
      <c r="B173" s="27" t="s">
        <v>208</v>
      </c>
      <c r="C173" s="26">
        <v>2288</v>
      </c>
      <c r="D173" s="191">
        <v>0</v>
      </c>
      <c r="E173" s="191">
        <v>0</v>
      </c>
      <c r="F173" s="380">
        <f t="shared" si="8"/>
        <v>0</v>
      </c>
      <c r="G173" s="380">
        <f t="shared" si="6"/>
        <v>781</v>
      </c>
      <c r="H173" s="486">
        <v>0</v>
      </c>
      <c r="I173" s="486">
        <f>D173*0.09</f>
        <v>0</v>
      </c>
      <c r="J173" s="512">
        <f t="shared" si="7"/>
        <v>2288</v>
      </c>
      <c r="K173" s="28">
        <v>0</v>
      </c>
      <c r="L173" s="26">
        <v>0</v>
      </c>
      <c r="M173" s="26">
        <v>0</v>
      </c>
      <c r="N173" s="513"/>
    </row>
    <row r="174" spans="1:14" ht="12.75">
      <c r="A174" s="26">
        <v>783</v>
      </c>
      <c r="B174" s="27" t="s">
        <v>209</v>
      </c>
      <c r="C174" s="26">
        <v>971</v>
      </c>
      <c r="D174" s="191">
        <v>170</v>
      </c>
      <c r="E174" s="191">
        <v>216</v>
      </c>
      <c r="F174" s="380">
        <f t="shared" si="8"/>
        <v>260</v>
      </c>
      <c r="G174" s="380">
        <f t="shared" si="6"/>
        <v>783</v>
      </c>
      <c r="H174" s="486">
        <v>0</v>
      </c>
      <c r="I174" s="486">
        <v>0</v>
      </c>
      <c r="J174" s="512">
        <f t="shared" si="7"/>
        <v>1187</v>
      </c>
      <c r="K174" s="28">
        <v>0</v>
      </c>
      <c r="L174" s="26">
        <v>0</v>
      </c>
      <c r="M174" s="26">
        <v>0</v>
      </c>
      <c r="N174" s="513"/>
    </row>
    <row r="175" spans="1:14" ht="12.75">
      <c r="A175" s="505">
        <v>784</v>
      </c>
      <c r="B175" s="506" t="s">
        <v>455</v>
      </c>
      <c r="C175" s="507">
        <v>1600</v>
      </c>
      <c r="D175" s="527">
        <v>88</v>
      </c>
      <c r="E175" s="527">
        <v>88</v>
      </c>
      <c r="F175" s="508">
        <v>88</v>
      </c>
      <c r="G175" s="508">
        <f t="shared" si="6"/>
        <v>784</v>
      </c>
      <c r="H175" s="508">
        <v>0</v>
      </c>
      <c r="I175" s="508">
        <v>116</v>
      </c>
      <c r="J175" s="528">
        <f t="shared" si="7"/>
        <v>1688</v>
      </c>
      <c r="K175" s="529">
        <v>0</v>
      </c>
      <c r="L175" s="505">
        <v>0</v>
      </c>
      <c r="M175" s="505">
        <v>0</v>
      </c>
      <c r="N175" s="534"/>
    </row>
    <row r="176" spans="1:14" ht="12.75">
      <c r="A176" s="507">
        <v>785</v>
      </c>
      <c r="B176" s="506" t="s">
        <v>456</v>
      </c>
      <c r="C176" s="507">
        <v>1782</v>
      </c>
      <c r="D176" s="527">
        <v>64</v>
      </c>
      <c r="E176" s="527">
        <v>64</v>
      </c>
      <c r="F176" s="508">
        <v>64</v>
      </c>
      <c r="G176" s="508">
        <f t="shared" si="6"/>
        <v>785</v>
      </c>
      <c r="H176" s="508"/>
      <c r="I176" s="508">
        <v>194</v>
      </c>
      <c r="J176" s="528">
        <f t="shared" si="7"/>
        <v>1846</v>
      </c>
      <c r="K176" s="529"/>
      <c r="L176" s="505"/>
      <c r="M176" s="505"/>
      <c r="N176" s="534"/>
    </row>
    <row r="177" spans="1:14" ht="12.75">
      <c r="A177" s="507">
        <v>787</v>
      </c>
      <c r="B177" s="506" t="s">
        <v>457</v>
      </c>
      <c r="C177" s="507">
        <v>1700</v>
      </c>
      <c r="D177" s="527">
        <v>75</v>
      </c>
      <c r="E177" s="527">
        <v>75</v>
      </c>
      <c r="F177" s="508">
        <v>75</v>
      </c>
      <c r="G177" s="508">
        <f t="shared" si="6"/>
        <v>787</v>
      </c>
      <c r="H177" s="508"/>
      <c r="I177" s="508">
        <v>116</v>
      </c>
      <c r="J177" s="528">
        <f t="shared" si="7"/>
        <v>1775</v>
      </c>
      <c r="K177" s="529"/>
      <c r="L177" s="505"/>
      <c r="M177" s="505"/>
      <c r="N177" s="534"/>
    </row>
    <row r="178" spans="1:14" ht="12.75">
      <c r="A178" s="26">
        <v>788</v>
      </c>
      <c r="B178" s="27" t="s">
        <v>210</v>
      </c>
      <c r="C178" s="26">
        <v>2000</v>
      </c>
      <c r="D178" s="191">
        <v>36</v>
      </c>
      <c r="E178" s="191">
        <v>36</v>
      </c>
      <c r="F178" s="380">
        <f t="shared" si="8"/>
        <v>36</v>
      </c>
      <c r="G178" s="380">
        <f t="shared" si="6"/>
        <v>788</v>
      </c>
      <c r="H178" s="486">
        <v>0</v>
      </c>
      <c r="I178" s="486">
        <v>0</v>
      </c>
      <c r="J178" s="512">
        <f t="shared" si="7"/>
        <v>2036</v>
      </c>
      <c r="K178" s="28">
        <v>0</v>
      </c>
      <c r="L178" s="26">
        <v>0</v>
      </c>
      <c r="M178" s="26">
        <v>0</v>
      </c>
      <c r="N178" s="513"/>
    </row>
    <row r="179" spans="1:14" ht="12.75">
      <c r="A179" s="26">
        <v>789</v>
      </c>
      <c r="B179" s="27" t="s">
        <v>211</v>
      </c>
      <c r="C179" s="26">
        <v>971</v>
      </c>
      <c r="D179" s="191">
        <v>170</v>
      </c>
      <c r="E179" s="191">
        <v>216</v>
      </c>
      <c r="F179" s="380">
        <f t="shared" si="8"/>
        <v>260</v>
      </c>
      <c r="G179" s="380">
        <f t="shared" si="6"/>
        <v>789</v>
      </c>
      <c r="H179" s="486">
        <v>0</v>
      </c>
      <c r="I179" s="486">
        <v>0</v>
      </c>
      <c r="J179" s="512">
        <f t="shared" si="7"/>
        <v>1187</v>
      </c>
      <c r="K179" s="28">
        <v>0</v>
      </c>
      <c r="L179" s="26">
        <v>0</v>
      </c>
      <c r="M179" s="26">
        <v>0</v>
      </c>
      <c r="N179" s="513"/>
    </row>
    <row r="180" spans="1:14" ht="12.75">
      <c r="A180" s="499">
        <v>791</v>
      </c>
      <c r="B180" s="521" t="s">
        <v>212</v>
      </c>
      <c r="C180" s="499">
        <v>2913</v>
      </c>
      <c r="D180" s="500">
        <v>0</v>
      </c>
      <c r="E180" s="500">
        <v>0</v>
      </c>
      <c r="F180" s="501">
        <f t="shared" si="8"/>
        <v>0</v>
      </c>
      <c r="G180" s="501">
        <f t="shared" si="6"/>
        <v>791</v>
      </c>
      <c r="H180" s="502">
        <v>0</v>
      </c>
      <c r="I180" s="522">
        <v>233</v>
      </c>
      <c r="J180" s="523">
        <f t="shared" si="7"/>
        <v>2913</v>
      </c>
      <c r="K180" s="503">
        <v>17</v>
      </c>
      <c r="L180" s="499">
        <v>0</v>
      </c>
      <c r="M180" s="499">
        <v>0</v>
      </c>
      <c r="N180" s="524"/>
    </row>
    <row r="181" spans="1:14" ht="12.75">
      <c r="A181" s="26">
        <v>792</v>
      </c>
      <c r="B181" s="27" t="s">
        <v>213</v>
      </c>
      <c r="C181" s="26">
        <v>2913</v>
      </c>
      <c r="D181" s="191">
        <v>0</v>
      </c>
      <c r="E181" s="191">
        <v>0</v>
      </c>
      <c r="F181" s="380">
        <f t="shared" si="8"/>
        <v>0</v>
      </c>
      <c r="G181" s="380">
        <f t="shared" si="6"/>
        <v>792</v>
      </c>
      <c r="H181" s="486">
        <v>0</v>
      </c>
      <c r="I181">
        <v>233</v>
      </c>
      <c r="J181" s="512">
        <f t="shared" si="7"/>
        <v>2913</v>
      </c>
      <c r="K181" s="28">
        <v>0</v>
      </c>
      <c r="L181" s="26">
        <v>0</v>
      </c>
      <c r="M181" s="26">
        <v>0</v>
      </c>
      <c r="N181" s="513"/>
    </row>
    <row r="182" spans="1:14" ht="12.75">
      <c r="A182" s="499">
        <v>793</v>
      </c>
      <c r="B182" s="521" t="s">
        <v>214</v>
      </c>
      <c r="C182" s="499">
        <v>2913</v>
      </c>
      <c r="D182" s="500">
        <v>0</v>
      </c>
      <c r="E182" s="500">
        <v>0</v>
      </c>
      <c r="F182" s="501">
        <f t="shared" si="8"/>
        <v>0</v>
      </c>
      <c r="G182" s="501">
        <f t="shared" si="6"/>
        <v>793</v>
      </c>
      <c r="H182" s="502">
        <v>0</v>
      </c>
      <c r="I182" s="522">
        <v>233</v>
      </c>
      <c r="J182" s="523">
        <f t="shared" si="7"/>
        <v>2913</v>
      </c>
      <c r="K182" s="503">
        <v>0</v>
      </c>
      <c r="L182" s="499">
        <v>0</v>
      </c>
      <c r="M182" s="499">
        <v>0</v>
      </c>
      <c r="N182" s="524"/>
    </row>
    <row r="183" spans="1:14" ht="12.75">
      <c r="A183" s="26">
        <v>794</v>
      </c>
      <c r="B183" s="27" t="s">
        <v>215</v>
      </c>
      <c r="C183" s="26">
        <v>1840</v>
      </c>
      <c r="D183" s="191">
        <v>57</v>
      </c>
      <c r="E183" s="191">
        <v>57</v>
      </c>
      <c r="F183" s="380">
        <f t="shared" si="8"/>
        <v>57</v>
      </c>
      <c r="G183" s="380">
        <f t="shared" si="6"/>
        <v>794</v>
      </c>
      <c r="H183" s="486">
        <v>0</v>
      </c>
      <c r="I183" s="486">
        <v>175</v>
      </c>
      <c r="J183" s="512">
        <f t="shared" si="7"/>
        <v>1897</v>
      </c>
      <c r="K183" s="28">
        <v>0</v>
      </c>
      <c r="L183" s="26">
        <v>0</v>
      </c>
      <c r="M183" s="26">
        <v>0</v>
      </c>
      <c r="N183" s="513"/>
    </row>
    <row r="184" spans="1:14" ht="12.75">
      <c r="A184" s="499">
        <v>795</v>
      </c>
      <c r="B184" s="521" t="s">
        <v>216</v>
      </c>
      <c r="C184" s="535">
        <v>1610</v>
      </c>
      <c r="D184" s="536">
        <v>107</v>
      </c>
      <c r="E184" s="536">
        <v>107</v>
      </c>
      <c r="F184" s="525">
        <f t="shared" si="8"/>
        <v>107</v>
      </c>
      <c r="G184" s="525">
        <f t="shared" si="6"/>
        <v>795</v>
      </c>
      <c r="H184" s="525">
        <v>0</v>
      </c>
      <c r="I184" s="525">
        <v>116</v>
      </c>
      <c r="J184" s="523">
        <f t="shared" si="7"/>
        <v>1717</v>
      </c>
      <c r="K184" s="503">
        <v>0</v>
      </c>
      <c r="L184" s="499">
        <v>0</v>
      </c>
      <c r="M184" s="499">
        <v>0</v>
      </c>
      <c r="N184" s="524"/>
    </row>
    <row r="185" spans="1:14" ht="12.75">
      <c r="A185" s="499">
        <v>796</v>
      </c>
      <c r="B185" s="521" t="s">
        <v>217</v>
      </c>
      <c r="C185" s="499">
        <v>1340</v>
      </c>
      <c r="D185" s="500">
        <v>122</v>
      </c>
      <c r="E185" s="500">
        <v>122</v>
      </c>
      <c r="F185" s="501">
        <f t="shared" si="8"/>
        <v>122</v>
      </c>
      <c r="G185" s="501">
        <f t="shared" si="6"/>
        <v>796</v>
      </c>
      <c r="H185" s="502">
        <v>0</v>
      </c>
      <c r="I185" s="525">
        <v>116</v>
      </c>
      <c r="J185" s="523">
        <f t="shared" si="7"/>
        <v>1462</v>
      </c>
      <c r="K185" s="503">
        <v>0</v>
      </c>
      <c r="L185" s="499">
        <v>0</v>
      </c>
      <c r="M185" s="499">
        <v>0</v>
      </c>
      <c r="N185" s="524"/>
    </row>
    <row r="186" spans="1:14" ht="12.75">
      <c r="A186" s="26">
        <v>797</v>
      </c>
      <c r="B186" s="27" t="s">
        <v>218</v>
      </c>
      <c r="C186" s="26">
        <v>1170</v>
      </c>
      <c r="D186" s="191">
        <v>144</v>
      </c>
      <c r="E186" s="191">
        <v>144</v>
      </c>
      <c r="F186" s="380">
        <f t="shared" si="8"/>
        <v>144</v>
      </c>
      <c r="G186" s="380">
        <f t="shared" si="6"/>
        <v>797</v>
      </c>
      <c r="H186" s="486">
        <v>0</v>
      </c>
      <c r="I186" s="486">
        <v>0</v>
      </c>
      <c r="J186" s="512">
        <f t="shared" si="7"/>
        <v>1314</v>
      </c>
      <c r="K186" s="28">
        <v>0</v>
      </c>
      <c r="L186" s="26">
        <v>0</v>
      </c>
      <c r="M186" s="26">
        <v>0</v>
      </c>
      <c r="N186" s="513"/>
    </row>
    <row r="187" spans="1:14" ht="12.75">
      <c r="A187" s="26">
        <v>798</v>
      </c>
      <c r="B187" s="27" t="s">
        <v>219</v>
      </c>
      <c r="C187" s="26">
        <v>961</v>
      </c>
      <c r="D187" s="191">
        <v>170</v>
      </c>
      <c r="E187" s="191">
        <v>216</v>
      </c>
      <c r="F187" s="380">
        <f t="shared" si="8"/>
        <v>260</v>
      </c>
      <c r="G187" s="380">
        <f t="shared" si="6"/>
        <v>798</v>
      </c>
      <c r="H187" s="486">
        <v>0</v>
      </c>
      <c r="I187" s="486">
        <v>0</v>
      </c>
      <c r="J187" s="512">
        <f t="shared" si="7"/>
        <v>1177</v>
      </c>
      <c r="K187" s="28">
        <v>0</v>
      </c>
      <c r="L187" s="26">
        <v>0</v>
      </c>
      <c r="M187" s="26">
        <v>0</v>
      </c>
      <c r="N187" s="513"/>
    </row>
    <row r="188" spans="1:14" ht="12.75">
      <c r="A188" s="499">
        <v>808</v>
      </c>
      <c r="B188" s="521" t="s">
        <v>220</v>
      </c>
      <c r="C188" s="499">
        <v>1942</v>
      </c>
      <c r="D188" s="500">
        <v>43</v>
      </c>
      <c r="E188" s="500">
        <v>43</v>
      </c>
      <c r="F188" s="501">
        <f t="shared" si="8"/>
        <v>43</v>
      </c>
      <c r="G188" s="501">
        <f t="shared" si="6"/>
        <v>808</v>
      </c>
      <c r="H188" s="502">
        <v>0</v>
      </c>
      <c r="I188" s="525">
        <v>116</v>
      </c>
      <c r="J188" s="523">
        <f t="shared" si="7"/>
        <v>1985</v>
      </c>
      <c r="K188" s="503">
        <v>0</v>
      </c>
      <c r="L188" s="499">
        <v>0</v>
      </c>
      <c r="M188" s="499">
        <v>669</v>
      </c>
      <c r="N188" s="524"/>
    </row>
    <row r="189" spans="1:14" ht="12.75">
      <c r="A189" s="499">
        <v>809</v>
      </c>
      <c r="B189" s="521" t="s">
        <v>221</v>
      </c>
      <c r="C189" s="499">
        <v>1782</v>
      </c>
      <c r="D189" s="500">
        <v>64</v>
      </c>
      <c r="E189" s="500">
        <v>64</v>
      </c>
      <c r="F189" s="501">
        <f t="shared" si="8"/>
        <v>64</v>
      </c>
      <c r="G189" s="501">
        <f t="shared" si="6"/>
        <v>809</v>
      </c>
      <c r="H189" s="502">
        <v>0</v>
      </c>
      <c r="I189" s="525">
        <v>116</v>
      </c>
      <c r="J189" s="523">
        <f t="shared" si="7"/>
        <v>1846</v>
      </c>
      <c r="K189" s="503">
        <v>0</v>
      </c>
      <c r="L189" s="499">
        <v>0</v>
      </c>
      <c r="M189" s="499">
        <v>669</v>
      </c>
      <c r="N189" s="524"/>
    </row>
    <row r="190" spans="1:14" ht="12.75">
      <c r="A190" s="499">
        <v>810</v>
      </c>
      <c r="B190" s="521" t="s">
        <v>222</v>
      </c>
      <c r="C190" s="499">
        <v>1692</v>
      </c>
      <c r="D190" s="500">
        <v>76</v>
      </c>
      <c r="E190" s="500">
        <v>76</v>
      </c>
      <c r="F190" s="501">
        <f t="shared" si="8"/>
        <v>76</v>
      </c>
      <c r="G190" s="501">
        <f t="shared" si="6"/>
        <v>810</v>
      </c>
      <c r="H190" s="502">
        <v>0</v>
      </c>
      <c r="I190" s="525">
        <v>116</v>
      </c>
      <c r="J190" s="523">
        <f t="shared" si="7"/>
        <v>1768</v>
      </c>
      <c r="K190" s="503">
        <v>0</v>
      </c>
      <c r="L190" s="499">
        <v>0</v>
      </c>
      <c r="M190" s="499">
        <v>663</v>
      </c>
      <c r="N190" s="524"/>
    </row>
    <row r="191" spans="1:14" ht="12.75">
      <c r="A191" s="499">
        <v>811</v>
      </c>
      <c r="B191" s="521" t="s">
        <v>223</v>
      </c>
      <c r="C191" s="499">
        <v>1592</v>
      </c>
      <c r="D191" s="500">
        <v>89</v>
      </c>
      <c r="E191" s="500">
        <v>89</v>
      </c>
      <c r="F191" s="501">
        <f t="shared" si="8"/>
        <v>89</v>
      </c>
      <c r="G191" s="501">
        <f t="shared" si="6"/>
        <v>811</v>
      </c>
      <c r="H191" s="502">
        <v>0</v>
      </c>
      <c r="I191" s="525">
        <v>116</v>
      </c>
      <c r="J191" s="523">
        <f t="shared" si="7"/>
        <v>1681</v>
      </c>
      <c r="K191" s="503">
        <v>0</v>
      </c>
      <c r="L191" s="499">
        <v>0</v>
      </c>
      <c r="M191" s="499">
        <v>657</v>
      </c>
      <c r="N191" s="524"/>
    </row>
    <row r="192" spans="1:14" ht="12.75">
      <c r="A192" s="499">
        <v>812</v>
      </c>
      <c r="B192" s="521" t="s">
        <v>224</v>
      </c>
      <c r="C192" s="499">
        <v>1600</v>
      </c>
      <c r="D192" s="500">
        <v>88</v>
      </c>
      <c r="E192" s="500">
        <v>88</v>
      </c>
      <c r="F192" s="501">
        <f t="shared" si="8"/>
        <v>88</v>
      </c>
      <c r="G192" s="501">
        <f t="shared" si="6"/>
        <v>812</v>
      </c>
      <c r="H192" s="502">
        <v>0</v>
      </c>
      <c r="I192" s="525">
        <v>116</v>
      </c>
      <c r="J192" s="523">
        <f t="shared" si="7"/>
        <v>1688</v>
      </c>
      <c r="K192" s="503">
        <v>0</v>
      </c>
      <c r="L192" s="499">
        <v>0</v>
      </c>
      <c r="M192" s="499">
        <v>657</v>
      </c>
      <c r="N192" s="524"/>
    </row>
    <row r="193" spans="1:14" ht="12.75">
      <c r="A193" s="26">
        <v>813</v>
      </c>
      <c r="B193" s="27" t="s">
        <v>225</v>
      </c>
      <c r="C193" s="26">
        <v>971</v>
      </c>
      <c r="D193" s="191">
        <v>170</v>
      </c>
      <c r="E193" s="191">
        <v>170</v>
      </c>
      <c r="F193" s="380">
        <v>170</v>
      </c>
      <c r="G193" s="380">
        <f t="shared" si="6"/>
        <v>813</v>
      </c>
      <c r="H193" s="486">
        <v>0</v>
      </c>
      <c r="I193" s="486">
        <v>0</v>
      </c>
      <c r="J193" s="512">
        <f t="shared" si="7"/>
        <v>1141</v>
      </c>
      <c r="K193" s="28">
        <v>0</v>
      </c>
      <c r="L193" s="26">
        <v>0</v>
      </c>
      <c r="M193" s="26">
        <v>620</v>
      </c>
      <c r="N193" s="513"/>
    </row>
    <row r="194" spans="1:14" ht="12.75">
      <c r="A194" s="26">
        <v>814</v>
      </c>
      <c r="B194" s="27" t="s">
        <v>226</v>
      </c>
      <c r="C194" s="26">
        <v>971</v>
      </c>
      <c r="D194" s="191">
        <v>170</v>
      </c>
      <c r="E194" s="191">
        <v>170</v>
      </c>
      <c r="F194" s="380">
        <f t="shared" si="8"/>
        <v>214</v>
      </c>
      <c r="G194" s="380">
        <f t="shared" si="6"/>
        <v>814</v>
      </c>
      <c r="H194" s="486">
        <v>0</v>
      </c>
      <c r="I194" s="486">
        <v>0</v>
      </c>
      <c r="J194" s="512">
        <f t="shared" si="7"/>
        <v>1141</v>
      </c>
      <c r="K194" s="28">
        <v>0</v>
      </c>
      <c r="L194" s="26">
        <v>0</v>
      </c>
      <c r="M194" s="26">
        <v>155</v>
      </c>
      <c r="N194" s="513"/>
    </row>
    <row r="195" spans="1:14" ht="12.75">
      <c r="A195" s="26">
        <v>815</v>
      </c>
      <c r="B195" s="27" t="s">
        <v>227</v>
      </c>
      <c r="C195" s="26">
        <v>971</v>
      </c>
      <c r="D195" s="191">
        <v>170</v>
      </c>
      <c r="E195" s="191">
        <v>170</v>
      </c>
      <c r="F195" s="380">
        <f t="shared" si="8"/>
        <v>214</v>
      </c>
      <c r="G195" s="380">
        <f t="shared" si="6"/>
        <v>815</v>
      </c>
      <c r="H195" s="486">
        <v>0</v>
      </c>
      <c r="I195" s="486">
        <v>0</v>
      </c>
      <c r="J195" s="512">
        <f t="shared" si="7"/>
        <v>1141</v>
      </c>
      <c r="K195" s="28">
        <v>17</v>
      </c>
      <c r="L195" s="26">
        <v>0</v>
      </c>
      <c r="M195" s="26">
        <v>0</v>
      </c>
      <c r="N195" s="513"/>
    </row>
    <row r="196" spans="1:14" ht="12.75">
      <c r="A196" s="499">
        <v>816</v>
      </c>
      <c r="B196" s="521" t="s">
        <v>228</v>
      </c>
      <c r="C196" s="499">
        <v>1600</v>
      </c>
      <c r="D196" s="500">
        <v>88</v>
      </c>
      <c r="E196" s="500">
        <v>88</v>
      </c>
      <c r="F196" s="501">
        <f t="shared" si="8"/>
        <v>88</v>
      </c>
      <c r="G196" s="501">
        <f t="shared" si="6"/>
        <v>816</v>
      </c>
      <c r="H196" s="502">
        <v>0</v>
      </c>
      <c r="I196" s="525">
        <v>116</v>
      </c>
      <c r="J196" s="523">
        <f t="shared" si="7"/>
        <v>1688</v>
      </c>
      <c r="K196" s="503">
        <v>17</v>
      </c>
      <c r="L196" s="499">
        <v>0</v>
      </c>
      <c r="M196" s="499">
        <v>0</v>
      </c>
      <c r="N196" s="524"/>
    </row>
    <row r="197" spans="1:14" ht="12.75">
      <c r="A197" s="26">
        <v>817</v>
      </c>
      <c r="B197" s="27" t="s">
        <v>229</v>
      </c>
      <c r="C197" s="26">
        <v>1782</v>
      </c>
      <c r="D197" s="191">
        <v>64</v>
      </c>
      <c r="E197" s="191">
        <v>64</v>
      </c>
      <c r="F197" s="380">
        <f t="shared" si="8"/>
        <v>64</v>
      </c>
      <c r="G197" s="380">
        <f aca="true" t="shared" si="9" ref="G197:G261">A197</f>
        <v>817</v>
      </c>
      <c r="H197" s="486">
        <v>0</v>
      </c>
      <c r="I197" s="486">
        <v>175</v>
      </c>
      <c r="J197" s="512">
        <f aca="true" t="shared" si="10" ref="J197:J261">C197+E197</f>
        <v>1846</v>
      </c>
      <c r="K197" s="28">
        <v>0</v>
      </c>
      <c r="L197" s="26">
        <v>0</v>
      </c>
      <c r="M197" s="26">
        <v>839</v>
      </c>
      <c r="N197" s="513"/>
    </row>
    <row r="198" spans="1:14" ht="12.75">
      <c r="A198" s="26">
        <v>818</v>
      </c>
      <c r="B198" s="27" t="s">
        <v>230</v>
      </c>
      <c r="C198" s="26">
        <v>971</v>
      </c>
      <c r="D198" s="191">
        <v>170</v>
      </c>
      <c r="E198" s="191">
        <v>170</v>
      </c>
      <c r="F198" s="380">
        <f aca="true" t="shared" si="11" ref="F198:F262">IF(C198&lt;972,E198+44,E198)</f>
        <v>214</v>
      </c>
      <c r="G198" s="380">
        <f t="shared" si="9"/>
        <v>818</v>
      </c>
      <c r="H198" s="486">
        <v>0</v>
      </c>
      <c r="I198" s="486">
        <v>0</v>
      </c>
      <c r="J198" s="512">
        <f t="shared" si="10"/>
        <v>1141</v>
      </c>
      <c r="K198" s="28">
        <v>0</v>
      </c>
      <c r="L198" s="26">
        <v>0</v>
      </c>
      <c r="M198" s="26">
        <v>659</v>
      </c>
      <c r="N198" s="513"/>
    </row>
    <row r="199" spans="1:14" ht="12.75">
      <c r="A199" s="26">
        <v>819</v>
      </c>
      <c r="B199" s="27" t="s">
        <v>231</v>
      </c>
      <c r="C199" s="26">
        <v>971</v>
      </c>
      <c r="D199" s="191">
        <v>170</v>
      </c>
      <c r="E199" s="191">
        <v>170</v>
      </c>
      <c r="F199" s="380">
        <f t="shared" si="11"/>
        <v>214</v>
      </c>
      <c r="G199" s="380">
        <f t="shared" si="9"/>
        <v>819</v>
      </c>
      <c r="H199" s="486">
        <v>0</v>
      </c>
      <c r="I199" s="486">
        <v>0</v>
      </c>
      <c r="J199" s="512">
        <f t="shared" si="10"/>
        <v>1141</v>
      </c>
      <c r="K199" s="28">
        <v>0</v>
      </c>
      <c r="L199" s="26">
        <v>0</v>
      </c>
      <c r="M199" s="26">
        <v>155</v>
      </c>
      <c r="N199" s="513"/>
    </row>
    <row r="200" spans="1:14" ht="12.75">
      <c r="A200" s="499">
        <v>820</v>
      </c>
      <c r="B200" s="521" t="s">
        <v>232</v>
      </c>
      <c r="C200" s="499">
        <v>1692</v>
      </c>
      <c r="D200" s="500">
        <v>76</v>
      </c>
      <c r="E200" s="500">
        <v>76</v>
      </c>
      <c r="F200" s="501">
        <f t="shared" si="11"/>
        <v>76</v>
      </c>
      <c r="G200" s="501">
        <f t="shared" si="9"/>
        <v>820</v>
      </c>
      <c r="H200" s="502">
        <v>0</v>
      </c>
      <c r="I200" s="525">
        <v>136</v>
      </c>
      <c r="J200" s="523">
        <f t="shared" si="10"/>
        <v>1768</v>
      </c>
      <c r="K200" s="503">
        <v>0</v>
      </c>
      <c r="L200" s="499">
        <v>0</v>
      </c>
      <c r="M200" s="499">
        <v>839</v>
      </c>
      <c r="N200" s="524"/>
    </row>
    <row r="201" spans="1:14" ht="12.75">
      <c r="A201" s="499">
        <v>821</v>
      </c>
      <c r="B201" s="521" t="s">
        <v>233</v>
      </c>
      <c r="C201" s="499">
        <v>1592</v>
      </c>
      <c r="D201" s="500">
        <v>89</v>
      </c>
      <c r="E201" s="500">
        <v>89</v>
      </c>
      <c r="F201" s="501">
        <f t="shared" si="11"/>
        <v>89</v>
      </c>
      <c r="G201" s="501">
        <f t="shared" si="9"/>
        <v>821</v>
      </c>
      <c r="H201" s="502">
        <v>0</v>
      </c>
      <c r="I201" s="525">
        <v>116</v>
      </c>
      <c r="J201" s="523">
        <f t="shared" si="10"/>
        <v>1681</v>
      </c>
      <c r="K201" s="503">
        <v>0</v>
      </c>
      <c r="L201" s="499">
        <v>0</v>
      </c>
      <c r="M201" s="499">
        <v>839</v>
      </c>
      <c r="N201" s="524"/>
    </row>
    <row r="202" spans="1:14" ht="12.75">
      <c r="A202" s="26">
        <v>822</v>
      </c>
      <c r="B202" s="27" t="s">
        <v>234</v>
      </c>
      <c r="C202" s="26">
        <v>971</v>
      </c>
      <c r="D202" s="191">
        <v>170</v>
      </c>
      <c r="E202" s="191">
        <v>216</v>
      </c>
      <c r="F202" s="380">
        <f t="shared" si="11"/>
        <v>260</v>
      </c>
      <c r="G202" s="380">
        <f t="shared" si="9"/>
        <v>822</v>
      </c>
      <c r="H202" s="486">
        <v>0</v>
      </c>
      <c r="I202" s="486">
        <v>0</v>
      </c>
      <c r="J202" s="512">
        <f t="shared" si="10"/>
        <v>1187</v>
      </c>
      <c r="K202" s="28">
        <v>0</v>
      </c>
      <c r="L202" s="26">
        <v>0</v>
      </c>
      <c r="M202" s="26">
        <v>155</v>
      </c>
      <c r="N202" s="513"/>
    </row>
    <row r="203" spans="1:14" ht="12.75">
      <c r="A203" s="499">
        <v>823</v>
      </c>
      <c r="B203" s="521" t="s">
        <v>235</v>
      </c>
      <c r="C203" s="499">
        <v>1700</v>
      </c>
      <c r="D203" s="500">
        <v>75</v>
      </c>
      <c r="E203" s="500">
        <v>75</v>
      </c>
      <c r="F203" s="501">
        <f t="shared" si="11"/>
        <v>75</v>
      </c>
      <c r="G203" s="501">
        <f t="shared" si="9"/>
        <v>823</v>
      </c>
      <c r="H203" s="502">
        <v>0</v>
      </c>
      <c r="I203" s="525">
        <v>116</v>
      </c>
      <c r="J203" s="523">
        <f t="shared" si="10"/>
        <v>1775</v>
      </c>
      <c r="K203" s="503">
        <v>0</v>
      </c>
      <c r="L203" s="499">
        <v>0</v>
      </c>
      <c r="M203" s="499">
        <v>657</v>
      </c>
      <c r="N203" s="524"/>
    </row>
    <row r="204" spans="1:14" ht="12.75">
      <c r="A204" s="499">
        <v>824</v>
      </c>
      <c r="B204" s="521" t="s">
        <v>236</v>
      </c>
      <c r="C204" s="499">
        <v>1400</v>
      </c>
      <c r="D204" s="500">
        <v>114</v>
      </c>
      <c r="E204" s="500">
        <v>114</v>
      </c>
      <c r="F204" s="501">
        <f t="shared" si="11"/>
        <v>114</v>
      </c>
      <c r="G204" s="501">
        <f t="shared" si="9"/>
        <v>824</v>
      </c>
      <c r="H204" s="502">
        <v>0</v>
      </c>
      <c r="I204" s="525">
        <v>116</v>
      </c>
      <c r="J204" s="523">
        <f t="shared" si="10"/>
        <v>1514</v>
      </c>
      <c r="K204" s="503">
        <v>0</v>
      </c>
      <c r="L204" s="499">
        <v>0</v>
      </c>
      <c r="M204" s="499">
        <v>657</v>
      </c>
      <c r="N204" s="524"/>
    </row>
    <row r="205" spans="1:14" ht="12.75">
      <c r="A205" s="499">
        <v>825</v>
      </c>
      <c r="B205" s="521" t="s">
        <v>237</v>
      </c>
      <c r="C205" s="499">
        <v>1300</v>
      </c>
      <c r="D205" s="500">
        <v>127</v>
      </c>
      <c r="E205" s="500">
        <v>127</v>
      </c>
      <c r="F205" s="501">
        <f t="shared" si="11"/>
        <v>127</v>
      </c>
      <c r="G205" s="501">
        <f t="shared" si="9"/>
        <v>825</v>
      </c>
      <c r="H205" s="502">
        <v>0</v>
      </c>
      <c r="I205" s="525">
        <v>116</v>
      </c>
      <c r="J205" s="523">
        <f t="shared" si="10"/>
        <v>1427</v>
      </c>
      <c r="K205" s="503">
        <v>0</v>
      </c>
      <c r="L205" s="499">
        <v>0</v>
      </c>
      <c r="M205" s="499">
        <v>657</v>
      </c>
      <c r="N205" s="524"/>
    </row>
    <row r="206" spans="1:14" ht="12.75">
      <c r="A206" s="499">
        <v>826</v>
      </c>
      <c r="B206" s="521" t="s">
        <v>238</v>
      </c>
      <c r="C206" s="499">
        <v>1250</v>
      </c>
      <c r="D206" s="500">
        <v>134</v>
      </c>
      <c r="E206" s="500">
        <v>134</v>
      </c>
      <c r="F206" s="501">
        <f t="shared" si="11"/>
        <v>134</v>
      </c>
      <c r="G206" s="501">
        <f t="shared" si="9"/>
        <v>826</v>
      </c>
      <c r="H206" s="502">
        <v>0</v>
      </c>
      <c r="I206" s="525">
        <v>116</v>
      </c>
      <c r="J206" s="523">
        <f t="shared" si="10"/>
        <v>1384</v>
      </c>
      <c r="K206" s="503">
        <v>0</v>
      </c>
      <c r="L206" s="499">
        <v>0</v>
      </c>
      <c r="M206" s="499">
        <v>657</v>
      </c>
      <c r="N206" s="524"/>
    </row>
    <row r="207" spans="1:14" ht="12.75">
      <c r="A207" s="505">
        <v>827</v>
      </c>
      <c r="B207" s="506" t="s">
        <v>464</v>
      </c>
      <c r="C207" s="507">
        <v>1942</v>
      </c>
      <c r="D207" s="527">
        <v>43</v>
      </c>
      <c r="E207" s="527">
        <v>43</v>
      </c>
      <c r="F207" s="508">
        <v>43</v>
      </c>
      <c r="G207" s="508">
        <f t="shared" si="9"/>
        <v>827</v>
      </c>
      <c r="H207" s="508">
        <v>0</v>
      </c>
      <c r="I207" s="508">
        <v>194</v>
      </c>
      <c r="J207" s="528">
        <f t="shared" si="10"/>
        <v>1985</v>
      </c>
      <c r="K207" s="529">
        <v>0</v>
      </c>
      <c r="L207" s="505">
        <v>0</v>
      </c>
      <c r="M207" s="505">
        <v>0</v>
      </c>
      <c r="N207" s="534"/>
    </row>
    <row r="208" spans="1:14" ht="12.75">
      <c r="A208" s="26">
        <v>828</v>
      </c>
      <c r="B208" s="27" t="s">
        <v>239</v>
      </c>
      <c r="C208" s="26">
        <v>2913</v>
      </c>
      <c r="D208" s="191">
        <v>0</v>
      </c>
      <c r="E208" s="191">
        <v>0</v>
      </c>
      <c r="F208" s="380">
        <f t="shared" si="11"/>
        <v>0</v>
      </c>
      <c r="G208" s="380">
        <f t="shared" si="9"/>
        <v>828</v>
      </c>
      <c r="H208" s="486">
        <v>0</v>
      </c>
      <c r="I208" s="486">
        <v>0</v>
      </c>
      <c r="J208" s="512">
        <f t="shared" si="10"/>
        <v>2913</v>
      </c>
      <c r="K208" s="28">
        <v>0</v>
      </c>
      <c r="L208" s="26">
        <v>0</v>
      </c>
      <c r="M208" s="26">
        <v>0</v>
      </c>
      <c r="N208" s="513"/>
    </row>
    <row r="209" spans="1:14" ht="12.75">
      <c r="A209" s="505">
        <v>829</v>
      </c>
      <c r="B209" s="506" t="s">
        <v>464</v>
      </c>
      <c r="C209" s="507">
        <v>1782</v>
      </c>
      <c r="D209" s="527">
        <v>64</v>
      </c>
      <c r="E209" s="527">
        <v>64</v>
      </c>
      <c r="F209" s="532">
        <v>64</v>
      </c>
      <c r="G209" s="532">
        <f t="shared" si="9"/>
        <v>829</v>
      </c>
      <c r="H209" s="533">
        <v>0</v>
      </c>
      <c r="I209" s="508">
        <v>175</v>
      </c>
      <c r="J209" s="528">
        <f t="shared" si="10"/>
        <v>1846</v>
      </c>
      <c r="K209" s="529">
        <v>0</v>
      </c>
      <c r="L209" s="505">
        <v>0</v>
      </c>
      <c r="M209" s="505">
        <v>0</v>
      </c>
      <c r="N209" s="534"/>
    </row>
    <row r="210" spans="1:14" ht="12.75">
      <c r="A210" s="26">
        <v>830</v>
      </c>
      <c r="B210" s="27" t="s">
        <v>240</v>
      </c>
      <c r="C210" s="26">
        <v>1740</v>
      </c>
      <c r="D210" s="191">
        <v>70</v>
      </c>
      <c r="E210" s="191">
        <v>70</v>
      </c>
      <c r="F210" s="380">
        <f t="shared" si="11"/>
        <v>70</v>
      </c>
      <c r="G210" s="380">
        <f t="shared" si="9"/>
        <v>830</v>
      </c>
      <c r="H210" s="486">
        <v>0</v>
      </c>
      <c r="I210" s="486">
        <v>0</v>
      </c>
      <c r="J210" s="512">
        <f t="shared" si="10"/>
        <v>1810</v>
      </c>
      <c r="K210" s="28">
        <v>0</v>
      </c>
      <c r="L210" s="26">
        <v>0</v>
      </c>
      <c r="M210" s="26">
        <v>0</v>
      </c>
      <c r="N210" s="513"/>
    </row>
    <row r="211" spans="1:14" ht="12.75">
      <c r="A211" s="26">
        <v>831</v>
      </c>
      <c r="B211" s="27" t="s">
        <v>241</v>
      </c>
      <c r="C211" s="26">
        <v>971</v>
      </c>
      <c r="D211" s="191">
        <v>170</v>
      </c>
      <c r="E211" s="191">
        <v>216</v>
      </c>
      <c r="F211" s="380">
        <f t="shared" si="11"/>
        <v>260</v>
      </c>
      <c r="G211" s="380">
        <f t="shared" si="9"/>
        <v>831</v>
      </c>
      <c r="H211" s="486">
        <v>0</v>
      </c>
      <c r="I211" s="486">
        <v>0</v>
      </c>
      <c r="J211" s="512">
        <f t="shared" si="10"/>
        <v>1187</v>
      </c>
      <c r="K211" s="28">
        <v>0</v>
      </c>
      <c r="L211" s="26">
        <v>0</v>
      </c>
      <c r="M211" s="26">
        <v>0</v>
      </c>
      <c r="N211" s="513"/>
    </row>
    <row r="212" spans="1:14" ht="12.75">
      <c r="A212" s="507">
        <v>832</v>
      </c>
      <c r="B212" s="506" t="s">
        <v>465</v>
      </c>
      <c r="C212" s="507">
        <v>1700</v>
      </c>
      <c r="D212" s="527">
        <v>0</v>
      </c>
      <c r="E212" s="527">
        <v>0</v>
      </c>
      <c r="F212" s="508">
        <f t="shared" si="11"/>
        <v>0</v>
      </c>
      <c r="G212" s="508">
        <f t="shared" si="9"/>
        <v>832</v>
      </c>
      <c r="H212" s="508">
        <v>0</v>
      </c>
      <c r="I212" s="508">
        <v>116</v>
      </c>
      <c r="J212" s="528">
        <f t="shared" si="10"/>
        <v>1700</v>
      </c>
      <c r="K212" s="529">
        <v>0</v>
      </c>
      <c r="L212" s="505">
        <v>0</v>
      </c>
      <c r="M212" s="505">
        <v>0</v>
      </c>
      <c r="N212" s="534"/>
    </row>
    <row r="213" spans="1:14" ht="12.75">
      <c r="A213" s="26">
        <v>833</v>
      </c>
      <c r="B213" s="27" t="s">
        <v>242</v>
      </c>
      <c r="C213" s="26">
        <v>971</v>
      </c>
      <c r="D213" s="191">
        <v>170</v>
      </c>
      <c r="E213" s="191">
        <v>216</v>
      </c>
      <c r="F213" s="380">
        <f t="shared" si="11"/>
        <v>260</v>
      </c>
      <c r="G213" s="380">
        <f t="shared" si="9"/>
        <v>833</v>
      </c>
      <c r="H213" s="486">
        <v>0</v>
      </c>
      <c r="I213" s="486">
        <v>0</v>
      </c>
      <c r="J213" s="512">
        <f t="shared" si="10"/>
        <v>1187</v>
      </c>
      <c r="K213" s="28">
        <v>0</v>
      </c>
      <c r="L213" s="26">
        <v>0</v>
      </c>
      <c r="M213" s="26">
        <v>155</v>
      </c>
      <c r="N213" s="513"/>
    </row>
    <row r="214" spans="1:14" ht="12.75">
      <c r="A214" s="26">
        <v>834</v>
      </c>
      <c r="B214" s="27" t="s">
        <v>243</v>
      </c>
      <c r="C214" s="26">
        <v>971</v>
      </c>
      <c r="D214" s="191">
        <v>170</v>
      </c>
      <c r="E214" s="191">
        <v>216</v>
      </c>
      <c r="F214" s="380">
        <f t="shared" si="11"/>
        <v>260</v>
      </c>
      <c r="G214" s="380">
        <f t="shared" si="9"/>
        <v>834</v>
      </c>
      <c r="H214" s="486">
        <v>0</v>
      </c>
      <c r="I214" s="486">
        <v>0</v>
      </c>
      <c r="J214" s="512">
        <f t="shared" si="10"/>
        <v>1187</v>
      </c>
      <c r="K214" s="28">
        <v>0</v>
      </c>
      <c r="L214" s="26">
        <v>0</v>
      </c>
      <c r="M214" s="26">
        <v>155</v>
      </c>
      <c r="N214" s="513"/>
    </row>
    <row r="215" spans="1:14" ht="12.75">
      <c r="A215" s="26">
        <v>835</v>
      </c>
      <c r="B215" s="27" t="s">
        <v>244</v>
      </c>
      <c r="C215" s="26">
        <v>971</v>
      </c>
      <c r="D215" s="191">
        <v>170</v>
      </c>
      <c r="E215" s="191">
        <v>216</v>
      </c>
      <c r="F215" s="380">
        <f t="shared" si="11"/>
        <v>260</v>
      </c>
      <c r="G215" s="380">
        <f t="shared" si="9"/>
        <v>835</v>
      </c>
      <c r="H215" s="486">
        <v>0</v>
      </c>
      <c r="I215" s="486">
        <v>0</v>
      </c>
      <c r="J215" s="512">
        <f t="shared" si="10"/>
        <v>1187</v>
      </c>
      <c r="K215" s="28">
        <v>0</v>
      </c>
      <c r="L215" s="26">
        <v>0</v>
      </c>
      <c r="M215" s="26">
        <v>0</v>
      </c>
      <c r="N215" s="513"/>
    </row>
    <row r="216" spans="1:14" ht="12.75">
      <c r="A216" s="26">
        <v>836</v>
      </c>
      <c r="B216" s="27" t="s">
        <v>245</v>
      </c>
      <c r="C216" s="26">
        <v>971</v>
      </c>
      <c r="D216" s="191">
        <v>170</v>
      </c>
      <c r="E216" s="191">
        <v>216</v>
      </c>
      <c r="F216" s="380">
        <f t="shared" si="11"/>
        <v>260</v>
      </c>
      <c r="G216" s="380">
        <f t="shared" si="9"/>
        <v>836</v>
      </c>
      <c r="H216" s="486">
        <v>0</v>
      </c>
      <c r="I216" s="486">
        <v>0</v>
      </c>
      <c r="J216" s="512">
        <f t="shared" si="10"/>
        <v>1187</v>
      </c>
      <c r="K216" s="28">
        <v>0</v>
      </c>
      <c r="L216" s="26">
        <v>0</v>
      </c>
      <c r="M216" s="26">
        <v>155</v>
      </c>
      <c r="N216" s="513"/>
    </row>
    <row r="217" spans="1:14" ht="12.75">
      <c r="A217" s="26">
        <v>837</v>
      </c>
      <c r="B217" s="27" t="s">
        <v>246</v>
      </c>
      <c r="C217" s="26">
        <v>971</v>
      </c>
      <c r="D217" s="191">
        <v>170</v>
      </c>
      <c r="E217" s="191">
        <v>216</v>
      </c>
      <c r="F217" s="380">
        <f t="shared" si="11"/>
        <v>260</v>
      </c>
      <c r="G217" s="380">
        <f t="shared" si="9"/>
        <v>837</v>
      </c>
      <c r="H217" s="486">
        <v>0</v>
      </c>
      <c r="I217" s="486">
        <v>0</v>
      </c>
      <c r="J217" s="512">
        <f t="shared" si="10"/>
        <v>1187</v>
      </c>
      <c r="K217" s="28">
        <v>0</v>
      </c>
      <c r="L217" s="26">
        <v>0</v>
      </c>
      <c r="M217" s="26">
        <v>155</v>
      </c>
      <c r="N217" s="513"/>
    </row>
    <row r="218" spans="1:14" ht="12.75">
      <c r="A218" s="26">
        <v>839</v>
      </c>
      <c r="B218" s="27" t="s">
        <v>247</v>
      </c>
      <c r="C218" s="26">
        <v>971</v>
      </c>
      <c r="D218" s="191">
        <v>170</v>
      </c>
      <c r="E218" s="191">
        <v>216</v>
      </c>
      <c r="F218" s="380">
        <f t="shared" si="11"/>
        <v>260</v>
      </c>
      <c r="G218" s="380">
        <f t="shared" si="9"/>
        <v>839</v>
      </c>
      <c r="H218" s="486">
        <v>0</v>
      </c>
      <c r="I218" s="486">
        <v>0</v>
      </c>
      <c r="J218" s="512">
        <f t="shared" si="10"/>
        <v>1187</v>
      </c>
      <c r="K218" s="28">
        <v>0</v>
      </c>
      <c r="L218" s="26">
        <v>0</v>
      </c>
      <c r="M218" s="26">
        <v>155</v>
      </c>
      <c r="N218" s="513"/>
    </row>
    <row r="219" spans="1:14" ht="12.75">
      <c r="A219" s="26">
        <v>840</v>
      </c>
      <c r="B219" s="27" t="s">
        <v>248</v>
      </c>
      <c r="C219" s="26">
        <v>971</v>
      </c>
      <c r="D219" s="191">
        <v>170</v>
      </c>
      <c r="E219" s="191">
        <v>216</v>
      </c>
      <c r="F219" s="380">
        <f t="shared" si="11"/>
        <v>260</v>
      </c>
      <c r="G219" s="380">
        <f t="shared" si="9"/>
        <v>840</v>
      </c>
      <c r="H219" s="486">
        <v>0</v>
      </c>
      <c r="I219" s="486">
        <v>0</v>
      </c>
      <c r="J219" s="512">
        <f t="shared" si="10"/>
        <v>1187</v>
      </c>
      <c r="K219" s="28">
        <v>0</v>
      </c>
      <c r="L219" s="26">
        <v>0</v>
      </c>
      <c r="M219" s="26">
        <v>155</v>
      </c>
      <c r="N219" s="513"/>
    </row>
    <row r="220" spans="1:14" ht="12.75">
      <c r="A220" s="507">
        <v>841</v>
      </c>
      <c r="B220" s="506" t="s">
        <v>466</v>
      </c>
      <c r="C220" s="507">
        <v>1300</v>
      </c>
      <c r="D220" s="527">
        <v>127</v>
      </c>
      <c r="E220" s="527">
        <v>127</v>
      </c>
      <c r="F220" s="508">
        <v>127</v>
      </c>
      <c r="G220" s="508">
        <f t="shared" si="9"/>
        <v>841</v>
      </c>
      <c r="H220" s="508"/>
      <c r="I220" s="508">
        <v>116</v>
      </c>
      <c r="J220" s="537">
        <f t="shared" si="10"/>
        <v>1427</v>
      </c>
      <c r="K220" s="538"/>
      <c r="L220" s="507"/>
      <c r="M220" s="507"/>
      <c r="N220" s="539"/>
    </row>
    <row r="221" spans="1:14" ht="12.75">
      <c r="A221" s="499">
        <v>842</v>
      </c>
      <c r="B221" s="521" t="s">
        <v>249</v>
      </c>
      <c r="C221" s="499">
        <v>1500</v>
      </c>
      <c r="D221" s="500">
        <v>101</v>
      </c>
      <c r="E221" s="500">
        <v>101</v>
      </c>
      <c r="F221" s="501">
        <f t="shared" si="11"/>
        <v>101</v>
      </c>
      <c r="G221" s="501">
        <f t="shared" si="9"/>
        <v>842</v>
      </c>
      <c r="H221" s="502">
        <v>0</v>
      </c>
      <c r="I221" s="525">
        <v>194</v>
      </c>
      <c r="J221" s="523">
        <f t="shared" si="10"/>
        <v>1601</v>
      </c>
      <c r="K221" s="503">
        <v>0</v>
      </c>
      <c r="L221" s="499">
        <v>0</v>
      </c>
      <c r="M221" s="499">
        <v>0</v>
      </c>
      <c r="N221" s="524"/>
    </row>
    <row r="222" spans="1:14" ht="12.75">
      <c r="A222" s="499">
        <v>843</v>
      </c>
      <c r="B222" s="521" t="s">
        <v>250</v>
      </c>
      <c r="C222" s="499">
        <v>1250</v>
      </c>
      <c r="D222" s="500">
        <v>134</v>
      </c>
      <c r="E222" s="500">
        <v>134</v>
      </c>
      <c r="F222" s="501">
        <f t="shared" si="11"/>
        <v>134</v>
      </c>
      <c r="G222" s="501">
        <f t="shared" si="9"/>
        <v>843</v>
      </c>
      <c r="H222" s="502">
        <v>0</v>
      </c>
      <c r="I222" s="525">
        <v>116</v>
      </c>
      <c r="J222" s="523">
        <f t="shared" si="10"/>
        <v>1384</v>
      </c>
      <c r="K222" s="503">
        <v>0</v>
      </c>
      <c r="L222" s="499">
        <v>0</v>
      </c>
      <c r="M222" s="499">
        <v>0</v>
      </c>
      <c r="N222" s="524"/>
    </row>
    <row r="223" spans="1:14" ht="12.75">
      <c r="A223" s="26">
        <v>844</v>
      </c>
      <c r="B223" s="27" t="s">
        <v>251</v>
      </c>
      <c r="C223" s="26">
        <v>1660</v>
      </c>
      <c r="D223" s="191">
        <v>80</v>
      </c>
      <c r="E223" s="191">
        <v>80</v>
      </c>
      <c r="F223" s="380">
        <f t="shared" si="11"/>
        <v>80</v>
      </c>
      <c r="G223" s="380">
        <f t="shared" si="9"/>
        <v>844</v>
      </c>
      <c r="H223" s="486">
        <v>0</v>
      </c>
      <c r="I223" s="486">
        <v>0</v>
      </c>
      <c r="J223" s="512">
        <f t="shared" si="10"/>
        <v>1740</v>
      </c>
      <c r="K223" s="28">
        <v>0</v>
      </c>
      <c r="L223" s="26">
        <v>0</v>
      </c>
      <c r="M223" s="26">
        <v>0</v>
      </c>
      <c r="N223" s="513"/>
    </row>
    <row r="224" spans="1:14" ht="12.75">
      <c r="A224" s="26">
        <v>849</v>
      </c>
      <c r="B224" s="27" t="s">
        <v>252</v>
      </c>
      <c r="C224" s="26">
        <v>971</v>
      </c>
      <c r="D224" s="191">
        <v>170</v>
      </c>
      <c r="E224" s="191">
        <v>216</v>
      </c>
      <c r="F224" s="380">
        <f t="shared" si="11"/>
        <v>260</v>
      </c>
      <c r="G224" s="380">
        <f t="shared" si="9"/>
        <v>849</v>
      </c>
      <c r="H224" s="486">
        <v>0</v>
      </c>
      <c r="I224" s="486">
        <v>0</v>
      </c>
      <c r="J224" s="512">
        <f t="shared" si="10"/>
        <v>1187</v>
      </c>
      <c r="K224" s="28">
        <v>0</v>
      </c>
      <c r="L224" s="26">
        <v>0</v>
      </c>
      <c r="M224" s="26">
        <v>0</v>
      </c>
      <c r="N224" s="513"/>
    </row>
    <row r="225" spans="1:14" ht="12.75">
      <c r="A225" s="26">
        <v>900</v>
      </c>
      <c r="B225" s="27" t="s">
        <v>253</v>
      </c>
      <c r="C225" s="26">
        <v>3146</v>
      </c>
      <c r="D225" s="191">
        <v>0</v>
      </c>
      <c r="E225" s="191">
        <v>0</v>
      </c>
      <c r="F225" s="380">
        <f t="shared" si="11"/>
        <v>0</v>
      </c>
      <c r="G225" s="380">
        <f t="shared" si="9"/>
        <v>900</v>
      </c>
      <c r="H225" s="486">
        <v>0</v>
      </c>
      <c r="I225" s="486">
        <v>0</v>
      </c>
      <c r="J225" s="512">
        <f t="shared" si="10"/>
        <v>3146</v>
      </c>
      <c r="K225" s="28">
        <v>0</v>
      </c>
      <c r="L225" s="26">
        <v>0</v>
      </c>
      <c r="M225" s="26">
        <v>0</v>
      </c>
      <c r="N225" s="513"/>
    </row>
    <row r="226" spans="1:14" ht="12.75">
      <c r="A226" s="26">
        <v>901</v>
      </c>
      <c r="B226" s="27" t="s">
        <v>254</v>
      </c>
      <c r="C226" s="26">
        <v>2913</v>
      </c>
      <c r="D226" s="191">
        <v>0</v>
      </c>
      <c r="E226" s="191">
        <v>0</v>
      </c>
      <c r="F226" s="380">
        <f t="shared" si="11"/>
        <v>0</v>
      </c>
      <c r="G226" s="380">
        <f t="shared" si="9"/>
        <v>901</v>
      </c>
      <c r="H226" s="486">
        <v>0</v>
      </c>
      <c r="I226" s="486">
        <v>0</v>
      </c>
      <c r="J226" s="512">
        <f t="shared" si="10"/>
        <v>2913</v>
      </c>
      <c r="K226" s="28">
        <v>0</v>
      </c>
      <c r="L226" s="26">
        <v>0</v>
      </c>
      <c r="M226" s="26">
        <v>0</v>
      </c>
      <c r="N226" s="513"/>
    </row>
    <row r="227" spans="1:14" ht="12.75">
      <c r="A227" s="26">
        <v>902</v>
      </c>
      <c r="B227" s="27" t="s">
        <v>255</v>
      </c>
      <c r="C227" s="26">
        <v>2913</v>
      </c>
      <c r="D227" s="191">
        <v>0</v>
      </c>
      <c r="E227" s="191">
        <v>0</v>
      </c>
      <c r="F227" s="380">
        <f t="shared" si="11"/>
        <v>0</v>
      </c>
      <c r="G227" s="380">
        <f t="shared" si="9"/>
        <v>902</v>
      </c>
      <c r="H227" s="486">
        <v>0</v>
      </c>
      <c r="I227">
        <v>233</v>
      </c>
      <c r="J227" s="512">
        <f t="shared" si="10"/>
        <v>2913</v>
      </c>
      <c r="K227" s="28">
        <v>20</v>
      </c>
      <c r="L227" s="26">
        <v>0</v>
      </c>
      <c r="M227" s="26">
        <v>0</v>
      </c>
      <c r="N227" s="513"/>
    </row>
    <row r="228" spans="1:14" ht="12.75">
      <c r="A228" s="26">
        <v>903</v>
      </c>
      <c r="B228" s="27" t="s">
        <v>256</v>
      </c>
      <c r="C228" s="26">
        <v>2913</v>
      </c>
      <c r="D228" s="191">
        <v>0</v>
      </c>
      <c r="E228" s="191">
        <v>0</v>
      </c>
      <c r="F228" s="380">
        <f t="shared" si="11"/>
        <v>0</v>
      </c>
      <c r="G228" s="380">
        <f t="shared" si="9"/>
        <v>903</v>
      </c>
      <c r="H228" s="486">
        <v>0</v>
      </c>
      <c r="I228">
        <v>233</v>
      </c>
      <c r="J228" s="512">
        <f t="shared" si="10"/>
        <v>2913</v>
      </c>
      <c r="K228" s="28">
        <v>0</v>
      </c>
      <c r="L228" s="26">
        <v>0</v>
      </c>
      <c r="M228" s="26">
        <v>0</v>
      </c>
      <c r="N228" s="513"/>
    </row>
    <row r="229" spans="1:14" ht="12.75">
      <c r="A229" s="26">
        <v>904</v>
      </c>
      <c r="B229" s="27" t="s">
        <v>257</v>
      </c>
      <c r="C229" s="26">
        <v>2100</v>
      </c>
      <c r="D229" s="191">
        <v>23</v>
      </c>
      <c r="E229" s="191">
        <v>23</v>
      </c>
      <c r="F229" s="380">
        <f t="shared" si="11"/>
        <v>23</v>
      </c>
      <c r="G229" s="380">
        <f t="shared" si="9"/>
        <v>904</v>
      </c>
      <c r="H229" s="486">
        <v>0</v>
      </c>
      <c r="I229" s="486">
        <v>0</v>
      </c>
      <c r="J229" s="512">
        <f t="shared" si="10"/>
        <v>2123</v>
      </c>
      <c r="K229" s="28">
        <v>0</v>
      </c>
      <c r="L229" s="26">
        <v>0</v>
      </c>
      <c r="M229" s="26">
        <v>0</v>
      </c>
      <c r="N229" s="513"/>
    </row>
    <row r="230" spans="1:14" ht="12.75">
      <c r="A230" s="26">
        <v>905</v>
      </c>
      <c r="B230" s="27" t="s">
        <v>258</v>
      </c>
      <c r="C230" s="26">
        <v>1800</v>
      </c>
      <c r="D230" s="191">
        <v>62</v>
      </c>
      <c r="E230" s="191">
        <v>62</v>
      </c>
      <c r="F230" s="380">
        <f t="shared" si="11"/>
        <v>62</v>
      </c>
      <c r="G230" s="380">
        <f t="shared" si="9"/>
        <v>905</v>
      </c>
      <c r="H230" s="486">
        <v>0</v>
      </c>
      <c r="I230" s="486">
        <v>0</v>
      </c>
      <c r="J230" s="512">
        <f t="shared" si="10"/>
        <v>1862</v>
      </c>
      <c r="K230" s="28">
        <v>0</v>
      </c>
      <c r="L230" s="26">
        <v>0</v>
      </c>
      <c r="M230" s="26">
        <v>0</v>
      </c>
      <c r="N230" s="513"/>
    </row>
    <row r="231" spans="1:14" ht="12.75">
      <c r="A231" s="26">
        <v>906</v>
      </c>
      <c r="B231" s="27" t="s">
        <v>259</v>
      </c>
      <c r="C231" s="26">
        <v>1942</v>
      </c>
      <c r="D231" s="191">
        <v>43</v>
      </c>
      <c r="E231" s="191">
        <v>43</v>
      </c>
      <c r="F231" s="380">
        <f t="shared" si="11"/>
        <v>43</v>
      </c>
      <c r="G231" s="380">
        <f t="shared" si="9"/>
        <v>906</v>
      </c>
      <c r="H231" s="486">
        <v>0</v>
      </c>
      <c r="I231" s="486">
        <v>194</v>
      </c>
      <c r="J231" s="512">
        <f t="shared" si="10"/>
        <v>1985</v>
      </c>
      <c r="K231" s="28">
        <v>0</v>
      </c>
      <c r="L231" s="26">
        <v>0</v>
      </c>
      <c r="M231" s="26">
        <v>0</v>
      </c>
      <c r="N231" s="526">
        <v>782</v>
      </c>
    </row>
    <row r="232" spans="1:14" ht="12.75">
      <c r="A232" s="26">
        <v>907</v>
      </c>
      <c r="B232" s="27" t="s">
        <v>260</v>
      </c>
      <c r="C232" s="26">
        <v>1782</v>
      </c>
      <c r="D232" s="191">
        <v>64</v>
      </c>
      <c r="E232" s="191">
        <v>64</v>
      </c>
      <c r="F232" s="380">
        <f t="shared" si="11"/>
        <v>64</v>
      </c>
      <c r="G232" s="380">
        <f t="shared" si="9"/>
        <v>907</v>
      </c>
      <c r="H232" s="486">
        <v>0</v>
      </c>
      <c r="I232" s="486">
        <v>175</v>
      </c>
      <c r="J232" s="512">
        <f t="shared" si="10"/>
        <v>1846</v>
      </c>
      <c r="K232" s="28">
        <v>0</v>
      </c>
      <c r="L232" s="26">
        <v>0</v>
      </c>
      <c r="M232" s="26">
        <v>0</v>
      </c>
      <c r="N232" s="526">
        <v>782</v>
      </c>
    </row>
    <row r="233" spans="1:14" ht="12.75">
      <c r="A233" s="26">
        <v>908</v>
      </c>
      <c r="B233" s="27" t="s">
        <v>261</v>
      </c>
      <c r="C233" s="26">
        <v>1692</v>
      </c>
      <c r="D233" s="191">
        <v>76</v>
      </c>
      <c r="E233" s="191">
        <v>76</v>
      </c>
      <c r="F233" s="380">
        <f t="shared" si="11"/>
        <v>76</v>
      </c>
      <c r="G233" s="380">
        <f t="shared" si="9"/>
        <v>908</v>
      </c>
      <c r="H233" s="486">
        <v>0</v>
      </c>
      <c r="I233" s="488">
        <v>136</v>
      </c>
      <c r="J233" s="512">
        <f t="shared" si="10"/>
        <v>1768</v>
      </c>
      <c r="K233" s="28">
        <v>0</v>
      </c>
      <c r="L233" s="26">
        <v>0</v>
      </c>
      <c r="M233" s="26">
        <v>0</v>
      </c>
      <c r="N233" s="513"/>
    </row>
    <row r="234" spans="1:14" ht="12.75">
      <c r="A234" s="26">
        <v>909</v>
      </c>
      <c r="B234" s="27" t="s">
        <v>262</v>
      </c>
      <c r="C234" s="26">
        <v>1592</v>
      </c>
      <c r="D234" s="191">
        <v>89</v>
      </c>
      <c r="E234" s="191">
        <v>89</v>
      </c>
      <c r="F234" s="380">
        <f t="shared" si="11"/>
        <v>89</v>
      </c>
      <c r="G234" s="380">
        <f t="shared" si="9"/>
        <v>909</v>
      </c>
      <c r="H234" s="486">
        <v>0</v>
      </c>
      <c r="I234" s="486">
        <v>0</v>
      </c>
      <c r="J234" s="512">
        <f t="shared" si="10"/>
        <v>1681</v>
      </c>
      <c r="K234" s="28">
        <v>0</v>
      </c>
      <c r="L234" s="26">
        <v>0</v>
      </c>
      <c r="M234" s="26">
        <v>0</v>
      </c>
      <c r="N234" s="513"/>
    </row>
    <row r="235" spans="1:14" ht="12.75">
      <c r="A235" s="26">
        <v>910</v>
      </c>
      <c r="B235" s="27" t="s">
        <v>150</v>
      </c>
      <c r="C235" s="26">
        <v>1942</v>
      </c>
      <c r="D235" s="191">
        <v>43</v>
      </c>
      <c r="E235" s="191">
        <v>43</v>
      </c>
      <c r="F235" s="380">
        <f t="shared" si="11"/>
        <v>43</v>
      </c>
      <c r="G235" s="380">
        <f t="shared" si="9"/>
        <v>910</v>
      </c>
      <c r="H235" s="486">
        <v>0</v>
      </c>
      <c r="I235" s="486">
        <v>194</v>
      </c>
      <c r="J235" s="512">
        <f t="shared" si="10"/>
        <v>1985</v>
      </c>
      <c r="K235" s="28">
        <v>150</v>
      </c>
      <c r="L235" s="26">
        <v>0</v>
      </c>
      <c r="M235" s="26">
        <v>0</v>
      </c>
      <c r="N235" s="513"/>
    </row>
    <row r="236" spans="1:14" ht="12.75">
      <c r="A236" s="26">
        <v>911</v>
      </c>
      <c r="B236" s="27" t="s">
        <v>160</v>
      </c>
      <c r="C236" s="26">
        <v>1592</v>
      </c>
      <c r="D236" s="191">
        <v>89</v>
      </c>
      <c r="E236" s="191">
        <v>89</v>
      </c>
      <c r="F236" s="380">
        <f t="shared" si="11"/>
        <v>89</v>
      </c>
      <c r="G236" s="380">
        <f t="shared" si="9"/>
        <v>911</v>
      </c>
      <c r="H236" s="486">
        <v>0</v>
      </c>
      <c r="I236" s="486">
        <v>136</v>
      </c>
      <c r="J236" s="512">
        <f t="shared" si="10"/>
        <v>1681</v>
      </c>
      <c r="K236" s="28">
        <v>0</v>
      </c>
      <c r="L236" s="26">
        <v>0</v>
      </c>
      <c r="M236" s="26">
        <v>0</v>
      </c>
      <c r="N236" s="513"/>
    </row>
    <row r="237" spans="1:14" ht="12.75">
      <c r="A237" s="26">
        <v>912</v>
      </c>
      <c r="B237" s="27" t="s">
        <v>263</v>
      </c>
      <c r="C237" s="26">
        <v>1782</v>
      </c>
      <c r="D237" s="191">
        <v>64</v>
      </c>
      <c r="E237" s="191">
        <v>64</v>
      </c>
      <c r="F237" s="380">
        <f t="shared" si="11"/>
        <v>64</v>
      </c>
      <c r="G237" s="380">
        <f t="shared" si="9"/>
        <v>912</v>
      </c>
      <c r="H237" s="486">
        <v>0</v>
      </c>
      <c r="I237" s="486">
        <v>175</v>
      </c>
      <c r="J237" s="512">
        <f t="shared" si="10"/>
        <v>1846</v>
      </c>
      <c r="K237" s="28">
        <v>17</v>
      </c>
      <c r="L237" s="26">
        <v>0</v>
      </c>
      <c r="M237" s="26">
        <v>0</v>
      </c>
      <c r="N237" s="513"/>
    </row>
    <row r="238" spans="1:14" ht="12.75">
      <c r="A238" s="26">
        <v>913</v>
      </c>
      <c r="B238" s="27" t="s">
        <v>264</v>
      </c>
      <c r="C238" s="26">
        <v>1700</v>
      </c>
      <c r="D238" s="191">
        <v>75</v>
      </c>
      <c r="E238" s="191">
        <v>75</v>
      </c>
      <c r="F238" s="380">
        <f t="shared" si="11"/>
        <v>75</v>
      </c>
      <c r="G238" s="380">
        <f t="shared" si="9"/>
        <v>913</v>
      </c>
      <c r="H238" s="486">
        <v>0</v>
      </c>
      <c r="I238" s="486">
        <v>155</v>
      </c>
      <c r="J238" s="512">
        <f t="shared" si="10"/>
        <v>1775</v>
      </c>
      <c r="K238" s="28">
        <v>0</v>
      </c>
      <c r="L238" s="26">
        <v>0</v>
      </c>
      <c r="M238" s="26">
        <v>0</v>
      </c>
      <c r="N238" s="526">
        <v>769</v>
      </c>
    </row>
    <row r="239" spans="1:14" ht="12.75">
      <c r="A239" s="26">
        <v>914</v>
      </c>
      <c r="B239" s="27" t="s">
        <v>265</v>
      </c>
      <c r="C239" s="26">
        <v>1600</v>
      </c>
      <c r="D239" s="191">
        <v>88</v>
      </c>
      <c r="E239" s="191">
        <v>88</v>
      </c>
      <c r="F239" s="380">
        <f t="shared" si="11"/>
        <v>88</v>
      </c>
      <c r="G239" s="380">
        <f t="shared" si="9"/>
        <v>914</v>
      </c>
      <c r="H239" s="486">
        <v>0</v>
      </c>
      <c r="I239" s="486">
        <v>116</v>
      </c>
      <c r="J239" s="512">
        <f t="shared" si="10"/>
        <v>1688</v>
      </c>
      <c r="K239" s="28">
        <v>0</v>
      </c>
      <c r="L239" s="26">
        <v>0</v>
      </c>
      <c r="M239" s="26">
        <v>0</v>
      </c>
      <c r="N239" s="526">
        <v>738</v>
      </c>
    </row>
    <row r="240" spans="1:14" ht="12.75">
      <c r="A240" s="26">
        <v>915</v>
      </c>
      <c r="B240" s="27" t="s">
        <v>266</v>
      </c>
      <c r="C240" s="26">
        <v>1700</v>
      </c>
      <c r="D240" s="191">
        <v>75</v>
      </c>
      <c r="E240" s="191">
        <v>75</v>
      </c>
      <c r="F240" s="380">
        <f t="shared" si="11"/>
        <v>75</v>
      </c>
      <c r="G240" s="380">
        <f t="shared" si="9"/>
        <v>915</v>
      </c>
      <c r="H240" s="486">
        <v>0</v>
      </c>
      <c r="I240" s="486">
        <v>155</v>
      </c>
      <c r="J240" s="512">
        <f t="shared" si="10"/>
        <v>1775</v>
      </c>
      <c r="K240" s="28">
        <v>150</v>
      </c>
      <c r="L240" s="26">
        <v>0</v>
      </c>
      <c r="M240" s="26">
        <v>0</v>
      </c>
      <c r="N240" s="513"/>
    </row>
    <row r="241" spans="1:14" ht="12.75">
      <c r="A241" s="26">
        <v>916</v>
      </c>
      <c r="B241" s="27" t="s">
        <v>267</v>
      </c>
      <c r="C241" s="26">
        <v>1300</v>
      </c>
      <c r="D241" s="191">
        <v>127</v>
      </c>
      <c r="E241" s="191">
        <v>127</v>
      </c>
      <c r="F241" s="380">
        <f t="shared" si="11"/>
        <v>127</v>
      </c>
      <c r="G241" s="380">
        <f t="shared" si="9"/>
        <v>916</v>
      </c>
      <c r="H241" s="486">
        <v>0</v>
      </c>
      <c r="I241" s="486">
        <v>116</v>
      </c>
      <c r="J241" s="512">
        <f t="shared" si="10"/>
        <v>1427</v>
      </c>
      <c r="K241" s="28">
        <v>0</v>
      </c>
      <c r="L241" s="26">
        <v>0</v>
      </c>
      <c r="M241" s="26">
        <v>0</v>
      </c>
      <c r="N241" s="513"/>
    </row>
    <row r="242" spans="1:14" ht="12.75">
      <c r="A242" s="26">
        <v>917</v>
      </c>
      <c r="B242" s="27" t="s">
        <v>268</v>
      </c>
      <c r="C242" s="26">
        <v>971</v>
      </c>
      <c r="D242" s="191">
        <v>170</v>
      </c>
      <c r="E242" s="191">
        <v>216</v>
      </c>
      <c r="F242" s="380">
        <f t="shared" si="11"/>
        <v>260</v>
      </c>
      <c r="G242" s="380">
        <f t="shared" si="9"/>
        <v>917</v>
      </c>
      <c r="H242" s="486">
        <v>0</v>
      </c>
      <c r="I242" s="486">
        <v>0</v>
      </c>
      <c r="J242" s="512">
        <f t="shared" si="10"/>
        <v>1187</v>
      </c>
      <c r="K242" s="28">
        <v>0</v>
      </c>
      <c r="L242" s="26">
        <v>0</v>
      </c>
      <c r="M242" s="26">
        <v>0</v>
      </c>
      <c r="N242" s="513"/>
    </row>
    <row r="243" spans="1:14" ht="12.75">
      <c r="A243" s="26">
        <v>918</v>
      </c>
      <c r="B243" s="27" t="s">
        <v>168</v>
      </c>
      <c r="C243" s="26">
        <v>971</v>
      </c>
      <c r="D243" s="191">
        <v>170</v>
      </c>
      <c r="E243" s="191">
        <v>216</v>
      </c>
      <c r="F243" s="380">
        <f t="shared" si="11"/>
        <v>260</v>
      </c>
      <c r="G243" s="380">
        <f t="shared" si="9"/>
        <v>918</v>
      </c>
      <c r="H243" s="486">
        <v>0</v>
      </c>
      <c r="I243" s="486">
        <v>0</v>
      </c>
      <c r="J243" s="512">
        <f t="shared" si="10"/>
        <v>1187</v>
      </c>
      <c r="K243" s="28">
        <v>150</v>
      </c>
      <c r="L243" s="26">
        <v>0</v>
      </c>
      <c r="M243" s="26">
        <v>0</v>
      </c>
      <c r="N243" s="513"/>
    </row>
    <row r="244" spans="1:14" ht="12.75">
      <c r="A244" s="26">
        <v>919</v>
      </c>
      <c r="B244" s="27" t="s">
        <v>269</v>
      </c>
      <c r="C244" s="26">
        <v>971</v>
      </c>
      <c r="D244" s="191">
        <v>170</v>
      </c>
      <c r="E244" s="191">
        <v>216</v>
      </c>
      <c r="F244" s="380">
        <f t="shared" si="11"/>
        <v>260</v>
      </c>
      <c r="G244" s="380">
        <f t="shared" si="9"/>
        <v>919</v>
      </c>
      <c r="H244" s="486">
        <v>0</v>
      </c>
      <c r="I244" s="486">
        <v>0</v>
      </c>
      <c r="J244" s="512">
        <f t="shared" si="10"/>
        <v>1187</v>
      </c>
      <c r="K244" s="28">
        <v>17</v>
      </c>
      <c r="L244" s="26">
        <v>0</v>
      </c>
      <c r="M244" s="26">
        <v>0</v>
      </c>
      <c r="N244" s="513"/>
    </row>
    <row r="245" spans="1:14" ht="12.75">
      <c r="A245" s="26">
        <v>920</v>
      </c>
      <c r="B245" s="27" t="s">
        <v>270</v>
      </c>
      <c r="C245" s="26">
        <v>971</v>
      </c>
      <c r="D245" s="191">
        <v>170</v>
      </c>
      <c r="E245" s="191">
        <v>216</v>
      </c>
      <c r="F245" s="380">
        <f t="shared" si="11"/>
        <v>260</v>
      </c>
      <c r="G245" s="380">
        <f t="shared" si="9"/>
        <v>920</v>
      </c>
      <c r="H245" s="486">
        <v>0</v>
      </c>
      <c r="I245" s="486">
        <v>0</v>
      </c>
      <c r="J245" s="512">
        <f t="shared" si="10"/>
        <v>1187</v>
      </c>
      <c r="K245" s="28">
        <v>150</v>
      </c>
      <c r="L245" s="26">
        <v>0</v>
      </c>
      <c r="M245" s="26">
        <v>0</v>
      </c>
      <c r="N245" s="513"/>
    </row>
    <row r="246" spans="1:14" ht="12.75">
      <c r="A246" s="26">
        <v>921</v>
      </c>
      <c r="B246" s="27" t="s">
        <v>271</v>
      </c>
      <c r="C246" s="26">
        <v>971</v>
      </c>
      <c r="D246" s="191">
        <v>170</v>
      </c>
      <c r="E246" s="191">
        <v>216</v>
      </c>
      <c r="F246" s="380">
        <f t="shared" si="11"/>
        <v>260</v>
      </c>
      <c r="G246" s="380">
        <f t="shared" si="9"/>
        <v>921</v>
      </c>
      <c r="H246" s="486">
        <v>0</v>
      </c>
      <c r="I246" s="486">
        <v>0</v>
      </c>
      <c r="J246" s="512">
        <f t="shared" si="10"/>
        <v>1187</v>
      </c>
      <c r="K246" s="28">
        <v>0</v>
      </c>
      <c r="L246" s="26">
        <v>0</v>
      </c>
      <c r="M246" s="26">
        <v>0</v>
      </c>
      <c r="N246" s="513"/>
    </row>
    <row r="247" spans="1:14" ht="12.75">
      <c r="A247" s="26">
        <v>922</v>
      </c>
      <c r="B247" s="27" t="s">
        <v>272</v>
      </c>
      <c r="C247" s="26">
        <v>971</v>
      </c>
      <c r="D247" s="191">
        <v>170</v>
      </c>
      <c r="E247" s="191">
        <v>216</v>
      </c>
      <c r="F247" s="380">
        <f t="shared" si="11"/>
        <v>260</v>
      </c>
      <c r="G247" s="380">
        <f t="shared" si="9"/>
        <v>922</v>
      </c>
      <c r="H247" s="486">
        <v>0</v>
      </c>
      <c r="I247" s="486">
        <v>0</v>
      </c>
      <c r="J247" s="512">
        <f t="shared" si="10"/>
        <v>1187</v>
      </c>
      <c r="K247" s="28">
        <v>0</v>
      </c>
      <c r="L247" s="26">
        <v>0</v>
      </c>
      <c r="M247" s="26">
        <v>0</v>
      </c>
      <c r="N247" s="513"/>
    </row>
    <row r="248" spans="1:14" ht="12.75">
      <c r="A248" s="26">
        <v>923</v>
      </c>
      <c r="B248" s="27" t="s">
        <v>273</v>
      </c>
      <c r="C248" s="26">
        <v>971</v>
      </c>
      <c r="D248" s="191">
        <v>170</v>
      </c>
      <c r="E248" s="191">
        <v>216</v>
      </c>
      <c r="F248" s="380">
        <f t="shared" si="11"/>
        <v>260</v>
      </c>
      <c r="G248" s="380">
        <f t="shared" si="9"/>
        <v>923</v>
      </c>
      <c r="H248" s="486">
        <v>0</v>
      </c>
      <c r="I248" s="486">
        <v>0</v>
      </c>
      <c r="J248" s="512">
        <f t="shared" si="10"/>
        <v>1187</v>
      </c>
      <c r="K248" s="28">
        <v>0</v>
      </c>
      <c r="L248" s="26">
        <v>0</v>
      </c>
      <c r="M248" s="26">
        <v>0</v>
      </c>
      <c r="N248" s="513"/>
    </row>
    <row r="249" spans="1:14" ht="12.75">
      <c r="A249" s="26">
        <v>924</v>
      </c>
      <c r="B249" s="27" t="s">
        <v>274</v>
      </c>
      <c r="C249" s="26">
        <v>971</v>
      </c>
      <c r="D249" s="191">
        <v>170</v>
      </c>
      <c r="E249" s="191">
        <v>216</v>
      </c>
      <c r="F249" s="380">
        <f t="shared" si="11"/>
        <v>260</v>
      </c>
      <c r="G249" s="380">
        <f t="shared" si="9"/>
        <v>924</v>
      </c>
      <c r="H249" s="486">
        <v>0</v>
      </c>
      <c r="I249" s="486">
        <v>0</v>
      </c>
      <c r="J249" s="512">
        <f t="shared" si="10"/>
        <v>1187</v>
      </c>
      <c r="K249" s="28">
        <v>150</v>
      </c>
      <c r="L249" s="26">
        <v>0</v>
      </c>
      <c r="M249" s="26">
        <v>0</v>
      </c>
      <c r="N249" s="513"/>
    </row>
    <row r="250" spans="1:14" ht="12.75">
      <c r="A250" s="26">
        <v>925</v>
      </c>
      <c r="B250" s="27" t="s">
        <v>70</v>
      </c>
      <c r="C250" s="26">
        <v>971</v>
      </c>
      <c r="D250" s="191">
        <v>170</v>
      </c>
      <c r="E250" s="191">
        <v>216</v>
      </c>
      <c r="F250" s="380">
        <f t="shared" si="11"/>
        <v>260</v>
      </c>
      <c r="G250" s="380">
        <f t="shared" si="9"/>
        <v>925</v>
      </c>
      <c r="H250" s="486">
        <v>0</v>
      </c>
      <c r="I250" s="486">
        <v>0</v>
      </c>
      <c r="J250" s="512">
        <f t="shared" si="10"/>
        <v>1187</v>
      </c>
      <c r="K250" s="28">
        <v>0</v>
      </c>
      <c r="L250" s="26">
        <v>0</v>
      </c>
      <c r="M250" s="26">
        <v>0</v>
      </c>
      <c r="N250" s="513"/>
    </row>
    <row r="251" spans="1:14" ht="12.75">
      <c r="A251" s="26">
        <v>926</v>
      </c>
      <c r="B251" s="27" t="s">
        <v>192</v>
      </c>
      <c r="C251" s="26">
        <v>1500</v>
      </c>
      <c r="D251" s="191">
        <v>101</v>
      </c>
      <c r="E251" s="191">
        <v>101</v>
      </c>
      <c r="F251" s="380">
        <f t="shared" si="11"/>
        <v>101</v>
      </c>
      <c r="G251" s="380">
        <f t="shared" si="9"/>
        <v>926</v>
      </c>
      <c r="H251" s="486">
        <v>0</v>
      </c>
      <c r="I251" s="486">
        <v>0</v>
      </c>
      <c r="J251" s="512">
        <f t="shared" si="10"/>
        <v>1601</v>
      </c>
      <c r="K251" s="28">
        <v>150</v>
      </c>
      <c r="L251" s="26">
        <v>0</v>
      </c>
      <c r="M251" s="26">
        <v>0</v>
      </c>
      <c r="N251" s="513"/>
    </row>
    <row r="252" spans="1:14" ht="12.75">
      <c r="A252" s="26">
        <v>928</v>
      </c>
      <c r="B252" s="27" t="s">
        <v>163</v>
      </c>
      <c r="C252" s="26">
        <v>1500</v>
      </c>
      <c r="D252" s="191">
        <v>101</v>
      </c>
      <c r="E252" s="191">
        <v>101</v>
      </c>
      <c r="F252" s="380">
        <f t="shared" si="11"/>
        <v>101</v>
      </c>
      <c r="G252" s="380">
        <f t="shared" si="9"/>
        <v>928</v>
      </c>
      <c r="H252" s="486">
        <v>0</v>
      </c>
      <c r="I252" s="486">
        <v>0</v>
      </c>
      <c r="J252" s="512">
        <f t="shared" si="10"/>
        <v>1601</v>
      </c>
      <c r="K252" s="28">
        <v>150</v>
      </c>
      <c r="L252" s="26">
        <v>0</v>
      </c>
      <c r="M252" s="26">
        <v>0</v>
      </c>
      <c r="N252" s="513"/>
    </row>
    <row r="253" spans="1:14" ht="12.75">
      <c r="A253" s="26">
        <v>929</v>
      </c>
      <c r="B253" s="27" t="s">
        <v>275</v>
      </c>
      <c r="C253" s="26">
        <v>971</v>
      </c>
      <c r="D253" s="191">
        <v>170</v>
      </c>
      <c r="E253" s="191">
        <v>216</v>
      </c>
      <c r="F253" s="380">
        <f t="shared" si="11"/>
        <v>260</v>
      </c>
      <c r="G253" s="380">
        <f t="shared" si="9"/>
        <v>929</v>
      </c>
      <c r="H253" s="486">
        <v>0</v>
      </c>
      <c r="I253" s="486">
        <v>0</v>
      </c>
      <c r="J253" s="512">
        <f t="shared" si="10"/>
        <v>1187</v>
      </c>
      <c r="K253" s="28">
        <v>150</v>
      </c>
      <c r="L253" s="26">
        <v>0</v>
      </c>
      <c r="M253" s="26">
        <v>0</v>
      </c>
      <c r="N253" s="513"/>
    </row>
    <row r="254" spans="1:14" ht="12.75">
      <c r="A254" s="26">
        <v>930</v>
      </c>
      <c r="B254" s="27" t="s">
        <v>276</v>
      </c>
      <c r="C254" s="26">
        <v>1592</v>
      </c>
      <c r="D254" s="191">
        <v>89</v>
      </c>
      <c r="E254" s="191">
        <v>89</v>
      </c>
      <c r="F254" s="380">
        <f t="shared" si="11"/>
        <v>89</v>
      </c>
      <c r="G254" s="380">
        <f t="shared" si="9"/>
        <v>930</v>
      </c>
      <c r="H254" s="486">
        <v>0</v>
      </c>
      <c r="I254" s="486">
        <v>0</v>
      </c>
      <c r="J254" s="512">
        <f t="shared" si="10"/>
        <v>1681</v>
      </c>
      <c r="K254" s="28">
        <v>0</v>
      </c>
      <c r="L254" s="26">
        <v>0</v>
      </c>
      <c r="M254" s="26">
        <v>0</v>
      </c>
      <c r="N254" s="513"/>
    </row>
    <row r="255" spans="1:14" ht="12.75">
      <c r="A255" s="26">
        <v>931</v>
      </c>
      <c r="B255" s="27" t="s">
        <v>277</v>
      </c>
      <c r="C255" s="26">
        <v>971</v>
      </c>
      <c r="D255" s="191">
        <v>170</v>
      </c>
      <c r="E255" s="191">
        <v>216</v>
      </c>
      <c r="F255" s="380">
        <f t="shared" si="11"/>
        <v>260</v>
      </c>
      <c r="G255" s="380">
        <f t="shared" si="9"/>
        <v>931</v>
      </c>
      <c r="H255" s="486">
        <v>0</v>
      </c>
      <c r="I255" s="486">
        <v>0</v>
      </c>
      <c r="J255" s="512">
        <f t="shared" si="10"/>
        <v>1187</v>
      </c>
      <c r="K255" s="28">
        <v>0</v>
      </c>
      <c r="L255" s="26">
        <v>0</v>
      </c>
      <c r="M255" s="26">
        <v>0</v>
      </c>
      <c r="N255" s="513"/>
    </row>
    <row r="256" spans="1:14" ht="12.75">
      <c r="A256" s="26">
        <v>932</v>
      </c>
      <c r="B256" s="27" t="s">
        <v>278</v>
      </c>
      <c r="C256" s="26">
        <v>2220</v>
      </c>
      <c r="D256" s="191">
        <v>7</v>
      </c>
      <c r="E256" s="191">
        <v>7</v>
      </c>
      <c r="F256" s="380">
        <f t="shared" si="11"/>
        <v>7</v>
      </c>
      <c r="G256" s="380">
        <f t="shared" si="9"/>
        <v>932</v>
      </c>
      <c r="H256" s="486">
        <v>0</v>
      </c>
      <c r="I256" s="486">
        <v>0</v>
      </c>
      <c r="J256" s="512">
        <f t="shared" si="10"/>
        <v>2227</v>
      </c>
      <c r="K256" s="28">
        <v>0</v>
      </c>
      <c r="L256" s="26">
        <v>0</v>
      </c>
      <c r="M256" s="26">
        <v>0</v>
      </c>
      <c r="N256" s="513"/>
    </row>
    <row r="257" spans="1:14" ht="12.75">
      <c r="A257" s="33">
        <v>933</v>
      </c>
      <c r="B257" s="34" t="s">
        <v>279</v>
      </c>
      <c r="C257" s="33">
        <v>1580</v>
      </c>
      <c r="D257" s="191">
        <v>90</v>
      </c>
      <c r="E257" s="191">
        <v>90</v>
      </c>
      <c r="F257" s="380">
        <f t="shared" si="11"/>
        <v>90</v>
      </c>
      <c r="G257" s="380">
        <f t="shared" si="9"/>
        <v>933</v>
      </c>
      <c r="H257" s="486">
        <v>0</v>
      </c>
      <c r="I257" s="486">
        <v>0</v>
      </c>
      <c r="J257" s="512">
        <f t="shared" si="10"/>
        <v>1670</v>
      </c>
      <c r="K257" s="35">
        <v>0</v>
      </c>
      <c r="L257" s="33">
        <v>0</v>
      </c>
      <c r="M257" s="33">
        <v>0</v>
      </c>
      <c r="N257" s="513"/>
    </row>
    <row r="258" spans="1:14" ht="12.75">
      <c r="A258" s="26">
        <v>934</v>
      </c>
      <c r="B258" s="27" t="s">
        <v>280</v>
      </c>
      <c r="C258" s="26">
        <v>922</v>
      </c>
      <c r="D258" s="191">
        <v>176</v>
      </c>
      <c r="E258" s="191">
        <v>216</v>
      </c>
      <c r="F258" s="380">
        <f t="shared" si="11"/>
        <v>260</v>
      </c>
      <c r="G258" s="380">
        <f t="shared" si="9"/>
        <v>934</v>
      </c>
      <c r="H258" s="486">
        <v>0</v>
      </c>
      <c r="I258" s="486">
        <v>0</v>
      </c>
      <c r="J258" s="512">
        <f t="shared" si="10"/>
        <v>1138</v>
      </c>
      <c r="K258" s="28">
        <v>0</v>
      </c>
      <c r="L258" s="26">
        <v>0</v>
      </c>
      <c r="M258" s="26">
        <v>0</v>
      </c>
      <c r="N258" s="513"/>
    </row>
    <row r="259" spans="1:14" ht="12.75">
      <c r="A259" s="26">
        <v>935</v>
      </c>
      <c r="B259" s="27" t="s">
        <v>281</v>
      </c>
      <c r="C259" s="26">
        <v>971</v>
      </c>
      <c r="D259" s="191">
        <v>170</v>
      </c>
      <c r="E259" s="191">
        <v>216</v>
      </c>
      <c r="F259" s="380">
        <f t="shared" si="11"/>
        <v>260</v>
      </c>
      <c r="G259" s="380">
        <f t="shared" si="9"/>
        <v>935</v>
      </c>
      <c r="H259" s="486">
        <v>0</v>
      </c>
      <c r="I259" s="486">
        <v>0</v>
      </c>
      <c r="J259" s="512">
        <f t="shared" si="10"/>
        <v>1187</v>
      </c>
      <c r="K259" s="28">
        <v>0</v>
      </c>
      <c r="L259" s="26">
        <v>0</v>
      </c>
      <c r="M259" s="26">
        <v>0</v>
      </c>
      <c r="N259" s="513"/>
    </row>
    <row r="260" spans="1:14" ht="12.75">
      <c r="A260" s="26">
        <v>936</v>
      </c>
      <c r="B260" s="27" t="s">
        <v>282</v>
      </c>
      <c r="C260" s="26">
        <v>1250</v>
      </c>
      <c r="D260" s="191">
        <v>134</v>
      </c>
      <c r="E260" s="191">
        <v>134</v>
      </c>
      <c r="F260" s="380">
        <f t="shared" si="11"/>
        <v>134</v>
      </c>
      <c r="G260" s="380">
        <f t="shared" si="9"/>
        <v>936</v>
      </c>
      <c r="H260" s="486">
        <v>0</v>
      </c>
      <c r="I260" s="486">
        <v>0</v>
      </c>
      <c r="J260" s="512">
        <f t="shared" si="10"/>
        <v>1384</v>
      </c>
      <c r="K260" s="28">
        <v>0</v>
      </c>
      <c r="L260" s="26">
        <v>0</v>
      </c>
      <c r="M260" s="26">
        <v>0</v>
      </c>
      <c r="N260" s="513"/>
    </row>
    <row r="261" spans="1:14" ht="12.75">
      <c r="A261" s="30">
        <v>937</v>
      </c>
      <c r="B261" s="31" t="s">
        <v>283</v>
      </c>
      <c r="C261" s="30">
        <v>971</v>
      </c>
      <c r="D261" s="191">
        <v>170</v>
      </c>
      <c r="E261" s="191">
        <v>216</v>
      </c>
      <c r="F261" s="380">
        <f t="shared" si="11"/>
        <v>260</v>
      </c>
      <c r="G261" s="380">
        <f t="shared" si="9"/>
        <v>937</v>
      </c>
      <c r="H261" s="486">
        <v>0</v>
      </c>
      <c r="I261" s="486">
        <v>0</v>
      </c>
      <c r="J261" s="512">
        <f t="shared" si="10"/>
        <v>1187</v>
      </c>
      <c r="K261" s="32">
        <v>0</v>
      </c>
      <c r="L261" s="30">
        <v>0</v>
      </c>
      <c r="M261" s="30">
        <v>0</v>
      </c>
      <c r="N261" s="513"/>
    </row>
    <row r="262" spans="1:14" ht="12.75">
      <c r="A262" s="26">
        <v>940</v>
      </c>
      <c r="B262" s="27" t="s">
        <v>284</v>
      </c>
      <c r="C262" s="26">
        <v>1692</v>
      </c>
      <c r="D262" s="191">
        <v>76</v>
      </c>
      <c r="E262" s="191">
        <v>76</v>
      </c>
      <c r="F262" s="380">
        <f t="shared" si="11"/>
        <v>76</v>
      </c>
      <c r="G262" s="380">
        <f aca="true" t="shared" si="12" ref="G262:G317">A262</f>
        <v>940</v>
      </c>
      <c r="H262" s="486">
        <v>0</v>
      </c>
      <c r="I262" s="486">
        <v>0</v>
      </c>
      <c r="J262" s="512">
        <f aca="true" t="shared" si="13" ref="J262:J317">C262+E262</f>
        <v>1768</v>
      </c>
      <c r="K262" s="28">
        <v>0</v>
      </c>
      <c r="L262" s="26">
        <v>0</v>
      </c>
      <c r="M262" s="26">
        <v>0</v>
      </c>
      <c r="N262" s="513"/>
    </row>
    <row r="263" spans="1:14" ht="12.75">
      <c r="A263" s="26">
        <v>941</v>
      </c>
      <c r="B263" s="27" t="s">
        <v>285</v>
      </c>
      <c r="C263" s="26">
        <v>1942</v>
      </c>
      <c r="D263" s="191">
        <v>43</v>
      </c>
      <c r="E263" s="191">
        <v>43</v>
      </c>
      <c r="F263" s="380">
        <f aca="true" t="shared" si="14" ref="F263:F317">IF(C263&lt;972,E263+44,E263)</f>
        <v>43</v>
      </c>
      <c r="G263" s="380">
        <f t="shared" si="12"/>
        <v>941</v>
      </c>
      <c r="H263" s="486">
        <v>0</v>
      </c>
      <c r="I263" s="486">
        <v>194</v>
      </c>
      <c r="J263" s="512">
        <f t="shared" si="13"/>
        <v>1985</v>
      </c>
      <c r="K263" s="28">
        <v>0</v>
      </c>
      <c r="L263" s="26">
        <v>0</v>
      </c>
      <c r="M263" s="26">
        <v>0</v>
      </c>
      <c r="N263" s="513"/>
    </row>
    <row r="264" spans="1:14" ht="12.75">
      <c r="A264" s="26">
        <v>942</v>
      </c>
      <c r="B264" s="27" t="s">
        <v>286</v>
      </c>
      <c r="C264" s="26">
        <v>1782</v>
      </c>
      <c r="D264" s="191">
        <v>64</v>
      </c>
      <c r="E264" s="191">
        <v>64</v>
      </c>
      <c r="F264" s="380">
        <f t="shared" si="14"/>
        <v>64</v>
      </c>
      <c r="G264" s="380">
        <f t="shared" si="12"/>
        <v>942</v>
      </c>
      <c r="H264" s="486">
        <v>0</v>
      </c>
      <c r="I264" s="486">
        <v>0</v>
      </c>
      <c r="J264" s="512">
        <f t="shared" si="13"/>
        <v>1846</v>
      </c>
      <c r="K264" s="28">
        <v>0</v>
      </c>
      <c r="L264" s="26">
        <v>0</v>
      </c>
      <c r="M264" s="26">
        <v>0</v>
      </c>
      <c r="N264" s="513"/>
    </row>
    <row r="265" spans="1:14" ht="12.75">
      <c r="A265" s="26">
        <v>943</v>
      </c>
      <c r="B265" s="27" t="s">
        <v>191</v>
      </c>
      <c r="C265" s="26">
        <v>1500</v>
      </c>
      <c r="D265" s="191">
        <v>101</v>
      </c>
      <c r="E265" s="191">
        <v>101</v>
      </c>
      <c r="F265" s="380">
        <f t="shared" si="14"/>
        <v>101</v>
      </c>
      <c r="G265" s="380">
        <f t="shared" si="12"/>
        <v>943</v>
      </c>
      <c r="H265" s="486">
        <v>0</v>
      </c>
      <c r="I265" s="486">
        <v>0</v>
      </c>
      <c r="J265" s="512">
        <f t="shared" si="13"/>
        <v>1601</v>
      </c>
      <c r="K265" s="28">
        <v>150</v>
      </c>
      <c r="L265" s="26">
        <v>0</v>
      </c>
      <c r="M265" s="26">
        <v>0</v>
      </c>
      <c r="N265" s="513"/>
    </row>
    <row r="266" spans="1:14" ht="12.75">
      <c r="A266" s="26">
        <v>944</v>
      </c>
      <c r="B266" s="27" t="s">
        <v>287</v>
      </c>
      <c r="C266" s="26">
        <v>1400</v>
      </c>
      <c r="D266" s="191">
        <v>114</v>
      </c>
      <c r="E266" s="191">
        <v>114</v>
      </c>
      <c r="F266" s="380">
        <f t="shared" si="14"/>
        <v>114</v>
      </c>
      <c r="G266" s="380">
        <f t="shared" si="12"/>
        <v>944</v>
      </c>
      <c r="H266" s="486">
        <v>0</v>
      </c>
      <c r="I266" s="486">
        <v>116</v>
      </c>
      <c r="J266" s="512">
        <f t="shared" si="13"/>
        <v>1514</v>
      </c>
      <c r="K266" s="28">
        <v>0</v>
      </c>
      <c r="L266" s="26">
        <v>0</v>
      </c>
      <c r="M266" s="26">
        <v>0</v>
      </c>
      <c r="N266" s="513"/>
    </row>
    <row r="267" spans="1:14" ht="12.75">
      <c r="A267" s="26">
        <v>945</v>
      </c>
      <c r="B267" s="27" t="s">
        <v>288</v>
      </c>
      <c r="C267" s="26">
        <v>1782</v>
      </c>
      <c r="D267" s="191">
        <v>64</v>
      </c>
      <c r="E267" s="191">
        <v>64</v>
      </c>
      <c r="F267" s="380">
        <f t="shared" si="14"/>
        <v>64</v>
      </c>
      <c r="G267" s="380">
        <f t="shared" si="12"/>
        <v>945</v>
      </c>
      <c r="H267" s="486">
        <v>0</v>
      </c>
      <c r="I267" s="486">
        <v>175</v>
      </c>
      <c r="J267" s="512">
        <f t="shared" si="13"/>
        <v>1846</v>
      </c>
      <c r="K267" s="28">
        <v>0</v>
      </c>
      <c r="L267" s="26">
        <v>0</v>
      </c>
      <c r="M267" s="26">
        <v>669</v>
      </c>
      <c r="N267" s="513"/>
    </row>
    <row r="268" spans="1:14" ht="12.75">
      <c r="A268" s="26">
        <v>946</v>
      </c>
      <c r="B268" s="27" t="s">
        <v>225</v>
      </c>
      <c r="C268" s="26">
        <v>971</v>
      </c>
      <c r="D268" s="191">
        <v>170</v>
      </c>
      <c r="E268" s="191">
        <v>216</v>
      </c>
      <c r="F268" s="380">
        <f t="shared" si="14"/>
        <v>260</v>
      </c>
      <c r="G268" s="380">
        <f t="shared" si="12"/>
        <v>946</v>
      </c>
      <c r="H268" s="486">
        <v>0</v>
      </c>
      <c r="I268" s="486">
        <v>0</v>
      </c>
      <c r="J268" s="512">
        <f t="shared" si="13"/>
        <v>1187</v>
      </c>
      <c r="K268" s="28">
        <v>0</v>
      </c>
      <c r="L268" s="26">
        <v>0</v>
      </c>
      <c r="M268" s="26">
        <v>620</v>
      </c>
      <c r="N268" s="513"/>
    </row>
    <row r="269" spans="1:14" ht="12.75">
      <c r="A269" s="26">
        <v>947</v>
      </c>
      <c r="B269" s="27" t="s">
        <v>289</v>
      </c>
      <c r="C269" s="26">
        <v>971</v>
      </c>
      <c r="D269" s="191">
        <v>170</v>
      </c>
      <c r="E269" s="191">
        <v>216</v>
      </c>
      <c r="F269" s="380">
        <f t="shared" si="14"/>
        <v>260</v>
      </c>
      <c r="G269" s="380">
        <f t="shared" si="12"/>
        <v>947</v>
      </c>
      <c r="H269" s="486">
        <v>0</v>
      </c>
      <c r="I269" s="486">
        <v>0</v>
      </c>
      <c r="J269" s="512">
        <f t="shared" si="13"/>
        <v>1187</v>
      </c>
      <c r="K269" s="28">
        <v>0</v>
      </c>
      <c r="L269" s="26">
        <v>0</v>
      </c>
      <c r="M269" s="26">
        <v>155</v>
      </c>
      <c r="N269" s="513"/>
    </row>
    <row r="270" spans="1:14" ht="12.75">
      <c r="A270" s="26">
        <v>951</v>
      </c>
      <c r="B270" s="27" t="s">
        <v>178</v>
      </c>
      <c r="C270" s="26">
        <v>1500</v>
      </c>
      <c r="D270" s="191">
        <v>101</v>
      </c>
      <c r="E270" s="191">
        <v>101</v>
      </c>
      <c r="F270" s="380">
        <f t="shared" si="14"/>
        <v>101</v>
      </c>
      <c r="G270" s="380">
        <f t="shared" si="12"/>
        <v>951</v>
      </c>
      <c r="H270" s="486">
        <v>0</v>
      </c>
      <c r="I270" s="486">
        <v>0</v>
      </c>
      <c r="J270" s="512">
        <f t="shared" si="13"/>
        <v>1601</v>
      </c>
      <c r="K270" s="28">
        <v>150</v>
      </c>
      <c r="L270" s="26">
        <v>0</v>
      </c>
      <c r="M270" s="26">
        <v>0</v>
      </c>
      <c r="N270" s="513"/>
    </row>
    <row r="271" spans="1:14" ht="12.75">
      <c r="A271" s="26">
        <v>952</v>
      </c>
      <c r="B271" s="27" t="s">
        <v>290</v>
      </c>
      <c r="C271" s="26">
        <v>971</v>
      </c>
      <c r="D271" s="191">
        <v>170</v>
      </c>
      <c r="E271" s="191">
        <v>216</v>
      </c>
      <c r="F271" s="380">
        <f t="shared" si="14"/>
        <v>260</v>
      </c>
      <c r="G271" s="380">
        <f t="shared" si="12"/>
        <v>952</v>
      </c>
      <c r="H271" s="486">
        <v>0</v>
      </c>
      <c r="I271" s="486">
        <v>0</v>
      </c>
      <c r="J271" s="512">
        <f t="shared" si="13"/>
        <v>1187</v>
      </c>
      <c r="K271" s="28">
        <v>0</v>
      </c>
      <c r="L271" s="26">
        <v>0</v>
      </c>
      <c r="M271" s="26">
        <v>155</v>
      </c>
      <c r="N271" s="513"/>
    </row>
    <row r="272" spans="1:14" ht="12.75">
      <c r="A272" s="26">
        <v>953</v>
      </c>
      <c r="B272" s="27" t="s">
        <v>291</v>
      </c>
      <c r="C272" s="26">
        <v>971</v>
      </c>
      <c r="D272" s="191">
        <v>170</v>
      </c>
      <c r="E272" s="191">
        <v>216</v>
      </c>
      <c r="F272" s="380">
        <f t="shared" si="14"/>
        <v>260</v>
      </c>
      <c r="G272" s="380">
        <f t="shared" si="12"/>
        <v>953</v>
      </c>
      <c r="H272" s="486">
        <v>0</v>
      </c>
      <c r="I272" s="486">
        <v>0</v>
      </c>
      <c r="J272" s="512">
        <f t="shared" si="13"/>
        <v>1187</v>
      </c>
      <c r="K272" s="28">
        <v>0</v>
      </c>
      <c r="L272" s="26">
        <v>0</v>
      </c>
      <c r="M272" s="26">
        <v>155</v>
      </c>
      <c r="N272" s="513"/>
    </row>
    <row r="273" spans="1:14" ht="12.75">
      <c r="A273" s="26">
        <v>954</v>
      </c>
      <c r="B273" s="27" t="s">
        <v>292</v>
      </c>
      <c r="C273" s="26">
        <v>1600</v>
      </c>
      <c r="D273" s="191">
        <v>88</v>
      </c>
      <c r="E273" s="191">
        <v>88</v>
      </c>
      <c r="F273" s="380">
        <f t="shared" si="14"/>
        <v>88</v>
      </c>
      <c r="G273" s="380">
        <f t="shared" si="12"/>
        <v>954</v>
      </c>
      <c r="H273" s="486">
        <v>0</v>
      </c>
      <c r="I273" s="486">
        <v>116</v>
      </c>
      <c r="J273" s="512">
        <f t="shared" si="13"/>
        <v>1688</v>
      </c>
      <c r="K273" s="28">
        <v>0</v>
      </c>
      <c r="L273" s="26">
        <v>0</v>
      </c>
      <c r="M273" s="26">
        <v>657</v>
      </c>
      <c r="N273" s="513"/>
    </row>
    <row r="274" spans="1:14" ht="12.75">
      <c r="A274" s="26">
        <v>955</v>
      </c>
      <c r="B274" s="27" t="s">
        <v>211</v>
      </c>
      <c r="C274" s="26">
        <v>971</v>
      </c>
      <c r="D274" s="191">
        <v>170</v>
      </c>
      <c r="E274" s="191">
        <v>216</v>
      </c>
      <c r="F274" s="380">
        <f t="shared" si="14"/>
        <v>260</v>
      </c>
      <c r="G274" s="380">
        <f t="shared" si="12"/>
        <v>955</v>
      </c>
      <c r="H274" s="486">
        <v>0</v>
      </c>
      <c r="I274" s="486">
        <v>0</v>
      </c>
      <c r="J274" s="512">
        <f t="shared" si="13"/>
        <v>1187</v>
      </c>
      <c r="K274" s="28">
        <v>0</v>
      </c>
      <c r="L274" s="26">
        <v>0</v>
      </c>
      <c r="M274" s="26">
        <v>0</v>
      </c>
      <c r="N274" s="513"/>
    </row>
    <row r="275" spans="1:14" ht="12.75">
      <c r="A275" s="26">
        <v>956</v>
      </c>
      <c r="B275" s="27" t="s">
        <v>293</v>
      </c>
      <c r="C275" s="26">
        <v>1692</v>
      </c>
      <c r="D275" s="191">
        <v>76</v>
      </c>
      <c r="E275" s="191">
        <v>76</v>
      </c>
      <c r="F275" s="380">
        <f t="shared" si="14"/>
        <v>76</v>
      </c>
      <c r="G275" s="380">
        <f t="shared" si="12"/>
        <v>956</v>
      </c>
      <c r="H275" s="486">
        <v>0</v>
      </c>
      <c r="I275" s="486">
        <v>136</v>
      </c>
      <c r="J275" s="512">
        <f t="shared" si="13"/>
        <v>1768</v>
      </c>
      <c r="K275" s="28">
        <v>0</v>
      </c>
      <c r="L275" s="26">
        <v>0</v>
      </c>
      <c r="M275" s="26">
        <v>663</v>
      </c>
      <c r="N275" s="513"/>
    </row>
    <row r="276" spans="1:14" ht="12.75">
      <c r="A276" s="26">
        <v>957</v>
      </c>
      <c r="B276" s="27" t="s">
        <v>294</v>
      </c>
      <c r="C276" s="26">
        <v>1700</v>
      </c>
      <c r="D276" s="191">
        <v>75</v>
      </c>
      <c r="E276" s="191">
        <v>75</v>
      </c>
      <c r="F276" s="380">
        <f t="shared" si="14"/>
        <v>75</v>
      </c>
      <c r="G276" s="380">
        <f t="shared" si="12"/>
        <v>957</v>
      </c>
      <c r="H276" s="486">
        <v>0</v>
      </c>
      <c r="I276" s="486">
        <v>0</v>
      </c>
      <c r="J276" s="512">
        <f t="shared" si="13"/>
        <v>1775</v>
      </c>
      <c r="K276" s="28">
        <v>0</v>
      </c>
      <c r="L276" s="26">
        <v>0</v>
      </c>
      <c r="M276" s="26">
        <v>0</v>
      </c>
      <c r="N276" s="513"/>
    </row>
    <row r="277" spans="1:14" ht="12.75">
      <c r="A277" s="26">
        <v>958</v>
      </c>
      <c r="B277" s="27" t="s">
        <v>295</v>
      </c>
      <c r="C277" s="26">
        <v>2913</v>
      </c>
      <c r="D277" s="191">
        <v>0</v>
      </c>
      <c r="E277" s="191">
        <v>0</v>
      </c>
      <c r="F277" s="380">
        <f t="shared" si="14"/>
        <v>0</v>
      </c>
      <c r="G277" s="380">
        <f t="shared" si="12"/>
        <v>958</v>
      </c>
      <c r="H277" s="486">
        <v>0</v>
      </c>
      <c r="I277" s="486">
        <v>0</v>
      </c>
      <c r="J277" s="512">
        <f t="shared" si="13"/>
        <v>2913</v>
      </c>
      <c r="K277" s="28">
        <v>0</v>
      </c>
      <c r="L277" s="26">
        <v>0</v>
      </c>
      <c r="M277" s="26">
        <v>0</v>
      </c>
      <c r="N277" s="513"/>
    </row>
    <row r="278" spans="1:14" ht="12.75">
      <c r="A278" s="26">
        <v>959</v>
      </c>
      <c r="B278" s="27" t="s">
        <v>296</v>
      </c>
      <c r="C278" s="26">
        <v>2220</v>
      </c>
      <c r="D278" s="191">
        <v>7</v>
      </c>
      <c r="E278" s="191">
        <v>7</v>
      </c>
      <c r="F278" s="380">
        <f t="shared" si="14"/>
        <v>7</v>
      </c>
      <c r="G278" s="380">
        <f t="shared" si="12"/>
        <v>959</v>
      </c>
      <c r="H278" s="486">
        <v>0</v>
      </c>
      <c r="I278" s="486">
        <v>0</v>
      </c>
      <c r="J278" s="512">
        <f t="shared" si="13"/>
        <v>2227</v>
      </c>
      <c r="K278" s="28">
        <v>0</v>
      </c>
      <c r="L278" s="26">
        <v>0</v>
      </c>
      <c r="M278" s="26">
        <v>0</v>
      </c>
      <c r="N278" s="513"/>
    </row>
    <row r="279" spans="1:14" ht="12.75">
      <c r="A279" s="26">
        <v>960</v>
      </c>
      <c r="B279" s="27" t="s">
        <v>297</v>
      </c>
      <c r="C279" s="26">
        <v>1750</v>
      </c>
      <c r="D279" s="191">
        <v>68</v>
      </c>
      <c r="E279" s="191">
        <v>68</v>
      </c>
      <c r="F279" s="380">
        <f t="shared" si="14"/>
        <v>68</v>
      </c>
      <c r="G279" s="380">
        <f t="shared" si="12"/>
        <v>960</v>
      </c>
      <c r="H279" s="486">
        <v>0</v>
      </c>
      <c r="I279" s="486">
        <v>0</v>
      </c>
      <c r="J279" s="512">
        <f t="shared" si="13"/>
        <v>1818</v>
      </c>
      <c r="K279" s="28">
        <v>0</v>
      </c>
      <c r="L279" s="26">
        <v>0</v>
      </c>
      <c r="M279" s="26">
        <v>0</v>
      </c>
      <c r="N279" s="513"/>
    </row>
    <row r="280" spans="1:14" ht="12.75">
      <c r="A280" s="26">
        <v>961</v>
      </c>
      <c r="B280" s="27" t="s">
        <v>298</v>
      </c>
      <c r="C280" s="26">
        <v>1580</v>
      </c>
      <c r="D280" s="191">
        <v>90</v>
      </c>
      <c r="E280" s="191">
        <v>90</v>
      </c>
      <c r="F280" s="380">
        <f t="shared" si="14"/>
        <v>90</v>
      </c>
      <c r="G280" s="380">
        <f t="shared" si="12"/>
        <v>961</v>
      </c>
      <c r="H280" s="486">
        <v>0</v>
      </c>
      <c r="I280" s="486">
        <v>0</v>
      </c>
      <c r="J280" s="512">
        <f t="shared" si="13"/>
        <v>1670</v>
      </c>
      <c r="K280" s="28">
        <v>0</v>
      </c>
      <c r="L280" s="26">
        <v>0</v>
      </c>
      <c r="M280" s="26">
        <v>0</v>
      </c>
      <c r="N280" s="513"/>
    </row>
    <row r="281" spans="1:14" ht="12.75">
      <c r="A281" s="26">
        <v>962</v>
      </c>
      <c r="B281" s="27" t="s">
        <v>299</v>
      </c>
      <c r="C281" s="26">
        <v>1580</v>
      </c>
      <c r="D281" s="191">
        <v>90</v>
      </c>
      <c r="E281" s="191">
        <v>90</v>
      </c>
      <c r="F281" s="380">
        <f t="shared" si="14"/>
        <v>90</v>
      </c>
      <c r="G281" s="380">
        <f t="shared" si="12"/>
        <v>962</v>
      </c>
      <c r="H281" s="486">
        <v>0</v>
      </c>
      <c r="I281" s="486">
        <v>0</v>
      </c>
      <c r="J281" s="512">
        <f t="shared" si="13"/>
        <v>1670</v>
      </c>
      <c r="K281" s="28">
        <v>0</v>
      </c>
      <c r="L281" s="26">
        <v>0</v>
      </c>
      <c r="M281" s="26">
        <v>0</v>
      </c>
      <c r="N281" s="513"/>
    </row>
    <row r="282" spans="1:14" ht="12.75">
      <c r="A282" s="26">
        <v>963</v>
      </c>
      <c r="B282" s="27" t="s">
        <v>300</v>
      </c>
      <c r="C282" s="26">
        <v>951</v>
      </c>
      <c r="D282" s="191">
        <v>170</v>
      </c>
      <c r="E282" s="191">
        <v>216</v>
      </c>
      <c r="F282" s="380">
        <f t="shared" si="14"/>
        <v>260</v>
      </c>
      <c r="G282" s="380">
        <f t="shared" si="12"/>
        <v>963</v>
      </c>
      <c r="H282" s="486">
        <v>0</v>
      </c>
      <c r="I282" s="486">
        <v>0</v>
      </c>
      <c r="J282" s="512">
        <f t="shared" si="13"/>
        <v>1167</v>
      </c>
      <c r="K282" s="28">
        <v>0</v>
      </c>
      <c r="L282" s="26">
        <v>0</v>
      </c>
      <c r="M282" s="26">
        <v>0</v>
      </c>
      <c r="N282" s="513"/>
    </row>
    <row r="283" spans="1:14" ht="12.75">
      <c r="A283" s="26">
        <v>965</v>
      </c>
      <c r="B283" s="27" t="s">
        <v>301</v>
      </c>
      <c r="C283" s="26">
        <v>2913</v>
      </c>
      <c r="D283" s="191">
        <v>0</v>
      </c>
      <c r="E283" s="191">
        <v>0</v>
      </c>
      <c r="F283" s="380">
        <f t="shared" si="14"/>
        <v>0</v>
      </c>
      <c r="G283" s="380">
        <f t="shared" si="12"/>
        <v>965</v>
      </c>
      <c r="H283" s="486">
        <v>0</v>
      </c>
      <c r="I283" s="486">
        <v>0</v>
      </c>
      <c r="J283" s="512">
        <f t="shared" si="13"/>
        <v>2913</v>
      </c>
      <c r="K283" s="28">
        <v>0</v>
      </c>
      <c r="L283" s="26">
        <v>0</v>
      </c>
      <c r="M283" s="26">
        <v>0</v>
      </c>
      <c r="N283" s="513"/>
    </row>
    <row r="284" spans="1:14" ht="12.75">
      <c r="A284" s="26">
        <v>966</v>
      </c>
      <c r="B284" s="27" t="s">
        <v>302</v>
      </c>
      <c r="C284" s="26">
        <v>1850</v>
      </c>
      <c r="D284" s="191">
        <v>55</v>
      </c>
      <c r="E284" s="191">
        <v>55</v>
      </c>
      <c r="F284" s="380">
        <f t="shared" si="14"/>
        <v>55</v>
      </c>
      <c r="G284" s="380">
        <f t="shared" si="12"/>
        <v>966</v>
      </c>
      <c r="H284" s="486">
        <v>0</v>
      </c>
      <c r="I284" s="486">
        <v>0</v>
      </c>
      <c r="J284" s="512">
        <f t="shared" si="13"/>
        <v>1905</v>
      </c>
      <c r="K284" s="28">
        <v>0</v>
      </c>
      <c r="L284" s="26">
        <v>0</v>
      </c>
      <c r="M284" s="26">
        <v>0</v>
      </c>
      <c r="N284" s="513"/>
    </row>
    <row r="285" spans="1:14" ht="12.75">
      <c r="A285" s="26">
        <v>967</v>
      </c>
      <c r="B285" s="27" t="s">
        <v>303</v>
      </c>
      <c r="C285" s="26">
        <v>1564</v>
      </c>
      <c r="D285" s="191">
        <v>93</v>
      </c>
      <c r="E285" s="191">
        <v>93</v>
      </c>
      <c r="F285" s="380">
        <f t="shared" si="14"/>
        <v>93</v>
      </c>
      <c r="G285" s="380">
        <f t="shared" si="12"/>
        <v>967</v>
      </c>
      <c r="H285" s="486">
        <v>0</v>
      </c>
      <c r="I285" s="486">
        <v>0</v>
      </c>
      <c r="J285" s="512">
        <f t="shared" si="13"/>
        <v>1657</v>
      </c>
      <c r="K285" s="28">
        <v>0</v>
      </c>
      <c r="L285" s="26">
        <v>0</v>
      </c>
      <c r="M285" s="26">
        <v>0</v>
      </c>
      <c r="N285" s="513"/>
    </row>
    <row r="286" spans="1:14" ht="12.75">
      <c r="A286" s="26">
        <v>968</v>
      </c>
      <c r="B286" s="27" t="s">
        <v>249</v>
      </c>
      <c r="C286" s="26">
        <v>1500</v>
      </c>
      <c r="D286" s="191">
        <v>101</v>
      </c>
      <c r="E286" s="191">
        <v>101</v>
      </c>
      <c r="F286" s="380">
        <f t="shared" si="14"/>
        <v>101</v>
      </c>
      <c r="G286" s="380">
        <f t="shared" si="12"/>
        <v>968</v>
      </c>
      <c r="H286" s="486">
        <v>0</v>
      </c>
      <c r="I286" s="486">
        <v>0</v>
      </c>
      <c r="J286" s="512">
        <f t="shared" si="13"/>
        <v>1601</v>
      </c>
      <c r="K286" s="28">
        <v>0</v>
      </c>
      <c r="L286" s="26">
        <v>0</v>
      </c>
      <c r="M286" s="26">
        <v>0</v>
      </c>
      <c r="N286" s="513"/>
    </row>
    <row r="287" spans="1:14" ht="12.75">
      <c r="A287" s="26">
        <v>969</v>
      </c>
      <c r="B287" s="27" t="s">
        <v>304</v>
      </c>
      <c r="C287" s="26">
        <v>971</v>
      </c>
      <c r="D287" s="191">
        <v>170</v>
      </c>
      <c r="E287" s="191">
        <v>216</v>
      </c>
      <c r="F287" s="380">
        <f t="shared" si="14"/>
        <v>260</v>
      </c>
      <c r="G287" s="380">
        <f t="shared" si="12"/>
        <v>969</v>
      </c>
      <c r="H287" s="486">
        <v>0</v>
      </c>
      <c r="I287" s="486">
        <v>0</v>
      </c>
      <c r="J287" s="512">
        <f t="shared" si="13"/>
        <v>1187</v>
      </c>
      <c r="K287" s="28">
        <v>150</v>
      </c>
      <c r="L287" s="26">
        <v>0</v>
      </c>
      <c r="M287" s="26">
        <v>0</v>
      </c>
      <c r="N287" s="513"/>
    </row>
    <row r="288" spans="1:14" ht="12.75">
      <c r="A288" s="26">
        <v>970</v>
      </c>
      <c r="B288" s="27" t="s">
        <v>305</v>
      </c>
      <c r="C288" s="26">
        <v>1480</v>
      </c>
      <c r="D288" s="191">
        <v>104</v>
      </c>
      <c r="E288" s="191">
        <v>104</v>
      </c>
      <c r="F288" s="380">
        <f t="shared" si="14"/>
        <v>104</v>
      </c>
      <c r="G288" s="380">
        <f t="shared" si="12"/>
        <v>970</v>
      </c>
      <c r="H288" s="486">
        <v>0</v>
      </c>
      <c r="I288" s="486">
        <v>0</v>
      </c>
      <c r="J288" s="512">
        <f t="shared" si="13"/>
        <v>1584</v>
      </c>
      <c r="K288" s="28">
        <v>0</v>
      </c>
      <c r="L288" s="26">
        <v>0</v>
      </c>
      <c r="M288" s="26">
        <v>0</v>
      </c>
      <c r="N288" s="513"/>
    </row>
    <row r="289" spans="1:14" ht="12.75">
      <c r="A289" s="26">
        <v>971</v>
      </c>
      <c r="B289" s="27" t="s">
        <v>306</v>
      </c>
      <c r="C289" s="26">
        <v>1400</v>
      </c>
      <c r="D289" s="191">
        <v>114</v>
      </c>
      <c r="E289" s="191">
        <v>114</v>
      </c>
      <c r="F289" s="380">
        <f t="shared" si="14"/>
        <v>114</v>
      </c>
      <c r="G289" s="380">
        <f t="shared" si="12"/>
        <v>971</v>
      </c>
      <c r="H289" s="486">
        <v>0</v>
      </c>
      <c r="I289" s="486">
        <v>116</v>
      </c>
      <c r="J289" s="512">
        <f t="shared" si="13"/>
        <v>1514</v>
      </c>
      <c r="K289" s="28">
        <v>150</v>
      </c>
      <c r="L289" s="26">
        <v>0</v>
      </c>
      <c r="M289" s="26">
        <v>0</v>
      </c>
      <c r="N289" s="513"/>
    </row>
    <row r="290" spans="1:14" ht="12.75">
      <c r="A290" s="26">
        <v>972</v>
      </c>
      <c r="B290" s="27" t="s">
        <v>307</v>
      </c>
      <c r="C290" s="26">
        <v>1692</v>
      </c>
      <c r="D290" s="191">
        <v>76</v>
      </c>
      <c r="E290" s="191">
        <v>76</v>
      </c>
      <c r="F290" s="380">
        <f t="shared" si="14"/>
        <v>76</v>
      </c>
      <c r="G290" s="380">
        <f t="shared" si="12"/>
        <v>972</v>
      </c>
      <c r="H290" s="486">
        <v>0</v>
      </c>
      <c r="I290" s="486">
        <v>136</v>
      </c>
      <c r="J290" s="512">
        <f t="shared" si="13"/>
        <v>1768</v>
      </c>
      <c r="K290" s="28">
        <v>17</v>
      </c>
      <c r="L290" s="26">
        <v>0</v>
      </c>
      <c r="M290" s="26">
        <v>0</v>
      </c>
      <c r="N290" s="513"/>
    </row>
    <row r="291" spans="1:14" ht="12.75">
      <c r="A291" s="26">
        <v>973</v>
      </c>
      <c r="B291" s="27" t="s">
        <v>308</v>
      </c>
      <c r="C291" s="26">
        <v>1592</v>
      </c>
      <c r="D291" s="191">
        <v>89</v>
      </c>
      <c r="E291" s="191">
        <v>89</v>
      </c>
      <c r="F291" s="380">
        <f t="shared" si="14"/>
        <v>89</v>
      </c>
      <c r="G291" s="380">
        <f t="shared" si="12"/>
        <v>973</v>
      </c>
      <c r="H291" s="486">
        <v>0</v>
      </c>
      <c r="I291" s="486">
        <v>0</v>
      </c>
      <c r="J291" s="512">
        <f t="shared" si="13"/>
        <v>1681</v>
      </c>
      <c r="K291" s="28">
        <v>17</v>
      </c>
      <c r="L291" s="26">
        <v>0</v>
      </c>
      <c r="M291" s="26">
        <v>0</v>
      </c>
      <c r="N291" s="513"/>
    </row>
    <row r="292" spans="1:14" ht="12.75">
      <c r="A292" s="26">
        <v>974</v>
      </c>
      <c r="B292" s="27" t="s">
        <v>309</v>
      </c>
      <c r="C292" s="26">
        <v>1500</v>
      </c>
      <c r="D292" s="191">
        <v>101</v>
      </c>
      <c r="E292" s="191">
        <v>101</v>
      </c>
      <c r="F292" s="380">
        <f t="shared" si="14"/>
        <v>101</v>
      </c>
      <c r="G292" s="380">
        <f t="shared" si="12"/>
        <v>974</v>
      </c>
      <c r="H292" s="486">
        <v>0</v>
      </c>
      <c r="I292" s="486">
        <v>0</v>
      </c>
      <c r="J292" s="512">
        <f t="shared" si="13"/>
        <v>1601</v>
      </c>
      <c r="K292" s="28">
        <v>150</v>
      </c>
      <c r="L292" s="26">
        <v>0</v>
      </c>
      <c r="M292" s="26">
        <v>0</v>
      </c>
      <c r="N292" s="513"/>
    </row>
    <row r="293" spans="1:14" ht="12.75">
      <c r="A293" s="26">
        <v>975</v>
      </c>
      <c r="B293" s="27" t="s">
        <v>310</v>
      </c>
      <c r="C293" s="26">
        <v>971</v>
      </c>
      <c r="D293" s="191">
        <v>170</v>
      </c>
      <c r="E293" s="191">
        <v>216</v>
      </c>
      <c r="F293" s="380">
        <f t="shared" si="14"/>
        <v>260</v>
      </c>
      <c r="G293" s="380">
        <f t="shared" si="12"/>
        <v>975</v>
      </c>
      <c r="H293" s="486">
        <v>0</v>
      </c>
      <c r="I293" s="486">
        <v>0</v>
      </c>
      <c r="J293" s="512">
        <f t="shared" si="13"/>
        <v>1187</v>
      </c>
      <c r="K293" s="28">
        <v>0</v>
      </c>
      <c r="L293" s="26">
        <v>0</v>
      </c>
      <c r="M293" s="26">
        <v>0</v>
      </c>
      <c r="N293" s="513"/>
    </row>
    <row r="294" spans="1:14" ht="12.75">
      <c r="A294" s="26">
        <v>976</v>
      </c>
      <c r="B294" s="27" t="s">
        <v>311</v>
      </c>
      <c r="C294" s="26">
        <v>971</v>
      </c>
      <c r="D294" s="191">
        <v>170</v>
      </c>
      <c r="E294" s="191">
        <v>216</v>
      </c>
      <c r="F294" s="380">
        <f t="shared" si="14"/>
        <v>260</v>
      </c>
      <c r="G294" s="380">
        <f t="shared" si="12"/>
        <v>976</v>
      </c>
      <c r="H294" s="486">
        <v>0</v>
      </c>
      <c r="I294" s="486">
        <v>0</v>
      </c>
      <c r="J294" s="512">
        <f t="shared" si="13"/>
        <v>1187</v>
      </c>
      <c r="K294" s="28">
        <v>0</v>
      </c>
      <c r="L294" s="26">
        <v>0</v>
      </c>
      <c r="M294" s="26">
        <v>0</v>
      </c>
      <c r="N294" s="513"/>
    </row>
    <row r="295" spans="1:14" ht="12.75">
      <c r="A295" s="26">
        <v>977</v>
      </c>
      <c r="B295" s="27" t="s">
        <v>312</v>
      </c>
      <c r="C295" s="26">
        <v>971</v>
      </c>
      <c r="D295" s="191">
        <v>170</v>
      </c>
      <c r="E295" s="191">
        <v>216</v>
      </c>
      <c r="F295" s="380">
        <f t="shared" si="14"/>
        <v>260</v>
      </c>
      <c r="G295" s="380">
        <f t="shared" si="12"/>
        <v>977</v>
      </c>
      <c r="H295" s="486">
        <v>0</v>
      </c>
      <c r="I295" s="486">
        <v>0</v>
      </c>
      <c r="J295" s="512">
        <f t="shared" si="13"/>
        <v>1187</v>
      </c>
      <c r="K295" s="28">
        <v>0</v>
      </c>
      <c r="L295" s="26">
        <v>0</v>
      </c>
      <c r="M295" s="26">
        <v>0</v>
      </c>
      <c r="N295" s="513"/>
    </row>
    <row r="296" spans="1:14" ht="12.75">
      <c r="A296" s="26">
        <v>978</v>
      </c>
      <c r="B296" s="27" t="s">
        <v>313</v>
      </c>
      <c r="C296" s="26">
        <v>1840</v>
      </c>
      <c r="D296" s="191">
        <v>57</v>
      </c>
      <c r="E296" s="191">
        <v>57</v>
      </c>
      <c r="F296" s="380">
        <f t="shared" si="14"/>
        <v>57</v>
      </c>
      <c r="G296" s="380">
        <f t="shared" si="12"/>
        <v>978</v>
      </c>
      <c r="H296" s="486">
        <v>0</v>
      </c>
      <c r="I296" s="486">
        <v>194</v>
      </c>
      <c r="J296" s="512">
        <f t="shared" si="13"/>
        <v>1897</v>
      </c>
      <c r="K296" s="28">
        <v>0</v>
      </c>
      <c r="L296" s="26">
        <v>0</v>
      </c>
      <c r="M296" s="26">
        <v>0</v>
      </c>
      <c r="N296" s="513"/>
    </row>
    <row r="297" spans="1:14" ht="12.75">
      <c r="A297" s="26">
        <v>979</v>
      </c>
      <c r="B297" s="27" t="s">
        <v>314</v>
      </c>
      <c r="C297" s="26">
        <v>1740</v>
      </c>
      <c r="D297" s="191">
        <v>70</v>
      </c>
      <c r="E297" s="191">
        <v>70</v>
      </c>
      <c r="F297" s="380">
        <f t="shared" si="14"/>
        <v>70</v>
      </c>
      <c r="G297" s="380">
        <f t="shared" si="12"/>
        <v>979</v>
      </c>
      <c r="H297" s="486">
        <v>0</v>
      </c>
      <c r="I297" s="486">
        <v>0</v>
      </c>
      <c r="J297" s="512">
        <f t="shared" si="13"/>
        <v>1810</v>
      </c>
      <c r="K297" s="28">
        <v>0</v>
      </c>
      <c r="L297" s="26">
        <v>0</v>
      </c>
      <c r="M297" s="26">
        <v>0</v>
      </c>
      <c r="N297" s="513"/>
    </row>
    <row r="298" spans="1:14" ht="12.75">
      <c r="A298" s="26">
        <v>980</v>
      </c>
      <c r="B298" s="27" t="s">
        <v>315</v>
      </c>
      <c r="C298" s="26">
        <v>574</v>
      </c>
      <c r="D298" s="191">
        <v>222</v>
      </c>
      <c r="E298" s="191">
        <v>216</v>
      </c>
      <c r="F298" s="380">
        <f t="shared" si="14"/>
        <v>260</v>
      </c>
      <c r="G298" s="380">
        <f t="shared" si="12"/>
        <v>980</v>
      </c>
      <c r="H298" s="486">
        <v>0</v>
      </c>
      <c r="I298" s="486">
        <v>0</v>
      </c>
      <c r="J298" s="512">
        <f t="shared" si="13"/>
        <v>790</v>
      </c>
      <c r="K298" s="28">
        <v>0</v>
      </c>
      <c r="L298" s="26">
        <v>0</v>
      </c>
      <c r="M298" s="26">
        <v>0</v>
      </c>
      <c r="N298" s="513"/>
    </row>
    <row r="299" spans="1:14" ht="12.75">
      <c r="A299" s="26">
        <v>981</v>
      </c>
      <c r="B299" s="27" t="s">
        <v>316</v>
      </c>
      <c r="C299" s="26">
        <v>1782</v>
      </c>
      <c r="D299" s="191">
        <v>64</v>
      </c>
      <c r="E299" s="191">
        <v>64</v>
      </c>
      <c r="F299" s="380">
        <f t="shared" si="14"/>
        <v>64</v>
      </c>
      <c r="G299" s="380">
        <f t="shared" si="12"/>
        <v>981</v>
      </c>
      <c r="H299" s="486">
        <v>0</v>
      </c>
      <c r="I299" s="486">
        <v>194</v>
      </c>
      <c r="J299" s="512">
        <f t="shared" si="13"/>
        <v>1846</v>
      </c>
      <c r="K299" s="28">
        <v>0</v>
      </c>
      <c r="L299" s="26">
        <v>0</v>
      </c>
      <c r="M299" s="26">
        <v>0</v>
      </c>
      <c r="N299" s="513"/>
    </row>
    <row r="300" spans="1:14" ht="12.75">
      <c r="A300" s="26">
        <v>982</v>
      </c>
      <c r="B300" s="27" t="s">
        <v>317</v>
      </c>
      <c r="C300" s="26">
        <v>1740</v>
      </c>
      <c r="D300" s="191">
        <v>70</v>
      </c>
      <c r="E300" s="191">
        <v>70</v>
      </c>
      <c r="F300" s="380">
        <f t="shared" si="14"/>
        <v>70</v>
      </c>
      <c r="G300" s="380">
        <f t="shared" si="12"/>
        <v>982</v>
      </c>
      <c r="H300" s="486">
        <v>0</v>
      </c>
      <c r="I300" s="486">
        <v>155</v>
      </c>
      <c r="J300" s="512">
        <f t="shared" si="13"/>
        <v>1810</v>
      </c>
      <c r="K300" s="28">
        <v>0</v>
      </c>
      <c r="L300" s="26">
        <v>0</v>
      </c>
      <c r="M300" s="26">
        <v>0</v>
      </c>
      <c r="N300" s="513"/>
    </row>
    <row r="301" spans="1:14" ht="12.75">
      <c r="A301" s="26">
        <v>983</v>
      </c>
      <c r="B301" s="27" t="s">
        <v>318</v>
      </c>
      <c r="C301" s="26">
        <v>1170</v>
      </c>
      <c r="D301" s="191">
        <v>144</v>
      </c>
      <c r="E301" s="191">
        <v>144</v>
      </c>
      <c r="F301" s="380">
        <f t="shared" si="14"/>
        <v>144</v>
      </c>
      <c r="G301" s="380">
        <f t="shared" si="12"/>
        <v>983</v>
      </c>
      <c r="H301" s="486">
        <v>0</v>
      </c>
      <c r="I301" s="486">
        <v>0</v>
      </c>
      <c r="J301" s="512">
        <f t="shared" si="13"/>
        <v>1314</v>
      </c>
      <c r="K301" s="28">
        <v>0</v>
      </c>
      <c r="L301" s="26">
        <v>0</v>
      </c>
      <c r="M301" s="26">
        <v>0</v>
      </c>
      <c r="N301" s="513"/>
    </row>
    <row r="302" spans="1:14" ht="12.75">
      <c r="A302" s="26">
        <v>984</v>
      </c>
      <c r="B302" s="27" t="s">
        <v>319</v>
      </c>
      <c r="C302" s="26">
        <v>690</v>
      </c>
      <c r="D302" s="191">
        <v>207</v>
      </c>
      <c r="E302" s="191">
        <v>216</v>
      </c>
      <c r="F302" s="380">
        <f t="shared" si="14"/>
        <v>260</v>
      </c>
      <c r="G302" s="380">
        <f t="shared" si="12"/>
        <v>984</v>
      </c>
      <c r="H302" s="486">
        <v>0</v>
      </c>
      <c r="I302" s="486">
        <v>0</v>
      </c>
      <c r="J302" s="512">
        <f t="shared" si="13"/>
        <v>906</v>
      </c>
      <c r="K302" s="28">
        <v>0</v>
      </c>
      <c r="L302" s="26">
        <v>0</v>
      </c>
      <c r="M302" s="26">
        <v>0</v>
      </c>
      <c r="N302" s="513"/>
    </row>
    <row r="303" spans="1:14" ht="12.75">
      <c r="A303" s="26">
        <v>985</v>
      </c>
      <c r="B303" s="27" t="s">
        <v>320</v>
      </c>
      <c r="C303" s="26">
        <v>2913</v>
      </c>
      <c r="D303" s="191">
        <v>0</v>
      </c>
      <c r="E303" s="191">
        <v>0</v>
      </c>
      <c r="F303" s="380">
        <f t="shared" si="14"/>
        <v>0</v>
      </c>
      <c r="G303" s="380">
        <f t="shared" si="12"/>
        <v>985</v>
      </c>
      <c r="H303" s="486">
        <v>0</v>
      </c>
      <c r="I303" s="486">
        <v>0</v>
      </c>
      <c r="J303" s="512">
        <f t="shared" si="13"/>
        <v>2913</v>
      </c>
      <c r="K303" s="28">
        <v>0</v>
      </c>
      <c r="L303" s="26">
        <v>0</v>
      </c>
      <c r="M303" s="26">
        <v>0</v>
      </c>
      <c r="N303" s="513"/>
    </row>
    <row r="304" spans="1:14" ht="12.75">
      <c r="A304" s="26">
        <v>986</v>
      </c>
      <c r="B304" s="27" t="s">
        <v>321</v>
      </c>
      <c r="C304" s="26">
        <v>644</v>
      </c>
      <c r="D304" s="191">
        <v>213</v>
      </c>
      <c r="E304" s="191">
        <v>216</v>
      </c>
      <c r="F304" s="380">
        <f t="shared" si="14"/>
        <v>260</v>
      </c>
      <c r="G304" s="380">
        <f t="shared" si="12"/>
        <v>986</v>
      </c>
      <c r="H304" s="486">
        <v>0</v>
      </c>
      <c r="I304" s="486">
        <v>0</v>
      </c>
      <c r="J304" s="512">
        <f t="shared" si="13"/>
        <v>860</v>
      </c>
      <c r="K304" s="28">
        <v>0</v>
      </c>
      <c r="L304" s="26">
        <v>0</v>
      </c>
      <c r="M304" s="26">
        <v>0</v>
      </c>
      <c r="N304" s="513"/>
    </row>
    <row r="305" spans="1:14" ht="12.75">
      <c r="A305" s="26">
        <v>987</v>
      </c>
      <c r="B305" s="27" t="s">
        <v>167</v>
      </c>
      <c r="C305" s="26">
        <v>1170</v>
      </c>
      <c r="D305" s="191">
        <v>144</v>
      </c>
      <c r="E305" s="191">
        <v>144</v>
      </c>
      <c r="F305" s="380">
        <f t="shared" si="14"/>
        <v>144</v>
      </c>
      <c r="G305" s="380">
        <f t="shared" si="12"/>
        <v>987</v>
      </c>
      <c r="H305" s="486">
        <v>0</v>
      </c>
      <c r="I305" s="486">
        <v>0</v>
      </c>
      <c r="J305" s="512">
        <f t="shared" si="13"/>
        <v>1314</v>
      </c>
      <c r="K305" s="28">
        <v>0</v>
      </c>
      <c r="L305" s="26">
        <v>0</v>
      </c>
      <c r="M305" s="26">
        <v>0</v>
      </c>
      <c r="N305" s="513"/>
    </row>
    <row r="306" spans="1:14" ht="12.75">
      <c r="A306" s="26">
        <v>988</v>
      </c>
      <c r="B306" s="27" t="s">
        <v>322</v>
      </c>
      <c r="C306" s="26">
        <v>2600</v>
      </c>
      <c r="D306" s="191">
        <v>0</v>
      </c>
      <c r="E306" s="191">
        <v>0</v>
      </c>
      <c r="F306" s="380">
        <f t="shared" si="14"/>
        <v>0</v>
      </c>
      <c r="G306" s="380">
        <f t="shared" si="12"/>
        <v>988</v>
      </c>
      <c r="H306" s="486">
        <v>0</v>
      </c>
      <c r="I306" s="486">
        <v>0</v>
      </c>
      <c r="J306" s="512">
        <f t="shared" si="13"/>
        <v>2600</v>
      </c>
      <c r="K306" s="28">
        <v>0</v>
      </c>
      <c r="L306" s="26">
        <v>0</v>
      </c>
      <c r="M306" s="26">
        <v>0</v>
      </c>
      <c r="N306" s="513"/>
    </row>
    <row r="307" spans="1:14" ht="12.75">
      <c r="A307" s="26">
        <v>989</v>
      </c>
      <c r="B307" s="27" t="s">
        <v>323</v>
      </c>
      <c r="C307" s="26">
        <v>2840</v>
      </c>
      <c r="D307" s="191">
        <v>0</v>
      </c>
      <c r="E307" s="191">
        <v>0</v>
      </c>
      <c r="F307" s="380">
        <f t="shared" si="14"/>
        <v>0</v>
      </c>
      <c r="G307" s="380">
        <f t="shared" si="12"/>
        <v>989</v>
      </c>
      <c r="H307" s="486">
        <v>0</v>
      </c>
      <c r="I307" s="486">
        <v>0</v>
      </c>
      <c r="J307" s="512">
        <f t="shared" si="13"/>
        <v>2840</v>
      </c>
      <c r="K307" s="28">
        <v>0</v>
      </c>
      <c r="L307" s="26">
        <v>0</v>
      </c>
      <c r="M307" s="26">
        <v>0</v>
      </c>
      <c r="N307" s="513"/>
    </row>
    <row r="308" spans="1:14" ht="12.75">
      <c r="A308" s="26">
        <v>990</v>
      </c>
      <c r="B308" s="27" t="s">
        <v>324</v>
      </c>
      <c r="C308" s="26">
        <v>2100</v>
      </c>
      <c r="D308" s="191">
        <v>23</v>
      </c>
      <c r="E308" s="191">
        <v>23</v>
      </c>
      <c r="F308" s="380">
        <f t="shared" si="14"/>
        <v>23</v>
      </c>
      <c r="G308" s="380">
        <f t="shared" si="12"/>
        <v>990</v>
      </c>
      <c r="H308" s="486">
        <v>0</v>
      </c>
      <c r="I308" s="486">
        <v>0</v>
      </c>
      <c r="J308" s="512">
        <f t="shared" si="13"/>
        <v>2123</v>
      </c>
      <c r="K308" s="28">
        <v>0</v>
      </c>
      <c r="L308" s="26">
        <v>0</v>
      </c>
      <c r="M308" s="26">
        <v>0</v>
      </c>
      <c r="N308" s="513"/>
    </row>
    <row r="309" spans="1:14" ht="12.75">
      <c r="A309" s="26">
        <v>991</v>
      </c>
      <c r="B309" s="27" t="s">
        <v>325</v>
      </c>
      <c r="C309" s="26">
        <v>1850</v>
      </c>
      <c r="D309" s="191">
        <v>55</v>
      </c>
      <c r="E309" s="191">
        <v>55</v>
      </c>
      <c r="F309" s="380">
        <f t="shared" si="14"/>
        <v>55</v>
      </c>
      <c r="G309" s="380">
        <f t="shared" si="12"/>
        <v>991</v>
      </c>
      <c r="H309" s="486">
        <v>0</v>
      </c>
      <c r="I309" s="486">
        <v>0</v>
      </c>
      <c r="J309" s="512">
        <f t="shared" si="13"/>
        <v>1905</v>
      </c>
      <c r="K309" s="28">
        <v>0</v>
      </c>
      <c r="L309" s="26">
        <v>0</v>
      </c>
      <c r="M309" s="26">
        <v>0</v>
      </c>
      <c r="N309" s="513"/>
    </row>
    <row r="310" spans="1:14" ht="12.75">
      <c r="A310" s="26">
        <v>992</v>
      </c>
      <c r="B310" s="27" t="s">
        <v>326</v>
      </c>
      <c r="C310" s="26">
        <v>2840</v>
      </c>
      <c r="D310" s="191">
        <v>0</v>
      </c>
      <c r="E310" s="191">
        <v>0</v>
      </c>
      <c r="F310" s="380">
        <f t="shared" si="14"/>
        <v>0</v>
      </c>
      <c r="G310" s="380">
        <f t="shared" si="12"/>
        <v>992</v>
      </c>
      <c r="H310" s="486">
        <v>0</v>
      </c>
      <c r="I310" s="486">
        <v>0</v>
      </c>
      <c r="J310" s="512">
        <f t="shared" si="13"/>
        <v>2840</v>
      </c>
      <c r="K310" s="28">
        <v>0</v>
      </c>
      <c r="L310" s="26">
        <v>0</v>
      </c>
      <c r="M310" s="26">
        <v>0</v>
      </c>
      <c r="N310" s="513"/>
    </row>
    <row r="311" spans="1:14" ht="12.75">
      <c r="A311" s="26">
        <v>993</v>
      </c>
      <c r="B311" s="27" t="s">
        <v>327</v>
      </c>
      <c r="C311" s="26">
        <v>2913</v>
      </c>
      <c r="D311" s="191">
        <v>0</v>
      </c>
      <c r="E311" s="191">
        <v>0</v>
      </c>
      <c r="F311" s="380">
        <f t="shared" si="14"/>
        <v>0</v>
      </c>
      <c r="G311" s="380">
        <f t="shared" si="12"/>
        <v>993</v>
      </c>
      <c r="H311" s="486">
        <v>0</v>
      </c>
      <c r="I311" s="486">
        <v>0</v>
      </c>
      <c r="J311" s="512">
        <f t="shared" si="13"/>
        <v>2913</v>
      </c>
      <c r="K311" s="28">
        <v>0</v>
      </c>
      <c r="L311" s="26">
        <v>0</v>
      </c>
      <c r="M311" s="26">
        <v>0</v>
      </c>
      <c r="N311" s="513"/>
    </row>
    <row r="312" spans="1:14" ht="12.75">
      <c r="A312" s="26">
        <v>994</v>
      </c>
      <c r="B312" s="27" t="s">
        <v>328</v>
      </c>
      <c r="C312" s="26">
        <v>1580</v>
      </c>
      <c r="D312" s="191">
        <v>90</v>
      </c>
      <c r="E312" s="191">
        <v>90</v>
      </c>
      <c r="F312" s="380">
        <f t="shared" si="14"/>
        <v>90</v>
      </c>
      <c r="G312" s="380">
        <f t="shared" si="12"/>
        <v>994</v>
      </c>
      <c r="H312" s="486">
        <v>0</v>
      </c>
      <c r="I312" s="486">
        <v>0</v>
      </c>
      <c r="J312" s="512">
        <f t="shared" si="13"/>
        <v>1670</v>
      </c>
      <c r="K312" s="28">
        <v>0</v>
      </c>
      <c r="L312" s="26">
        <v>0</v>
      </c>
      <c r="M312" s="26">
        <v>0</v>
      </c>
      <c r="N312" s="513"/>
    </row>
    <row r="313" spans="1:14" ht="12.75">
      <c r="A313" s="26">
        <v>995</v>
      </c>
      <c r="B313" s="27" t="s">
        <v>329</v>
      </c>
      <c r="C313" s="26">
        <v>1564</v>
      </c>
      <c r="D313" s="191">
        <v>93</v>
      </c>
      <c r="E313" s="191">
        <v>93</v>
      </c>
      <c r="F313" s="380">
        <f t="shared" si="14"/>
        <v>93</v>
      </c>
      <c r="G313" s="380">
        <f t="shared" si="12"/>
        <v>995</v>
      </c>
      <c r="H313" s="486">
        <v>0</v>
      </c>
      <c r="I313" s="486">
        <v>0</v>
      </c>
      <c r="J313" s="512">
        <f t="shared" si="13"/>
        <v>1657</v>
      </c>
      <c r="K313" s="28">
        <v>0</v>
      </c>
      <c r="L313" s="26">
        <v>0</v>
      </c>
      <c r="M313" s="26">
        <v>0</v>
      </c>
      <c r="N313" s="513"/>
    </row>
    <row r="314" spans="1:14" ht="12.75">
      <c r="A314" s="26">
        <v>996</v>
      </c>
      <c r="B314" s="27" t="s">
        <v>70</v>
      </c>
      <c r="C314" s="26">
        <v>1480</v>
      </c>
      <c r="D314" s="191">
        <v>104</v>
      </c>
      <c r="E314" s="191">
        <v>104</v>
      </c>
      <c r="F314" s="380">
        <f t="shared" si="14"/>
        <v>104</v>
      </c>
      <c r="G314" s="380">
        <f t="shared" si="12"/>
        <v>996</v>
      </c>
      <c r="H314" s="486">
        <v>0</v>
      </c>
      <c r="I314" s="486">
        <v>0</v>
      </c>
      <c r="J314" s="512">
        <f t="shared" si="13"/>
        <v>1584</v>
      </c>
      <c r="K314" s="28">
        <v>0</v>
      </c>
      <c r="L314" s="26">
        <v>0</v>
      </c>
      <c r="M314" s="26">
        <v>0</v>
      </c>
      <c r="N314" s="513"/>
    </row>
    <row r="315" spans="1:14" ht="12.75">
      <c r="A315" s="26">
        <v>997</v>
      </c>
      <c r="B315" s="27" t="s">
        <v>330</v>
      </c>
      <c r="C315" s="26">
        <v>1564</v>
      </c>
      <c r="D315" s="191">
        <v>93</v>
      </c>
      <c r="E315" s="191">
        <v>93</v>
      </c>
      <c r="F315" s="380">
        <f t="shared" si="14"/>
        <v>93</v>
      </c>
      <c r="G315" s="380">
        <f t="shared" si="12"/>
        <v>997</v>
      </c>
      <c r="H315" s="486">
        <v>0</v>
      </c>
      <c r="I315" s="486">
        <v>0</v>
      </c>
      <c r="J315" s="512">
        <f t="shared" si="13"/>
        <v>1657</v>
      </c>
      <c r="K315" s="28">
        <v>0</v>
      </c>
      <c r="L315" s="26">
        <v>0</v>
      </c>
      <c r="M315" s="26">
        <v>0</v>
      </c>
      <c r="N315" s="513"/>
    </row>
    <row r="316" spans="1:14" ht="12.75">
      <c r="A316" s="26">
        <v>998</v>
      </c>
      <c r="B316" s="27" t="s">
        <v>331</v>
      </c>
      <c r="C316" s="26">
        <v>2220</v>
      </c>
      <c r="D316" s="191">
        <v>7</v>
      </c>
      <c r="E316" s="191">
        <v>7</v>
      </c>
      <c r="F316" s="380">
        <f t="shared" si="14"/>
        <v>7</v>
      </c>
      <c r="G316" s="380">
        <f t="shared" si="12"/>
        <v>998</v>
      </c>
      <c r="H316" s="486">
        <v>0</v>
      </c>
      <c r="I316" s="486">
        <v>0</v>
      </c>
      <c r="J316" s="512">
        <f t="shared" si="13"/>
        <v>2227</v>
      </c>
      <c r="K316" s="28">
        <v>0</v>
      </c>
      <c r="L316" s="26">
        <v>0</v>
      </c>
      <c r="M316" s="26">
        <v>0</v>
      </c>
      <c r="N316" s="513"/>
    </row>
    <row r="317" spans="1:14" ht="13.5" thickBot="1">
      <c r="A317" s="26">
        <v>999</v>
      </c>
      <c r="B317" s="27" t="s">
        <v>332</v>
      </c>
      <c r="C317" s="26">
        <v>3146</v>
      </c>
      <c r="D317" s="191">
        <v>0</v>
      </c>
      <c r="E317" s="191">
        <v>0</v>
      </c>
      <c r="F317" s="380">
        <f t="shared" si="14"/>
        <v>0</v>
      </c>
      <c r="G317" s="380">
        <f t="shared" si="12"/>
        <v>999</v>
      </c>
      <c r="H317" s="486">
        <v>0</v>
      </c>
      <c r="I317" s="486">
        <v>0</v>
      </c>
      <c r="J317" s="512">
        <f t="shared" si="13"/>
        <v>3146</v>
      </c>
      <c r="K317" s="36">
        <v>0</v>
      </c>
      <c r="L317" s="37">
        <v>0</v>
      </c>
      <c r="M317" s="37">
        <v>0</v>
      </c>
      <c r="N317" s="513"/>
    </row>
  </sheetData>
  <sheetProtection password="C9B5" sheet="1" objects="1" scenarios="1" selectLockedCell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T360"/>
  <sheetViews>
    <sheetView showGridLines="0" zoomScale="85" zoomScaleNormal="85" zoomScalePageLayoutView="0" workbookViewId="0" topLeftCell="A1">
      <pane ySplit="1" topLeftCell="A202" activePane="bottomLeft" state="frozen"/>
      <selection pane="topLeft" activeCell="C1" sqref="C1"/>
      <selection pane="bottomLeft" activeCell="I54" sqref="I54"/>
    </sheetView>
  </sheetViews>
  <sheetFormatPr defaultColWidth="11.421875" defaultRowHeight="12.75"/>
  <cols>
    <col min="1" max="2" width="3.28125" style="0" customWidth="1"/>
    <col min="3" max="3" width="4.28125" style="0" customWidth="1"/>
    <col min="4" max="4" width="13.00390625" style="0" customWidth="1"/>
    <col min="5" max="5" width="23.7109375" style="0" customWidth="1"/>
    <col min="6" max="6" width="25.57421875" style="0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9.28125" style="0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1:8" s="182" customFormat="1" ht="18.75" thickBot="1">
      <c r="A1" s="419"/>
      <c r="B1" s="419"/>
      <c r="C1" s="420"/>
      <c r="D1" s="183" t="s">
        <v>367</v>
      </c>
      <c r="E1" s="184" t="s">
        <v>368</v>
      </c>
      <c r="F1" s="185" t="s">
        <v>369</v>
      </c>
      <c r="G1" s="186" t="s">
        <v>370</v>
      </c>
      <c r="H1" s="187" t="s">
        <v>371</v>
      </c>
    </row>
    <row r="2" spans="1:15" ht="18.75" thickTop="1">
      <c r="A2" s="137"/>
      <c r="B2" s="137"/>
      <c r="C2" s="265"/>
      <c r="D2" s="265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8">
      <c r="A3" s="137"/>
      <c r="B3" s="137"/>
      <c r="C3" s="266" t="s">
        <v>396</v>
      </c>
      <c r="D3" s="265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3:4" s="216" customFormat="1" ht="18.75" hidden="1" thickBot="1">
      <c r="C4" s="350"/>
      <c r="D4" s="351"/>
    </row>
    <row r="5" spans="3:4" s="137" customFormat="1" ht="21" thickBot="1">
      <c r="C5" s="266"/>
      <c r="D5" s="418" t="s">
        <v>424</v>
      </c>
    </row>
    <row r="6" spans="3:7" s="360" customFormat="1" ht="21" thickBot="1">
      <c r="C6" s="359"/>
      <c r="D6" s="361" t="s">
        <v>393</v>
      </c>
      <c r="E6" s="362"/>
      <c r="F6" s="371">
        <v>0.82</v>
      </c>
      <c r="G6" s="370" t="s">
        <v>398</v>
      </c>
    </row>
    <row r="7" spans="3:4" s="216" customFormat="1" ht="18" hidden="1">
      <c r="C7" s="350"/>
      <c r="D7" s="351"/>
    </row>
    <row r="8" spans="3:4" s="216" customFormat="1" ht="18" hidden="1">
      <c r="C8" s="350"/>
      <c r="D8" s="351"/>
    </row>
    <row r="9" spans="1:15" ht="18">
      <c r="A9" s="137"/>
      <c r="B9" s="137"/>
      <c r="C9" s="266"/>
      <c r="D9" s="265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6:20" ht="16.5" hidden="1" thickBot="1">
      <c r="F10" t="s">
        <v>371</v>
      </c>
      <c r="G10" s="10" t="s">
        <v>373</v>
      </c>
      <c r="H10" s="10" t="s">
        <v>374</v>
      </c>
      <c r="I10" s="127" t="s">
        <v>375</v>
      </c>
      <c r="J10" s="127" t="s">
        <v>376</v>
      </c>
      <c r="K10" s="127" t="s">
        <v>377</v>
      </c>
      <c r="L10" s="127" t="s">
        <v>378</v>
      </c>
      <c r="M10" s="127" t="s">
        <v>379</v>
      </c>
      <c r="N10" s="127" t="s">
        <v>380</v>
      </c>
      <c r="O10" s="131" t="s">
        <v>381</v>
      </c>
      <c r="P10" s="131">
        <v>1</v>
      </c>
      <c r="Q10" s="131">
        <v>2</v>
      </c>
      <c r="R10" s="131">
        <v>3</v>
      </c>
      <c r="S10" s="131">
        <v>4</v>
      </c>
      <c r="T10" s="131">
        <v>5</v>
      </c>
    </row>
    <row r="11" spans="1:20" ht="15.75" hidden="1">
      <c r="A11">
        <v>1</v>
      </c>
      <c r="E11" s="118">
        <v>0</v>
      </c>
      <c r="F11" s="352" t="e">
        <f aca="true" t="shared" si="0" ref="F11:F22">IF(puntosproljorvarios1&lt;620,T11,O11)</f>
        <v>#NAME?</v>
      </c>
      <c r="G11" s="346">
        <v>409</v>
      </c>
      <c r="H11" s="346">
        <v>99</v>
      </c>
      <c r="I11" s="346">
        <v>0</v>
      </c>
      <c r="J11" s="346">
        <v>0</v>
      </c>
      <c r="K11" s="346">
        <v>0</v>
      </c>
      <c r="L11" s="346">
        <v>0</v>
      </c>
      <c r="M11" s="346">
        <v>99</v>
      </c>
      <c r="N11" s="346">
        <v>99</v>
      </c>
      <c r="O11" s="132">
        <f>IF(punbasjubvarios1&gt;971,N11,M11)</f>
        <v>99</v>
      </c>
      <c r="P11" s="132">
        <f aca="true" t="shared" si="1" ref="P11:P22">IF(punbasjubvarios1&lt;972,G11,H11)</f>
        <v>99</v>
      </c>
      <c r="Q11" s="132">
        <f aca="true" t="shared" si="2" ref="Q11:Q22">IF(punbasjubvarios1&lt;1170,P11,I11)</f>
        <v>0</v>
      </c>
      <c r="R11" s="132">
        <f aca="true" t="shared" si="3" ref="R11:R22">IF(punbasjubvarios1&lt;1401,Q11,J11)</f>
        <v>0</v>
      </c>
      <c r="S11" s="132">
        <f aca="true" t="shared" si="4" ref="S11:S22">IF(punbasjubvarios1&lt;1943,R11,K11)</f>
        <v>0</v>
      </c>
      <c r="T11" s="132">
        <f aca="true" t="shared" si="5" ref="T11:T22">IF(punbasjubvarios1&lt;=2220,S11,L11)</f>
        <v>0</v>
      </c>
    </row>
    <row r="12" spans="1:20" ht="15.75" hidden="1">
      <c r="A12">
        <v>1</v>
      </c>
      <c r="E12" s="119">
        <v>0.1</v>
      </c>
      <c r="F12" s="352" t="e">
        <f t="shared" si="0"/>
        <v>#NAME?</v>
      </c>
      <c r="G12" s="346">
        <v>581</v>
      </c>
      <c r="H12" s="346">
        <v>112</v>
      </c>
      <c r="I12" s="346">
        <v>0</v>
      </c>
      <c r="J12" s="346">
        <v>0</v>
      </c>
      <c r="K12" s="346">
        <v>0</v>
      </c>
      <c r="L12" s="346">
        <v>0</v>
      </c>
      <c r="M12" s="346">
        <v>112</v>
      </c>
      <c r="N12" s="346">
        <v>112</v>
      </c>
      <c r="O12" s="132">
        <f aca="true" t="shared" si="6" ref="O12:O22">IF(punbasjubvarios1&gt;971,N12,M12)</f>
        <v>112</v>
      </c>
      <c r="P12" s="132">
        <f t="shared" si="1"/>
        <v>112</v>
      </c>
      <c r="Q12" s="132">
        <f t="shared" si="2"/>
        <v>0</v>
      </c>
      <c r="R12" s="132">
        <f t="shared" si="3"/>
        <v>0</v>
      </c>
      <c r="S12" s="132">
        <f t="shared" si="4"/>
        <v>0</v>
      </c>
      <c r="T12" s="132">
        <f t="shared" si="5"/>
        <v>0</v>
      </c>
    </row>
    <row r="13" spans="1:20" ht="15.75" hidden="1">
      <c r="A13">
        <v>1</v>
      </c>
      <c r="E13" s="120">
        <v>0.15</v>
      </c>
      <c r="F13" s="352" t="e">
        <f t="shared" si="0"/>
        <v>#NAME?</v>
      </c>
      <c r="G13" s="346">
        <v>705</v>
      </c>
      <c r="H13" s="346">
        <v>224</v>
      </c>
      <c r="I13" s="346">
        <v>298</v>
      </c>
      <c r="J13" s="346">
        <v>240</v>
      </c>
      <c r="K13" s="346">
        <v>224</v>
      </c>
      <c r="L13" s="346">
        <v>0</v>
      </c>
      <c r="M13" s="346">
        <v>273</v>
      </c>
      <c r="N13" s="346">
        <v>273</v>
      </c>
      <c r="O13" s="132">
        <f t="shared" si="6"/>
        <v>273</v>
      </c>
      <c r="P13" s="132">
        <f t="shared" si="1"/>
        <v>224</v>
      </c>
      <c r="Q13" s="132">
        <f t="shared" si="2"/>
        <v>298</v>
      </c>
      <c r="R13" s="132">
        <f t="shared" si="3"/>
        <v>298</v>
      </c>
      <c r="S13" s="132">
        <f t="shared" si="4"/>
        <v>298</v>
      </c>
      <c r="T13" s="132">
        <f t="shared" si="5"/>
        <v>298</v>
      </c>
    </row>
    <row r="14" spans="1:20" ht="15.75" hidden="1">
      <c r="A14">
        <v>1</v>
      </c>
      <c r="E14" s="120">
        <v>0.3</v>
      </c>
      <c r="F14" s="352" t="e">
        <f t="shared" si="0"/>
        <v>#NAME?</v>
      </c>
      <c r="G14" s="346">
        <v>733</v>
      </c>
      <c r="H14" s="346">
        <v>242</v>
      </c>
      <c r="I14" s="346">
        <v>298</v>
      </c>
      <c r="J14" s="346">
        <v>240</v>
      </c>
      <c r="K14" s="346">
        <v>224</v>
      </c>
      <c r="L14" s="346">
        <v>0</v>
      </c>
      <c r="M14" s="346">
        <v>472</v>
      </c>
      <c r="N14" s="346">
        <v>435</v>
      </c>
      <c r="O14" s="132">
        <f t="shared" si="6"/>
        <v>435</v>
      </c>
      <c r="P14" s="132">
        <f t="shared" si="1"/>
        <v>242</v>
      </c>
      <c r="Q14" s="132">
        <f t="shared" si="2"/>
        <v>298</v>
      </c>
      <c r="R14" s="132">
        <f t="shared" si="3"/>
        <v>298</v>
      </c>
      <c r="S14" s="132">
        <f t="shared" si="4"/>
        <v>298</v>
      </c>
      <c r="T14" s="132">
        <f t="shared" si="5"/>
        <v>298</v>
      </c>
    </row>
    <row r="15" spans="1:20" ht="15.75" hidden="1">
      <c r="A15">
        <v>1</v>
      </c>
      <c r="E15" s="120">
        <v>0.4</v>
      </c>
      <c r="F15" s="352" t="e">
        <f t="shared" si="0"/>
        <v>#NAME?</v>
      </c>
      <c r="G15" s="346">
        <v>796</v>
      </c>
      <c r="H15" s="346">
        <v>261</v>
      </c>
      <c r="I15" s="346">
        <v>311</v>
      </c>
      <c r="J15" s="346">
        <v>248</v>
      </c>
      <c r="K15" s="346">
        <v>224</v>
      </c>
      <c r="L15" s="346">
        <v>174</v>
      </c>
      <c r="M15" s="346">
        <v>546</v>
      </c>
      <c r="N15" s="346">
        <v>497</v>
      </c>
      <c r="O15" s="132">
        <f t="shared" si="6"/>
        <v>497</v>
      </c>
      <c r="P15" s="132">
        <f t="shared" si="1"/>
        <v>261</v>
      </c>
      <c r="Q15" s="132">
        <f t="shared" si="2"/>
        <v>311</v>
      </c>
      <c r="R15" s="132">
        <f t="shared" si="3"/>
        <v>311</v>
      </c>
      <c r="S15" s="132">
        <f t="shared" si="4"/>
        <v>311</v>
      </c>
      <c r="T15" s="132">
        <f t="shared" si="5"/>
        <v>311</v>
      </c>
    </row>
    <row r="16" spans="1:20" ht="15.75" hidden="1">
      <c r="A16">
        <v>1</v>
      </c>
      <c r="E16" s="120">
        <v>0.5</v>
      </c>
      <c r="F16" s="352" t="e">
        <f t="shared" si="0"/>
        <v>#NAME?</v>
      </c>
      <c r="G16" s="346">
        <v>575</v>
      </c>
      <c r="H16" s="346">
        <v>286</v>
      </c>
      <c r="I16" s="346">
        <v>311</v>
      </c>
      <c r="J16" s="346">
        <v>248</v>
      </c>
      <c r="K16" s="346">
        <v>224</v>
      </c>
      <c r="L16" s="346">
        <v>174</v>
      </c>
      <c r="M16" s="346">
        <v>590</v>
      </c>
      <c r="N16" s="346">
        <v>540</v>
      </c>
      <c r="O16" s="132">
        <f t="shared" si="6"/>
        <v>540</v>
      </c>
      <c r="P16" s="132">
        <f t="shared" si="1"/>
        <v>286</v>
      </c>
      <c r="Q16" s="132">
        <f t="shared" si="2"/>
        <v>311</v>
      </c>
      <c r="R16" s="132">
        <f t="shared" si="3"/>
        <v>311</v>
      </c>
      <c r="S16" s="132">
        <f t="shared" si="4"/>
        <v>311</v>
      </c>
      <c r="T16" s="132">
        <f t="shared" si="5"/>
        <v>311</v>
      </c>
    </row>
    <row r="17" spans="1:20" ht="15.75" hidden="1">
      <c r="A17">
        <v>1</v>
      </c>
      <c r="E17" s="120">
        <v>0.6</v>
      </c>
      <c r="F17" s="352" t="e">
        <f t="shared" si="0"/>
        <v>#NAME?</v>
      </c>
      <c r="G17" s="346">
        <v>578</v>
      </c>
      <c r="H17" s="346">
        <v>323</v>
      </c>
      <c r="I17" s="346">
        <v>323</v>
      </c>
      <c r="J17" s="346">
        <v>252</v>
      </c>
      <c r="K17" s="346">
        <v>236</v>
      </c>
      <c r="L17" s="346">
        <v>199</v>
      </c>
      <c r="M17" s="346">
        <v>633</v>
      </c>
      <c r="N17" s="346">
        <v>559</v>
      </c>
      <c r="O17" s="132">
        <f t="shared" si="6"/>
        <v>559</v>
      </c>
      <c r="P17" s="132">
        <f t="shared" si="1"/>
        <v>323</v>
      </c>
      <c r="Q17" s="132">
        <f t="shared" si="2"/>
        <v>323</v>
      </c>
      <c r="R17" s="132">
        <f t="shared" si="3"/>
        <v>323</v>
      </c>
      <c r="S17" s="132">
        <f t="shared" si="4"/>
        <v>323</v>
      </c>
      <c r="T17" s="132">
        <f t="shared" si="5"/>
        <v>323</v>
      </c>
    </row>
    <row r="18" spans="1:20" ht="15.75" hidden="1">
      <c r="A18">
        <v>1</v>
      </c>
      <c r="E18" s="120">
        <v>0.7</v>
      </c>
      <c r="F18" s="352" t="e">
        <f t="shared" si="0"/>
        <v>#NAME?</v>
      </c>
      <c r="G18" s="346">
        <v>553</v>
      </c>
      <c r="H18" s="346">
        <v>354</v>
      </c>
      <c r="I18" s="346">
        <v>453</v>
      </c>
      <c r="J18" s="346">
        <v>286</v>
      </c>
      <c r="K18" s="346">
        <v>236</v>
      </c>
      <c r="L18" s="346">
        <v>199</v>
      </c>
      <c r="M18" s="346">
        <v>652</v>
      </c>
      <c r="N18" s="346">
        <v>578</v>
      </c>
      <c r="O18" s="132">
        <f t="shared" si="6"/>
        <v>578</v>
      </c>
      <c r="P18" s="132">
        <f t="shared" si="1"/>
        <v>354</v>
      </c>
      <c r="Q18" s="132">
        <f t="shared" si="2"/>
        <v>453</v>
      </c>
      <c r="R18" s="132">
        <f t="shared" si="3"/>
        <v>453</v>
      </c>
      <c r="S18" s="132">
        <f t="shared" si="4"/>
        <v>453</v>
      </c>
      <c r="T18" s="132">
        <f t="shared" si="5"/>
        <v>453</v>
      </c>
    </row>
    <row r="19" spans="1:20" ht="15.75" hidden="1">
      <c r="A19">
        <v>1</v>
      </c>
      <c r="E19" s="120">
        <v>0.8</v>
      </c>
      <c r="F19" s="352" t="e">
        <f t="shared" si="0"/>
        <v>#NAME?</v>
      </c>
      <c r="G19" s="346">
        <v>664</v>
      </c>
      <c r="H19" s="346">
        <v>428</v>
      </c>
      <c r="I19" s="346">
        <v>491</v>
      </c>
      <c r="J19" s="346">
        <v>422</v>
      </c>
      <c r="K19" s="346">
        <v>348</v>
      </c>
      <c r="L19" s="346">
        <v>224</v>
      </c>
      <c r="M19" s="346">
        <v>689</v>
      </c>
      <c r="N19" s="346">
        <v>590</v>
      </c>
      <c r="O19" s="132">
        <f t="shared" si="6"/>
        <v>590</v>
      </c>
      <c r="P19" s="132">
        <f t="shared" si="1"/>
        <v>428</v>
      </c>
      <c r="Q19" s="132">
        <f t="shared" si="2"/>
        <v>491</v>
      </c>
      <c r="R19" s="132">
        <f t="shared" si="3"/>
        <v>491</v>
      </c>
      <c r="S19" s="132">
        <f t="shared" si="4"/>
        <v>491</v>
      </c>
      <c r="T19" s="132">
        <f t="shared" si="5"/>
        <v>491</v>
      </c>
    </row>
    <row r="20" spans="1:20" ht="15.75" hidden="1">
      <c r="A20">
        <v>1</v>
      </c>
      <c r="E20" s="120">
        <v>1</v>
      </c>
      <c r="F20" s="352" t="e">
        <f t="shared" si="0"/>
        <v>#NAME?</v>
      </c>
      <c r="G20" s="346">
        <v>826</v>
      </c>
      <c r="H20" s="346">
        <v>540</v>
      </c>
      <c r="I20" s="346">
        <v>509</v>
      </c>
      <c r="J20" s="346">
        <v>410</v>
      </c>
      <c r="K20" s="346">
        <v>385</v>
      </c>
      <c r="L20" s="346">
        <v>224</v>
      </c>
      <c r="M20" s="346">
        <v>733</v>
      </c>
      <c r="N20" s="346">
        <v>609</v>
      </c>
      <c r="O20" s="132">
        <f t="shared" si="6"/>
        <v>609</v>
      </c>
      <c r="P20" s="132">
        <f t="shared" si="1"/>
        <v>540</v>
      </c>
      <c r="Q20" s="132">
        <f t="shared" si="2"/>
        <v>509</v>
      </c>
      <c r="R20" s="132">
        <f t="shared" si="3"/>
        <v>509</v>
      </c>
      <c r="S20" s="132">
        <f t="shared" si="4"/>
        <v>509</v>
      </c>
      <c r="T20" s="132">
        <f t="shared" si="5"/>
        <v>509</v>
      </c>
    </row>
    <row r="21" spans="1:20" ht="15.75" hidden="1">
      <c r="A21">
        <v>1</v>
      </c>
      <c r="E21" s="120">
        <v>1.1</v>
      </c>
      <c r="F21" s="352" t="e">
        <f t="shared" si="0"/>
        <v>#NAME?</v>
      </c>
      <c r="G21" s="346">
        <v>925</v>
      </c>
      <c r="H21" s="346">
        <v>615</v>
      </c>
      <c r="I21" s="346">
        <v>534</v>
      </c>
      <c r="J21" s="346">
        <v>410</v>
      </c>
      <c r="K21" s="346">
        <v>397</v>
      </c>
      <c r="L21" s="346">
        <v>236</v>
      </c>
      <c r="M21" s="346">
        <v>764</v>
      </c>
      <c r="N21" s="346">
        <v>627</v>
      </c>
      <c r="O21" s="132">
        <f t="shared" si="6"/>
        <v>627</v>
      </c>
      <c r="P21" s="132">
        <f t="shared" si="1"/>
        <v>615</v>
      </c>
      <c r="Q21" s="132">
        <f t="shared" si="2"/>
        <v>534</v>
      </c>
      <c r="R21" s="132">
        <f t="shared" si="3"/>
        <v>534</v>
      </c>
      <c r="S21" s="132">
        <f t="shared" si="4"/>
        <v>534</v>
      </c>
      <c r="T21" s="132">
        <f t="shared" si="5"/>
        <v>534</v>
      </c>
    </row>
    <row r="22" spans="1:20" ht="16.5" hidden="1" thickBot="1">
      <c r="A22">
        <v>1</v>
      </c>
      <c r="E22" s="121">
        <v>1.2</v>
      </c>
      <c r="F22" s="352" t="e">
        <f t="shared" si="0"/>
        <v>#NAME?</v>
      </c>
      <c r="G22" s="346">
        <v>956</v>
      </c>
      <c r="H22" s="346">
        <v>633</v>
      </c>
      <c r="I22" s="346">
        <v>596</v>
      </c>
      <c r="J22" s="346">
        <v>416</v>
      </c>
      <c r="K22" s="346">
        <v>410</v>
      </c>
      <c r="L22" s="346">
        <v>236</v>
      </c>
      <c r="M22" s="346">
        <v>770</v>
      </c>
      <c r="N22" s="346">
        <v>633</v>
      </c>
      <c r="O22" s="132">
        <f t="shared" si="6"/>
        <v>633</v>
      </c>
      <c r="P22" s="132">
        <f t="shared" si="1"/>
        <v>633</v>
      </c>
      <c r="Q22" s="132">
        <f t="shared" si="2"/>
        <v>596</v>
      </c>
      <c r="R22" s="132">
        <f t="shared" si="3"/>
        <v>596</v>
      </c>
      <c r="S22" s="132">
        <f t="shared" si="4"/>
        <v>596</v>
      </c>
      <c r="T22" s="132">
        <f t="shared" si="5"/>
        <v>596</v>
      </c>
    </row>
    <row r="23" spans="5:20" s="216" customFormat="1" ht="15.75" hidden="1">
      <c r="E23" s="217"/>
      <c r="F23" s="140"/>
      <c r="G23" s="140"/>
      <c r="H23" s="218"/>
      <c r="I23" s="219"/>
      <c r="J23" s="219"/>
      <c r="K23" s="140"/>
      <c r="L23" s="11"/>
      <c r="M23" s="128"/>
      <c r="N23" s="128"/>
      <c r="O23" s="128"/>
      <c r="P23" s="128"/>
      <c r="Q23" s="128"/>
      <c r="R23" s="128"/>
      <c r="S23" s="128"/>
      <c r="T23" s="128"/>
    </row>
    <row r="24" spans="5:20" s="216" customFormat="1" ht="15.75" hidden="1">
      <c r="E24" s="217"/>
      <c r="F24" s="140" t="s">
        <v>415</v>
      </c>
      <c r="G24" s="140" t="e">
        <f>LOOKUP(F56,porantvar1,cod06cargosvar1feb11)</f>
        <v>#NAME?</v>
      </c>
      <c r="H24" s="218"/>
      <c r="I24" s="219"/>
      <c r="J24" s="219"/>
      <c r="K24" s="140"/>
      <c r="L24" s="11"/>
      <c r="M24" s="128"/>
      <c r="N24" s="128"/>
      <c r="O24" s="128"/>
      <c r="P24" s="128"/>
      <c r="Q24" s="128"/>
      <c r="R24" s="128"/>
      <c r="S24" s="128"/>
      <c r="T24" s="128"/>
    </row>
    <row r="25" spans="5:20" s="216" customFormat="1" ht="15.75" hidden="1">
      <c r="E25" s="217"/>
      <c r="F25" s="140"/>
      <c r="G25" s="140"/>
      <c r="H25" s="218"/>
      <c r="I25" s="219"/>
      <c r="J25" s="219"/>
      <c r="K25" s="140"/>
      <c r="L25" s="11"/>
      <c r="M25" s="128"/>
      <c r="N25" s="128"/>
      <c r="O25" s="128"/>
      <c r="P25" s="128"/>
      <c r="Q25" s="128"/>
      <c r="R25" s="128"/>
      <c r="S25" s="128"/>
      <c r="T25" s="128"/>
    </row>
    <row r="26" spans="5:20" s="216" customFormat="1" ht="16.5" hidden="1" thickBot="1">
      <c r="E26"/>
      <c r="F26" t="s">
        <v>371</v>
      </c>
      <c r="G26" s="10" t="s">
        <v>373</v>
      </c>
      <c r="H26" s="10" t="s">
        <v>374</v>
      </c>
      <c r="I26" s="127" t="s">
        <v>375</v>
      </c>
      <c r="J26" s="127" t="s">
        <v>376</v>
      </c>
      <c r="K26" s="127" t="s">
        <v>377</v>
      </c>
      <c r="L26" s="127" t="s">
        <v>378</v>
      </c>
      <c r="M26" s="127" t="s">
        <v>379</v>
      </c>
      <c r="N26" s="127" t="s">
        <v>380</v>
      </c>
      <c r="O26" s="131" t="s">
        <v>381</v>
      </c>
      <c r="P26" s="131">
        <v>1</v>
      </c>
      <c r="Q26" s="131">
        <v>2</v>
      </c>
      <c r="R26" s="131">
        <v>3</v>
      </c>
      <c r="S26" s="131">
        <v>4</v>
      </c>
      <c r="T26" s="131">
        <v>5</v>
      </c>
    </row>
    <row r="27" spans="1:20" s="216" customFormat="1" ht="15.75" hidden="1">
      <c r="A27" s="216">
        <v>1</v>
      </c>
      <c r="E27" s="118">
        <v>0</v>
      </c>
      <c r="F27" s="352" t="e">
        <f aca="true" t="shared" si="7" ref="F27:F38">IF(puntosproljorvarios1&lt;620,T27,O27)</f>
        <v>#NAME?</v>
      </c>
      <c r="G27" s="10">
        <v>499</v>
      </c>
      <c r="H27" s="10">
        <v>121</v>
      </c>
      <c r="I27" s="10">
        <v>0</v>
      </c>
      <c r="J27" s="10">
        <v>0</v>
      </c>
      <c r="K27" s="10">
        <v>0</v>
      </c>
      <c r="L27" s="10">
        <v>0</v>
      </c>
      <c r="M27" s="10">
        <v>121</v>
      </c>
      <c r="N27" s="10">
        <v>121</v>
      </c>
      <c r="O27" s="132">
        <f>IF(punbasjubvarios1&gt;971,N27,M27)</f>
        <v>121</v>
      </c>
      <c r="P27" s="132">
        <f aca="true" t="shared" si="8" ref="P27:P38">IF(punbasjubvarios1&lt;972,G27,H27)</f>
        <v>121</v>
      </c>
      <c r="Q27" s="132">
        <f aca="true" t="shared" si="9" ref="Q27:Q38">IF(punbasjubvarios1&lt;1170,P27,I27)</f>
        <v>0</v>
      </c>
      <c r="R27" s="132">
        <f aca="true" t="shared" si="10" ref="R27:R38">IF(punbasjubvarios1&lt;1401,Q27,J27)</f>
        <v>0</v>
      </c>
      <c r="S27" s="132">
        <f aca="true" t="shared" si="11" ref="S27:S38">IF(punbasjubvarios1&lt;1943,R27,K27)</f>
        <v>0</v>
      </c>
      <c r="T27" s="132">
        <f aca="true" t="shared" si="12" ref="T27:T38">IF(punbasjubvarios1&lt;=2220,S27,L27)</f>
        <v>0</v>
      </c>
    </row>
    <row r="28" spans="1:20" s="216" customFormat="1" ht="15.75" hidden="1">
      <c r="A28" s="216">
        <v>1</v>
      </c>
      <c r="E28" s="119">
        <v>0.1</v>
      </c>
      <c r="F28" s="352" t="e">
        <f t="shared" si="7"/>
        <v>#NAME?</v>
      </c>
      <c r="G28" s="10">
        <v>709</v>
      </c>
      <c r="H28" s="10">
        <v>137</v>
      </c>
      <c r="I28" s="10">
        <v>0</v>
      </c>
      <c r="J28" s="10">
        <v>0</v>
      </c>
      <c r="K28" s="10">
        <v>0</v>
      </c>
      <c r="L28" s="10">
        <v>0</v>
      </c>
      <c r="M28" s="10">
        <v>137</v>
      </c>
      <c r="N28" s="10">
        <v>137</v>
      </c>
      <c r="O28" s="132">
        <f aca="true" t="shared" si="13" ref="O28:O38">IF(punbasjubvarios1&gt;971,N28,M28)</f>
        <v>137</v>
      </c>
      <c r="P28" s="132">
        <f t="shared" si="8"/>
        <v>137</v>
      </c>
      <c r="Q28" s="132">
        <f t="shared" si="9"/>
        <v>0</v>
      </c>
      <c r="R28" s="132">
        <f t="shared" si="10"/>
        <v>0</v>
      </c>
      <c r="S28" s="132">
        <f t="shared" si="11"/>
        <v>0</v>
      </c>
      <c r="T28" s="132">
        <f t="shared" si="12"/>
        <v>0</v>
      </c>
    </row>
    <row r="29" spans="1:20" s="216" customFormat="1" ht="15.75" hidden="1">
      <c r="A29" s="216">
        <v>1</v>
      </c>
      <c r="E29" s="120">
        <v>0.15</v>
      </c>
      <c r="F29" s="352" t="e">
        <f t="shared" si="7"/>
        <v>#NAME?</v>
      </c>
      <c r="G29" s="10">
        <v>860</v>
      </c>
      <c r="H29" s="10">
        <v>273</v>
      </c>
      <c r="I29" s="10">
        <v>364</v>
      </c>
      <c r="J29" s="10">
        <v>293</v>
      </c>
      <c r="K29" s="10">
        <v>273</v>
      </c>
      <c r="L29" s="10">
        <v>0</v>
      </c>
      <c r="M29" s="10">
        <v>333</v>
      </c>
      <c r="N29" s="10">
        <v>333</v>
      </c>
      <c r="O29" s="132">
        <f t="shared" si="13"/>
        <v>333</v>
      </c>
      <c r="P29" s="132">
        <f t="shared" si="8"/>
        <v>273</v>
      </c>
      <c r="Q29" s="132">
        <f t="shared" si="9"/>
        <v>364</v>
      </c>
      <c r="R29" s="132">
        <f t="shared" si="10"/>
        <v>364</v>
      </c>
      <c r="S29" s="132">
        <f t="shared" si="11"/>
        <v>364</v>
      </c>
      <c r="T29" s="132">
        <f t="shared" si="12"/>
        <v>364</v>
      </c>
    </row>
    <row r="30" spans="1:20" s="216" customFormat="1" ht="15.75" hidden="1">
      <c r="A30" s="216">
        <v>1</v>
      </c>
      <c r="E30" s="120">
        <v>0.3</v>
      </c>
      <c r="F30" s="352" t="e">
        <f t="shared" si="7"/>
        <v>#NAME?</v>
      </c>
      <c r="G30" s="10">
        <v>894</v>
      </c>
      <c r="H30" s="10">
        <v>295</v>
      </c>
      <c r="I30" s="10">
        <v>364</v>
      </c>
      <c r="J30" s="10">
        <v>293</v>
      </c>
      <c r="K30" s="10">
        <v>273</v>
      </c>
      <c r="L30" s="10">
        <v>0</v>
      </c>
      <c r="M30" s="10">
        <v>576</v>
      </c>
      <c r="N30" s="10">
        <v>531</v>
      </c>
      <c r="O30" s="132">
        <f t="shared" si="13"/>
        <v>531</v>
      </c>
      <c r="P30" s="132">
        <f t="shared" si="8"/>
        <v>295</v>
      </c>
      <c r="Q30" s="132">
        <f t="shared" si="9"/>
        <v>364</v>
      </c>
      <c r="R30" s="132">
        <f t="shared" si="10"/>
        <v>364</v>
      </c>
      <c r="S30" s="132">
        <f t="shared" si="11"/>
        <v>364</v>
      </c>
      <c r="T30" s="132">
        <f t="shared" si="12"/>
        <v>364</v>
      </c>
    </row>
    <row r="31" spans="1:20" s="216" customFormat="1" ht="15.75" hidden="1">
      <c r="A31" s="216">
        <v>1</v>
      </c>
      <c r="E31" s="120">
        <v>0.4</v>
      </c>
      <c r="F31" s="352" t="e">
        <f t="shared" si="7"/>
        <v>#NAME?</v>
      </c>
      <c r="G31" s="10">
        <v>806</v>
      </c>
      <c r="H31" s="10">
        <v>318</v>
      </c>
      <c r="I31" s="10">
        <v>379</v>
      </c>
      <c r="J31" s="10">
        <v>303</v>
      </c>
      <c r="K31" s="10">
        <v>273</v>
      </c>
      <c r="L31" s="10">
        <v>212</v>
      </c>
      <c r="M31" s="10">
        <v>666</v>
      </c>
      <c r="N31" s="10">
        <v>606</v>
      </c>
      <c r="O31" s="132">
        <f t="shared" si="13"/>
        <v>606</v>
      </c>
      <c r="P31" s="132">
        <f t="shared" si="8"/>
        <v>318</v>
      </c>
      <c r="Q31" s="132">
        <f t="shared" si="9"/>
        <v>379</v>
      </c>
      <c r="R31" s="132">
        <f t="shared" si="10"/>
        <v>379</v>
      </c>
      <c r="S31" s="132">
        <f t="shared" si="11"/>
        <v>379</v>
      </c>
      <c r="T31" s="132">
        <f t="shared" si="12"/>
        <v>379</v>
      </c>
    </row>
    <row r="32" spans="1:20" s="216" customFormat="1" ht="15.75" hidden="1">
      <c r="A32" s="216">
        <v>1</v>
      </c>
      <c r="E32" s="120">
        <v>0.5</v>
      </c>
      <c r="F32" s="352" t="e">
        <f t="shared" si="7"/>
        <v>#NAME?</v>
      </c>
      <c r="G32" s="10">
        <v>702</v>
      </c>
      <c r="H32" s="10">
        <v>349</v>
      </c>
      <c r="I32" s="10">
        <v>379</v>
      </c>
      <c r="J32" s="10">
        <v>303</v>
      </c>
      <c r="K32" s="10">
        <v>273</v>
      </c>
      <c r="L32" s="10">
        <v>212</v>
      </c>
      <c r="M32" s="10">
        <v>720</v>
      </c>
      <c r="N32" s="10">
        <v>659</v>
      </c>
      <c r="O32" s="132">
        <f t="shared" si="13"/>
        <v>659</v>
      </c>
      <c r="P32" s="132">
        <f t="shared" si="8"/>
        <v>349</v>
      </c>
      <c r="Q32" s="132">
        <f t="shared" si="9"/>
        <v>379</v>
      </c>
      <c r="R32" s="132">
        <f t="shared" si="10"/>
        <v>379</v>
      </c>
      <c r="S32" s="132">
        <f t="shared" si="11"/>
        <v>379</v>
      </c>
      <c r="T32" s="132">
        <f t="shared" si="12"/>
        <v>379</v>
      </c>
    </row>
    <row r="33" spans="1:20" s="216" customFormat="1" ht="15.75" hidden="1">
      <c r="A33" s="216">
        <v>1</v>
      </c>
      <c r="E33" s="120">
        <v>0.6</v>
      </c>
      <c r="F33" s="352" t="e">
        <f t="shared" si="7"/>
        <v>#NAME?</v>
      </c>
      <c r="G33" s="10">
        <v>705</v>
      </c>
      <c r="H33" s="10">
        <v>394</v>
      </c>
      <c r="I33" s="10">
        <v>394</v>
      </c>
      <c r="J33" s="10">
        <v>307</v>
      </c>
      <c r="K33" s="10">
        <v>288</v>
      </c>
      <c r="L33" s="10">
        <v>243</v>
      </c>
      <c r="M33" s="10">
        <v>772</v>
      </c>
      <c r="N33" s="10">
        <v>682</v>
      </c>
      <c r="O33" s="132">
        <f t="shared" si="13"/>
        <v>682</v>
      </c>
      <c r="P33" s="132">
        <f t="shared" si="8"/>
        <v>394</v>
      </c>
      <c r="Q33" s="132">
        <f t="shared" si="9"/>
        <v>394</v>
      </c>
      <c r="R33" s="132">
        <f t="shared" si="10"/>
        <v>394</v>
      </c>
      <c r="S33" s="132">
        <f t="shared" si="11"/>
        <v>394</v>
      </c>
      <c r="T33" s="132">
        <f t="shared" si="12"/>
        <v>394</v>
      </c>
    </row>
    <row r="34" spans="1:20" s="216" customFormat="1" ht="15.75" hidden="1">
      <c r="A34" s="216">
        <v>1</v>
      </c>
      <c r="E34" s="120">
        <v>0.7</v>
      </c>
      <c r="F34" s="352" t="e">
        <f t="shared" si="7"/>
        <v>#NAME?</v>
      </c>
      <c r="G34" s="10">
        <v>675</v>
      </c>
      <c r="H34" s="10">
        <v>432</v>
      </c>
      <c r="I34" s="10">
        <v>553</v>
      </c>
      <c r="J34" s="10">
        <v>349</v>
      </c>
      <c r="K34" s="10">
        <v>288</v>
      </c>
      <c r="L34" s="10">
        <v>243</v>
      </c>
      <c r="M34" s="10">
        <v>795</v>
      </c>
      <c r="N34" s="10">
        <v>705</v>
      </c>
      <c r="O34" s="132">
        <f t="shared" si="13"/>
        <v>705</v>
      </c>
      <c r="P34" s="132">
        <f t="shared" si="8"/>
        <v>432</v>
      </c>
      <c r="Q34" s="132">
        <f t="shared" si="9"/>
        <v>553</v>
      </c>
      <c r="R34" s="132">
        <f t="shared" si="10"/>
        <v>553</v>
      </c>
      <c r="S34" s="132">
        <f t="shared" si="11"/>
        <v>553</v>
      </c>
      <c r="T34" s="132">
        <f t="shared" si="12"/>
        <v>553</v>
      </c>
    </row>
    <row r="35" spans="1:20" s="216" customFormat="1" ht="15.75" hidden="1">
      <c r="A35" s="216">
        <v>1</v>
      </c>
      <c r="E35" s="120">
        <v>0.8</v>
      </c>
      <c r="F35" s="352" t="e">
        <f t="shared" si="7"/>
        <v>#NAME?</v>
      </c>
      <c r="G35" s="10">
        <v>810</v>
      </c>
      <c r="H35" s="10">
        <v>522</v>
      </c>
      <c r="I35" s="10">
        <v>599</v>
      </c>
      <c r="J35" s="10">
        <v>515</v>
      </c>
      <c r="K35" s="10">
        <v>425</v>
      </c>
      <c r="L35" s="10">
        <v>273</v>
      </c>
      <c r="M35" s="10">
        <v>841</v>
      </c>
      <c r="N35" s="10">
        <v>720</v>
      </c>
      <c r="O35" s="132">
        <f t="shared" si="13"/>
        <v>720</v>
      </c>
      <c r="P35" s="132">
        <f t="shared" si="8"/>
        <v>522</v>
      </c>
      <c r="Q35" s="132">
        <f t="shared" si="9"/>
        <v>599</v>
      </c>
      <c r="R35" s="132">
        <f t="shared" si="10"/>
        <v>599</v>
      </c>
      <c r="S35" s="132">
        <f t="shared" si="11"/>
        <v>599</v>
      </c>
      <c r="T35" s="132">
        <f t="shared" si="12"/>
        <v>599</v>
      </c>
    </row>
    <row r="36" spans="1:20" s="216" customFormat="1" ht="15.75" hidden="1">
      <c r="A36" s="216">
        <v>1</v>
      </c>
      <c r="E36" s="120">
        <v>1</v>
      </c>
      <c r="F36" s="352" t="e">
        <f t="shared" si="7"/>
        <v>#NAME?</v>
      </c>
      <c r="G36" s="10">
        <v>1008</v>
      </c>
      <c r="H36" s="10">
        <v>659</v>
      </c>
      <c r="I36" s="10">
        <v>621</v>
      </c>
      <c r="J36" s="10">
        <v>500</v>
      </c>
      <c r="K36" s="10">
        <v>470</v>
      </c>
      <c r="L36" s="10">
        <v>273</v>
      </c>
      <c r="M36" s="10">
        <v>894</v>
      </c>
      <c r="N36" s="10">
        <v>743</v>
      </c>
      <c r="O36" s="132">
        <f t="shared" si="13"/>
        <v>743</v>
      </c>
      <c r="P36" s="132">
        <f t="shared" si="8"/>
        <v>659</v>
      </c>
      <c r="Q36" s="132">
        <f t="shared" si="9"/>
        <v>621</v>
      </c>
      <c r="R36" s="132">
        <f t="shared" si="10"/>
        <v>621</v>
      </c>
      <c r="S36" s="132">
        <f t="shared" si="11"/>
        <v>621</v>
      </c>
      <c r="T36" s="132">
        <f t="shared" si="12"/>
        <v>621</v>
      </c>
    </row>
    <row r="37" spans="1:20" s="216" customFormat="1" ht="15.75" hidden="1">
      <c r="A37" s="216">
        <v>1</v>
      </c>
      <c r="E37" s="120">
        <v>1.1</v>
      </c>
      <c r="F37" s="352" t="e">
        <f t="shared" si="7"/>
        <v>#NAME?</v>
      </c>
      <c r="G37" s="381">
        <v>1129</v>
      </c>
      <c r="H37" s="382">
        <v>750</v>
      </c>
      <c r="I37" s="10">
        <v>651</v>
      </c>
      <c r="J37" s="10">
        <v>500</v>
      </c>
      <c r="K37" s="10">
        <v>484</v>
      </c>
      <c r="L37" s="10">
        <v>288</v>
      </c>
      <c r="M37" s="10">
        <v>932</v>
      </c>
      <c r="N37" s="10">
        <v>765</v>
      </c>
      <c r="O37" s="132">
        <f t="shared" si="13"/>
        <v>765</v>
      </c>
      <c r="P37" s="132">
        <f t="shared" si="8"/>
        <v>750</v>
      </c>
      <c r="Q37" s="132">
        <f t="shared" si="9"/>
        <v>651</v>
      </c>
      <c r="R37" s="132">
        <f t="shared" si="10"/>
        <v>651</v>
      </c>
      <c r="S37" s="132">
        <f t="shared" si="11"/>
        <v>651</v>
      </c>
      <c r="T37" s="132">
        <f t="shared" si="12"/>
        <v>651</v>
      </c>
    </row>
    <row r="38" spans="1:20" s="216" customFormat="1" ht="16.5" hidden="1" thickBot="1">
      <c r="A38" s="216">
        <v>1</v>
      </c>
      <c r="E38" s="121">
        <v>1.2</v>
      </c>
      <c r="F38" s="352" t="e">
        <f t="shared" si="7"/>
        <v>#NAME?</v>
      </c>
      <c r="G38" s="10">
        <v>1166</v>
      </c>
      <c r="H38" s="10">
        <v>772</v>
      </c>
      <c r="I38" s="10">
        <v>727</v>
      </c>
      <c r="J38" s="10">
        <v>508</v>
      </c>
      <c r="K38" s="10">
        <v>500</v>
      </c>
      <c r="L38" s="10">
        <v>288</v>
      </c>
      <c r="M38" s="10">
        <v>939</v>
      </c>
      <c r="N38" s="10">
        <v>772</v>
      </c>
      <c r="O38" s="132">
        <f t="shared" si="13"/>
        <v>772</v>
      </c>
      <c r="P38" s="132">
        <f t="shared" si="8"/>
        <v>772</v>
      </c>
      <c r="Q38" s="132">
        <f t="shared" si="9"/>
        <v>727</v>
      </c>
      <c r="R38" s="132">
        <f t="shared" si="10"/>
        <v>727</v>
      </c>
      <c r="S38" s="132">
        <f t="shared" si="11"/>
        <v>727</v>
      </c>
      <c r="T38" s="132">
        <f t="shared" si="12"/>
        <v>727</v>
      </c>
    </row>
    <row r="39" spans="1:20" s="216" customFormat="1" ht="15.75" hidden="1">
      <c r="A39" s="216">
        <v>1</v>
      </c>
      <c r="E39" s="217"/>
      <c r="F39" s="140" t="s">
        <v>416</v>
      </c>
      <c r="G39" s="140" t="e">
        <f>LOOKUP(F56,porantvar1,cod06cargosvar1mar11)</f>
        <v>#NAME?</v>
      </c>
      <c r="H39" s="218"/>
      <c r="I39" s="219"/>
      <c r="J39" s="219"/>
      <c r="K39" s="140"/>
      <c r="L39" s="11"/>
      <c r="M39" s="128"/>
      <c r="N39" s="128"/>
      <c r="O39" s="128"/>
      <c r="P39" s="128"/>
      <c r="Q39" s="128"/>
      <c r="R39" s="128"/>
      <c r="S39" s="128"/>
      <c r="T39" s="128"/>
    </row>
    <row r="40" spans="5:20" s="216" customFormat="1" ht="15.75" hidden="1">
      <c r="E40" s="217"/>
      <c r="F40" s="140"/>
      <c r="G40" s="140"/>
      <c r="H40" s="218"/>
      <c r="I40" s="219"/>
      <c r="J40" s="219"/>
      <c r="K40" s="140"/>
      <c r="L40" s="11"/>
      <c r="M40" s="128"/>
      <c r="N40" s="128"/>
      <c r="O40" s="128"/>
      <c r="P40" s="128"/>
      <c r="Q40" s="128"/>
      <c r="R40" s="128"/>
      <c r="S40" s="128"/>
      <c r="T40" s="128"/>
    </row>
    <row r="41" spans="5:20" s="216" customFormat="1" ht="15.75" hidden="1">
      <c r="E41" s="217"/>
      <c r="F41" s="140"/>
      <c r="G41" s="140"/>
      <c r="H41" s="218"/>
      <c r="I41" s="219"/>
      <c r="J41" s="219"/>
      <c r="K41" s="140"/>
      <c r="L41" s="11"/>
      <c r="M41" s="128"/>
      <c r="N41" s="128"/>
      <c r="O41" s="128"/>
      <c r="P41" s="128"/>
      <c r="Q41" s="128"/>
      <c r="R41" s="128"/>
      <c r="S41" s="128"/>
      <c r="T41" s="128"/>
    </row>
    <row r="42" spans="5:20" s="216" customFormat="1" ht="15.75" hidden="1">
      <c r="E42" s="217"/>
      <c r="F42" s="140"/>
      <c r="G42" s="140"/>
      <c r="H42" s="218"/>
      <c r="I42" s="219"/>
      <c r="J42" s="219"/>
      <c r="K42" s="140"/>
      <c r="L42" s="11"/>
      <c r="M42" s="128"/>
      <c r="N42" s="128"/>
      <c r="O42" s="128"/>
      <c r="P42" s="128"/>
      <c r="Q42" s="128"/>
      <c r="R42" s="128"/>
      <c r="S42" s="128"/>
      <c r="T42" s="128"/>
    </row>
    <row r="43" spans="4:20" s="137" customFormat="1" ht="15.75">
      <c r="D43" s="363" t="s">
        <v>397</v>
      </c>
      <c r="E43" s="364"/>
      <c r="F43" s="365"/>
      <c r="G43" s="365"/>
      <c r="H43" s="366"/>
      <c r="I43" s="367"/>
      <c r="J43" s="367"/>
      <c r="K43" s="365"/>
      <c r="L43" s="368"/>
      <c r="M43" s="369"/>
      <c r="N43" s="369"/>
      <c r="O43" s="369"/>
      <c r="P43" s="369"/>
      <c r="Q43" s="369"/>
      <c r="R43" s="369"/>
      <c r="S43" s="369"/>
      <c r="T43" s="369"/>
    </row>
    <row r="44" spans="1:15" ht="12.75">
      <c r="A44" s="138">
        <v>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7" ht="20.25">
      <c r="A45" s="138">
        <v>1</v>
      </c>
      <c r="B45" s="44"/>
      <c r="C45" s="101"/>
      <c r="D45" s="101"/>
      <c r="E45" s="75" t="s">
        <v>363</v>
      </c>
      <c r="F45" s="10"/>
      <c r="G45" s="10"/>
      <c r="H45" s="101"/>
      <c r="I45" s="101"/>
      <c r="J45" s="101"/>
      <c r="K45" s="101"/>
      <c r="L45" s="101"/>
      <c r="M45" s="101"/>
      <c r="N45" s="139"/>
      <c r="O45" s="242"/>
      <c r="P45" s="140"/>
      <c r="Q45" s="140"/>
    </row>
    <row r="46" spans="1:17" ht="12.75">
      <c r="A46" s="138">
        <v>1</v>
      </c>
      <c r="B46" s="44"/>
      <c r="C46" s="44"/>
      <c r="D46" s="44"/>
      <c r="E46" s="44"/>
      <c r="F46" s="44"/>
      <c r="G46" s="44"/>
      <c r="H46" s="232"/>
      <c r="I46" s="44"/>
      <c r="J46" s="44"/>
      <c r="K46" s="44"/>
      <c r="L46" s="44"/>
      <c r="M46" s="44"/>
      <c r="N46" s="139"/>
      <c r="O46" s="242"/>
      <c r="P46" s="140"/>
      <c r="Q46" s="140"/>
    </row>
    <row r="47" spans="1:17" ht="12.75">
      <c r="A47" s="138">
        <v>1</v>
      </c>
      <c r="B47" s="138"/>
      <c r="C47" s="138"/>
      <c r="D47" s="39" t="s">
        <v>36</v>
      </c>
      <c r="E47" s="39" t="s">
        <v>333</v>
      </c>
      <c r="F47" s="39" t="s">
        <v>334</v>
      </c>
      <c r="G47" s="39" t="s">
        <v>335</v>
      </c>
      <c r="H47" s="39" t="s">
        <v>336</v>
      </c>
      <c r="I47" s="95" t="s">
        <v>382</v>
      </c>
      <c r="J47" s="415" t="s">
        <v>423</v>
      </c>
      <c r="K47" s="44"/>
      <c r="L47" s="44"/>
      <c r="M47" s="44"/>
      <c r="N47" s="139"/>
      <c r="O47" s="242"/>
      <c r="P47" s="140"/>
      <c r="Q47" s="140"/>
    </row>
    <row r="48" spans="1:17" ht="16.5" thickBot="1">
      <c r="A48" s="138">
        <v>1</v>
      </c>
      <c r="B48" s="138"/>
      <c r="C48" s="138"/>
      <c r="D48" s="112">
        <v>741</v>
      </c>
      <c r="E48" s="76">
        <f>LOOKUP(D48,[0]!numerocargo,[0]!puntosbasicoscargo)</f>
        <v>1300</v>
      </c>
      <c r="F48" s="76" t="e">
        <f>LOOKUP(D48,[0]!numerocargo,[0]!tardifcargo)</f>
        <v>#NAME?</v>
      </c>
      <c r="G48" s="76">
        <f>LOOKUP(D48,[0]!numerocargo,[0]!proljorcargo)</f>
        <v>1427</v>
      </c>
      <c r="H48" s="76" t="e">
        <f>LOOKUP(D48,[0]!numerocargo,[0]!jorcomcargo)</f>
        <v>#NAME?</v>
      </c>
      <c r="I48" s="39">
        <f>LOOKUP(D48,Cargos!A3:A317,puntoscompbasico)</f>
        <v>127</v>
      </c>
      <c r="J48" s="414">
        <f>LOOKUP(D48,Cargos!A3:A317,puntosadicdir)</f>
        <v>0</v>
      </c>
      <c r="K48" s="44"/>
      <c r="L48" s="44"/>
      <c r="M48" s="44"/>
      <c r="N48" s="139"/>
      <c r="O48" s="242"/>
      <c r="P48" s="140"/>
      <c r="Q48" s="140"/>
    </row>
    <row r="49" spans="1:17" ht="13.5" thickBot="1">
      <c r="A49" s="138">
        <v>1</v>
      </c>
      <c r="B49" s="138"/>
      <c r="C49" s="138"/>
      <c r="D49" s="77" t="s">
        <v>37</v>
      </c>
      <c r="E49" s="78" t="str">
        <f>LOOKUP(D48,[0]!numerocargo,[0]!nombrecargo)</f>
        <v> SECRETARIO ESCUELA 2DA CATEGORIA</v>
      </c>
      <c r="F49" s="38"/>
      <c r="G49" s="38"/>
      <c r="H49" s="57"/>
      <c r="I49" s="44"/>
      <c r="J49" s="44"/>
      <c r="K49" s="44"/>
      <c r="L49" s="44"/>
      <c r="M49" s="44"/>
      <c r="N49" s="139"/>
      <c r="O49" s="242"/>
      <c r="P49" s="140"/>
      <c r="Q49" s="140"/>
    </row>
    <row r="50" spans="1:17" ht="13.5" thickBot="1">
      <c r="A50" s="138">
        <v>1</v>
      </c>
      <c r="B50" s="138"/>
      <c r="C50" s="138"/>
      <c r="D50" s="231"/>
      <c r="E50" s="232"/>
      <c r="F50" s="44"/>
      <c r="G50" s="44"/>
      <c r="H50" s="44"/>
      <c r="I50" s="123" t="s">
        <v>356</v>
      </c>
      <c r="J50" s="327"/>
      <c r="K50" s="327"/>
      <c r="L50" s="327"/>
      <c r="M50" s="44"/>
      <c r="N50" s="44"/>
      <c r="O50" s="44"/>
      <c r="P50" s="10"/>
      <c r="Q50" s="10"/>
    </row>
    <row r="51" spans="1:17" ht="19.5" thickBot="1" thickTop="1">
      <c r="A51" s="138">
        <v>1</v>
      </c>
      <c r="B51" s="138"/>
      <c r="C51" s="138"/>
      <c r="D51" s="141" t="s">
        <v>350</v>
      </c>
      <c r="E51" s="117"/>
      <c r="F51" s="117"/>
      <c r="G51" s="117"/>
      <c r="H51" s="142">
        <v>53</v>
      </c>
      <c r="I51" s="124">
        <f>H51/120</f>
        <v>0.44166666666666665</v>
      </c>
      <c r="J51" s="232"/>
      <c r="K51" s="232"/>
      <c r="L51" s="232"/>
      <c r="M51" s="44"/>
      <c r="N51" s="44"/>
      <c r="O51" s="44"/>
      <c r="P51" s="10"/>
      <c r="Q51" s="10"/>
    </row>
    <row r="52" spans="1:17" ht="17.25" thickBot="1" thickTop="1">
      <c r="A52" s="138">
        <v>1</v>
      </c>
      <c r="B52" s="231"/>
      <c r="C52" s="232"/>
      <c r="D52" s="44"/>
      <c r="E52" s="44"/>
      <c r="F52" s="321"/>
      <c r="G52" s="44"/>
      <c r="H52" s="232"/>
      <c r="I52" s="44"/>
      <c r="J52" s="44"/>
      <c r="K52" s="44"/>
      <c r="L52" s="44"/>
      <c r="M52" s="44"/>
      <c r="N52" s="44"/>
      <c r="O52" s="44"/>
      <c r="P52" s="10"/>
      <c r="Q52" s="10"/>
    </row>
    <row r="53" spans="1:17" ht="17.25" thickBot="1" thickTop="1">
      <c r="A53" s="138">
        <v>1</v>
      </c>
      <c r="B53" s="231"/>
      <c r="C53" s="138"/>
      <c r="D53" s="115" t="s">
        <v>358</v>
      </c>
      <c r="E53" s="126">
        <v>0</v>
      </c>
      <c r="F53" s="321"/>
      <c r="G53" s="44"/>
      <c r="H53" s="232"/>
      <c r="I53" s="44"/>
      <c r="J53" s="44"/>
      <c r="K53" s="44"/>
      <c r="L53" s="44"/>
      <c r="M53" s="44"/>
      <c r="N53" s="44"/>
      <c r="O53" s="44"/>
      <c r="P53" s="10"/>
      <c r="Q53" s="10"/>
    </row>
    <row r="54" spans="1:17" ht="14.25" thickBot="1" thickTop="1">
      <c r="A54" s="138">
        <v>1</v>
      </c>
      <c r="B54" s="231"/>
      <c r="C54" s="232"/>
      <c r="D54" s="44"/>
      <c r="E54" s="44"/>
      <c r="F54" s="44"/>
      <c r="G54" s="44"/>
      <c r="H54" s="232"/>
      <c r="I54" s="44"/>
      <c r="J54" s="44"/>
      <c r="K54" s="44"/>
      <c r="L54" s="44"/>
      <c r="M54" s="44"/>
      <c r="N54" s="44"/>
      <c r="O54" s="44"/>
      <c r="P54" s="10"/>
      <c r="Q54" s="10"/>
    </row>
    <row r="55" spans="1:17" ht="16.5" thickBot="1">
      <c r="A55" s="138">
        <v>1</v>
      </c>
      <c r="B55" s="44"/>
      <c r="C55" s="101"/>
      <c r="D55" s="79" t="s">
        <v>13</v>
      </c>
      <c r="E55" s="38"/>
      <c r="F55" s="80" t="e">
        <f>E48*indicesep2010</f>
        <v>#NAME?</v>
      </c>
      <c r="G55" s="101"/>
      <c r="H55" s="101"/>
      <c r="I55" s="101"/>
      <c r="J55" s="101"/>
      <c r="K55" s="101"/>
      <c r="L55" s="101"/>
      <c r="M55" s="143"/>
      <c r="N55" s="143"/>
      <c r="O55" s="101"/>
      <c r="P55" s="10"/>
      <c r="Q55" s="10"/>
    </row>
    <row r="56" spans="1:17" ht="16.5" thickBot="1">
      <c r="A56" s="138">
        <v>1</v>
      </c>
      <c r="B56" s="44"/>
      <c r="C56" s="101"/>
      <c r="D56" s="79" t="s">
        <v>14</v>
      </c>
      <c r="E56" s="38"/>
      <c r="F56" s="114">
        <v>1.2</v>
      </c>
      <c r="G56" s="10" t="s">
        <v>15</v>
      </c>
      <c r="H56" s="10"/>
      <c r="I56" s="101"/>
      <c r="J56" s="101"/>
      <c r="K56" s="101"/>
      <c r="L56" s="101"/>
      <c r="M56" s="101"/>
      <c r="N56" s="143"/>
      <c r="O56" s="101"/>
      <c r="P56" s="10"/>
      <c r="Q56" s="10"/>
    </row>
    <row r="57" spans="1:17" ht="15.75">
      <c r="A57" s="138">
        <v>1</v>
      </c>
      <c r="B57" s="44"/>
      <c r="C57" s="101"/>
      <c r="D57" s="44"/>
      <c r="E57" s="44"/>
      <c r="F57" s="421"/>
      <c r="G57" s="101"/>
      <c r="H57" s="101"/>
      <c r="I57" s="101"/>
      <c r="J57" s="101"/>
      <c r="K57" s="101"/>
      <c r="L57" s="101"/>
      <c r="M57" s="101"/>
      <c r="N57" s="144"/>
      <c r="O57" s="101"/>
      <c r="P57" s="10"/>
      <c r="Q57" s="10"/>
    </row>
    <row r="58" spans="1:17" ht="18.75" hidden="1" thickBot="1">
      <c r="A58" s="138">
        <v>1</v>
      </c>
      <c r="B58" s="44"/>
      <c r="C58" s="101"/>
      <c r="D58" s="82" t="s">
        <v>16</v>
      </c>
      <c r="E58" s="82"/>
      <c r="F58" s="83">
        <f>E48</f>
        <v>1300</v>
      </c>
      <c r="G58" s="10" t="s">
        <v>17</v>
      </c>
      <c r="H58" s="101"/>
      <c r="I58" s="289" t="e">
        <f>H48+G48</f>
        <v>#NAME?</v>
      </c>
      <c r="J58" s="143"/>
      <c r="K58" s="143"/>
      <c r="L58" s="143"/>
      <c r="M58" s="44"/>
      <c r="N58" s="101"/>
      <c r="O58" s="101"/>
      <c r="P58" s="10"/>
      <c r="Q58" s="10"/>
    </row>
    <row r="59" spans="1:17" ht="18" hidden="1">
      <c r="A59" s="138"/>
      <c r="B59" s="44"/>
      <c r="C59" s="101"/>
      <c r="D59" s="188"/>
      <c r="E59" s="188"/>
      <c r="F59" s="189"/>
      <c r="G59" s="101"/>
      <c r="H59" s="101"/>
      <c r="I59" s="143"/>
      <c r="J59" s="143"/>
      <c r="K59" s="143"/>
      <c r="L59" s="143"/>
      <c r="M59" s="44"/>
      <c r="N59" s="101"/>
      <c r="O59" s="101"/>
      <c r="P59" s="10"/>
      <c r="Q59" s="10"/>
    </row>
    <row r="60" spans="1:15" ht="15.75" hidden="1">
      <c r="A60" s="138"/>
      <c r="B60" s="44"/>
      <c r="C60" s="101"/>
      <c r="D60" s="10"/>
      <c r="E60" s="133" t="s">
        <v>413</v>
      </c>
      <c r="F60" s="10"/>
      <c r="G60" s="138"/>
      <c r="H60" s="10"/>
      <c r="I60" s="133" t="s">
        <v>414</v>
      </c>
      <c r="J60" s="10"/>
      <c r="K60" s="138"/>
      <c r="L60" s="2"/>
      <c r="M60" s="224"/>
      <c r="N60" s="2"/>
      <c r="O60" s="390"/>
    </row>
    <row r="61" spans="1:15" ht="12.75" hidden="1">
      <c r="A61" s="138">
        <v>1</v>
      </c>
      <c r="B61" s="44"/>
      <c r="C61" s="138"/>
      <c r="D61" s="17">
        <v>400</v>
      </c>
      <c r="E61" s="17" t="s">
        <v>18</v>
      </c>
      <c r="F61" s="84" t="e">
        <f>punbasjubvarios1*indicesep2010*porjubvarcar*frac1</f>
        <v>#NAME?</v>
      </c>
      <c r="G61" s="138"/>
      <c r="H61" s="17">
        <v>400</v>
      </c>
      <c r="I61" s="17" t="s">
        <v>18</v>
      </c>
      <c r="J61" s="84" t="e">
        <f>punbasjubvarios1*indicemar2011*porjubvarcar*frac1</f>
        <v>#NAME?</v>
      </c>
      <c r="K61" s="138"/>
      <c r="L61" s="2"/>
      <c r="M61" s="2"/>
      <c r="N61" s="3"/>
      <c r="O61" s="390"/>
    </row>
    <row r="62" spans="1:15" ht="12.75" hidden="1">
      <c r="A62" s="138"/>
      <c r="B62" s="44"/>
      <c r="C62" s="138"/>
      <c r="D62" s="17">
        <v>542</v>
      </c>
      <c r="E62" s="17" t="s">
        <v>390</v>
      </c>
      <c r="F62" s="203" t="e">
        <f>compbasicovarios1*indicesep2010*porjubvarcar*frac1</f>
        <v>#NAME?</v>
      </c>
      <c r="G62" s="138"/>
      <c r="H62" s="17">
        <v>542</v>
      </c>
      <c r="I62" s="17" t="s">
        <v>390</v>
      </c>
      <c r="J62" s="203" t="e">
        <f>compbasicovarios1*indicemar2011*porjubvarcar*frac1</f>
        <v>#NAME?</v>
      </c>
      <c r="K62" s="138"/>
      <c r="L62" s="2"/>
      <c r="M62" s="2"/>
      <c r="N62" s="3"/>
      <c r="O62" s="390"/>
    </row>
    <row r="63" spans="1:15" ht="12.75" hidden="1">
      <c r="A63" s="138"/>
      <c r="B63" s="44"/>
      <c r="C63" s="138"/>
      <c r="D63" s="383"/>
      <c r="E63" s="383"/>
      <c r="F63" s="416"/>
      <c r="G63" s="138"/>
      <c r="H63" s="388" t="s">
        <v>411</v>
      </c>
      <c r="I63" s="389" t="s">
        <v>407</v>
      </c>
      <c r="J63" s="413" t="e">
        <f>adicdirvarios1*indicemar2011*porjubvarcar*frac1</f>
        <v>#NAME?</v>
      </c>
      <c r="K63" s="138"/>
      <c r="L63" s="2"/>
      <c r="M63" s="2"/>
      <c r="N63" s="3"/>
      <c r="O63" s="390"/>
    </row>
    <row r="64" spans="1:15" ht="12.75" hidden="1">
      <c r="A64" s="138">
        <v>1</v>
      </c>
      <c r="B64" s="44"/>
      <c r="C64" s="138"/>
      <c r="D64" s="17">
        <v>404</v>
      </c>
      <c r="E64" s="17" t="s">
        <v>338</v>
      </c>
      <c r="F64" s="84" t="e">
        <f>puntardifvar1*indicesep2010*porjubvarcar*frac1</f>
        <v>#NAME?</v>
      </c>
      <c r="G64" s="138"/>
      <c r="H64" s="17">
        <v>404</v>
      </c>
      <c r="I64" s="17" t="s">
        <v>338</v>
      </c>
      <c r="J64" s="84" t="e">
        <f>puntardifvar1*indicemar2011*porjubvarcar*frac1</f>
        <v>#NAME?</v>
      </c>
      <c r="L64" s="2"/>
      <c r="M64" s="2"/>
      <c r="N64" s="3"/>
      <c r="O64" s="223"/>
    </row>
    <row r="65" spans="1:15" ht="12.75" hidden="1">
      <c r="A65" s="138">
        <v>1</v>
      </c>
      <c r="B65" s="44"/>
      <c r="C65" s="138"/>
      <c r="D65" s="17">
        <v>406</v>
      </c>
      <c r="E65" s="17" t="s">
        <v>19</v>
      </c>
      <c r="F65" s="84" t="e">
        <f>(F61+F62+F64+F67)*F56</f>
        <v>#NAME?</v>
      </c>
      <c r="G65" s="138"/>
      <c r="H65" s="17">
        <v>406</v>
      </c>
      <c r="I65" s="17" t="s">
        <v>19</v>
      </c>
      <c r="J65" s="84" t="e">
        <f>(J61+J62+J64+J67)*F56</f>
        <v>#NAME?</v>
      </c>
      <c r="L65" s="2"/>
      <c r="M65" s="2"/>
      <c r="N65" s="3"/>
      <c r="O65" s="223"/>
    </row>
    <row r="66" spans="1:15" ht="12.75" hidden="1">
      <c r="A66" s="138">
        <v>1</v>
      </c>
      <c r="B66" s="44"/>
      <c r="C66" s="138"/>
      <c r="D66" s="17">
        <v>408</v>
      </c>
      <c r="E66" s="17" t="s">
        <v>357</v>
      </c>
      <c r="F66" s="84" t="e">
        <f>(F61+F62+F64+F67)*E53</f>
        <v>#NAME?</v>
      </c>
      <c r="G66" s="138"/>
      <c r="H66" s="17">
        <v>408</v>
      </c>
      <c r="I66" s="17" t="s">
        <v>357</v>
      </c>
      <c r="J66" s="84" t="e">
        <f>(J61+J62+J64+J67)*E53</f>
        <v>#NAME?</v>
      </c>
      <c r="L66" s="2"/>
      <c r="M66" s="2"/>
      <c r="N66" s="3"/>
      <c r="O66" s="223"/>
    </row>
    <row r="67" spans="1:15" ht="12.75" hidden="1">
      <c r="A67" s="138">
        <v>1</v>
      </c>
      <c r="B67" s="44"/>
      <c r="C67" s="138"/>
      <c r="D67" s="17">
        <v>416</v>
      </c>
      <c r="E67" s="85" t="s">
        <v>339</v>
      </c>
      <c r="F67" s="84" t="e">
        <f>puntosproljorvarios1*proljorsep2010*porjubvarcar*frac1</f>
        <v>#NAME?</v>
      </c>
      <c r="G67" s="138"/>
      <c r="H67" s="17">
        <v>416</v>
      </c>
      <c r="I67" s="85" t="s">
        <v>339</v>
      </c>
      <c r="J67" s="84" t="e">
        <f>puntosproljorvarios1*proljormar2011*porjubvarcar*frac1</f>
        <v>#NAME?</v>
      </c>
      <c r="L67" s="2"/>
      <c r="M67" s="391"/>
      <c r="N67" s="3"/>
      <c r="O67" s="223"/>
    </row>
    <row r="68" spans="1:15" ht="12.75" hidden="1">
      <c r="A68" s="138">
        <v>1</v>
      </c>
      <c r="B68" s="44"/>
      <c r="C68" s="138"/>
      <c r="D68" s="17">
        <v>432</v>
      </c>
      <c r="E68" s="17" t="s">
        <v>355</v>
      </c>
      <c r="F68" s="84" t="e">
        <f>cod06feb11varios1*porjubvarcar*frac1</f>
        <v>#NAME?</v>
      </c>
      <c r="G68" s="138"/>
      <c r="H68" s="17">
        <v>432</v>
      </c>
      <c r="I68" s="17" t="s">
        <v>355</v>
      </c>
      <c r="J68" s="84" t="e">
        <f>cod06mar11varios1*porjubvarcar*frac1</f>
        <v>#NAME?</v>
      </c>
      <c r="L68" s="2"/>
      <c r="M68" s="2"/>
      <c r="N68" s="3"/>
      <c r="O68" s="223"/>
    </row>
    <row r="69" spans="1:15" ht="12.75" hidden="1">
      <c r="A69" s="138">
        <v>1</v>
      </c>
      <c r="B69" s="44"/>
      <c r="C69" s="138"/>
      <c r="D69" s="17">
        <v>434</v>
      </c>
      <c r="E69" s="17" t="s">
        <v>337</v>
      </c>
      <c r="F69" s="84" t="e">
        <f>(F61+F62+F64+F65+F67+F68+F66)*0.07*0.95</f>
        <v>#NAME?</v>
      </c>
      <c r="G69" s="138"/>
      <c r="H69" s="17">
        <v>434</v>
      </c>
      <c r="I69" s="17" t="s">
        <v>337</v>
      </c>
      <c r="J69" s="84" t="e">
        <f>(J61+J62+J64+J65+J67+J68+J66)*0.07*0.95</f>
        <v>#NAME?</v>
      </c>
      <c r="L69" s="2"/>
      <c r="M69" s="2"/>
      <c r="N69" s="3"/>
      <c r="O69" s="223"/>
    </row>
    <row r="70" spans="1:15" ht="12.75" hidden="1">
      <c r="A70" s="138"/>
      <c r="B70" s="44"/>
      <c r="C70" s="138"/>
      <c r="D70" s="17"/>
      <c r="E70" s="86"/>
      <c r="F70" s="146"/>
      <c r="G70" s="138"/>
      <c r="H70" s="17"/>
      <c r="I70" s="86"/>
      <c r="J70" s="146"/>
      <c r="L70" s="2"/>
      <c r="M70" s="2"/>
      <c r="N70" s="3"/>
      <c r="O70" s="223"/>
    </row>
    <row r="71" spans="1:15" ht="13.5" hidden="1" thickBot="1">
      <c r="A71" s="138">
        <v>1</v>
      </c>
      <c r="B71" s="44"/>
      <c r="C71" s="138"/>
      <c r="D71" s="17"/>
      <c r="E71" s="86" t="s">
        <v>353</v>
      </c>
      <c r="F71" s="113">
        <v>0</v>
      </c>
      <c r="G71" s="138"/>
      <c r="H71" s="17"/>
      <c r="I71" s="86" t="s">
        <v>353</v>
      </c>
      <c r="J71" s="113">
        <v>0</v>
      </c>
      <c r="L71" s="2"/>
      <c r="M71" s="2"/>
      <c r="N71" s="392"/>
      <c r="O71" s="223"/>
    </row>
    <row r="72" spans="1:15" ht="16.5" hidden="1" thickBot="1">
      <c r="A72" s="138">
        <v>1</v>
      </c>
      <c r="B72" s="44"/>
      <c r="C72" s="138"/>
      <c r="D72" s="87"/>
      <c r="E72" s="88" t="s">
        <v>20</v>
      </c>
      <c r="F72" s="89" t="e">
        <f>SUM(F61:F71)</f>
        <v>#NAME?</v>
      </c>
      <c r="G72" s="138"/>
      <c r="H72" s="87"/>
      <c r="I72" s="88" t="s">
        <v>20</v>
      </c>
      <c r="J72" s="89" t="e">
        <f>SUM(J61:J71)</f>
        <v>#NAME?</v>
      </c>
      <c r="L72" s="2"/>
      <c r="M72" s="9"/>
      <c r="N72" s="353"/>
      <c r="O72" s="223"/>
    </row>
    <row r="73" spans="1:15" ht="12.75" hidden="1">
      <c r="A73" s="138">
        <v>1</v>
      </c>
      <c r="B73" s="44"/>
      <c r="C73" s="138"/>
      <c r="D73" s="17">
        <v>703</v>
      </c>
      <c r="E73" s="90" t="s">
        <v>340</v>
      </c>
      <c r="F73" s="91" t="e">
        <f>(F72-F71)*0.0025</f>
        <v>#NAME?</v>
      </c>
      <c r="G73" s="138"/>
      <c r="H73" s="17">
        <v>703</v>
      </c>
      <c r="I73" s="90" t="s">
        <v>340</v>
      </c>
      <c r="J73" s="91" t="e">
        <f>(J72-J71)*0.0025</f>
        <v>#NAME?</v>
      </c>
      <c r="L73" s="2"/>
      <c r="M73" s="393"/>
      <c r="N73" s="5"/>
      <c r="O73" s="223"/>
    </row>
    <row r="74" spans="1:15" ht="12.75" hidden="1">
      <c r="A74" s="138">
        <v>1</v>
      </c>
      <c r="B74" s="44"/>
      <c r="C74" s="138"/>
      <c r="D74" s="18">
        <v>707</v>
      </c>
      <c r="E74" s="92" t="s">
        <v>22</v>
      </c>
      <c r="F74" s="16" t="e">
        <f>(F72-F71)*0.03</f>
        <v>#NAME?</v>
      </c>
      <c r="G74" s="138"/>
      <c r="H74" s="18">
        <v>707</v>
      </c>
      <c r="I74" s="92" t="s">
        <v>22</v>
      </c>
      <c r="J74" s="16" t="e">
        <f>(J72-J71)*0.03</f>
        <v>#NAME?</v>
      </c>
      <c r="L74" s="11"/>
      <c r="M74" s="394"/>
      <c r="N74" s="5"/>
      <c r="O74" s="223"/>
    </row>
    <row r="75" spans="1:15" ht="12.75" hidden="1">
      <c r="A75" s="138">
        <v>1</v>
      </c>
      <c r="B75" s="44"/>
      <c r="C75" s="138"/>
      <c r="D75" s="18">
        <v>709</v>
      </c>
      <c r="E75" s="92" t="s">
        <v>23</v>
      </c>
      <c r="F75" s="16" t="e">
        <f>(F72-F71)*0.0213</f>
        <v>#NAME?</v>
      </c>
      <c r="G75" s="138"/>
      <c r="H75" s="18">
        <v>709</v>
      </c>
      <c r="I75" s="92" t="s">
        <v>23</v>
      </c>
      <c r="J75" s="16" t="e">
        <f>(J72-J71)*0.0213</f>
        <v>#NAME?</v>
      </c>
      <c r="L75" s="11"/>
      <c r="M75" s="394"/>
      <c r="N75" s="5"/>
      <c r="O75" s="223"/>
    </row>
    <row r="76" spans="1:15" ht="12.75" hidden="1">
      <c r="A76" s="138">
        <v>1</v>
      </c>
      <c r="B76" s="44"/>
      <c r="C76" s="138"/>
      <c r="D76" s="15">
        <v>710</v>
      </c>
      <c r="E76" s="92" t="s">
        <v>24</v>
      </c>
      <c r="F76" s="16" t="e">
        <f>(F72-F71)*0.00754</f>
        <v>#NAME?</v>
      </c>
      <c r="G76" s="138"/>
      <c r="H76" s="15">
        <v>710</v>
      </c>
      <c r="I76" s="92" t="s">
        <v>24</v>
      </c>
      <c r="J76" s="16" t="e">
        <f>(J72-J71)*0.00754</f>
        <v>#NAME?</v>
      </c>
      <c r="L76" s="395"/>
      <c r="M76" s="394"/>
      <c r="N76" s="5"/>
      <c r="O76" s="223"/>
    </row>
    <row r="77" spans="1:15" ht="12.75" hidden="1">
      <c r="A77" s="138">
        <v>1</v>
      </c>
      <c r="B77" s="44"/>
      <c r="C77" s="138"/>
      <c r="D77" s="15">
        <v>713</v>
      </c>
      <c r="E77" s="92" t="s">
        <v>25</v>
      </c>
      <c r="F77" s="16" t="e">
        <f>(F72-F71)*0.007</f>
        <v>#NAME?</v>
      </c>
      <c r="G77" s="138"/>
      <c r="H77" s="15">
        <v>713</v>
      </c>
      <c r="I77" s="92" t="s">
        <v>25</v>
      </c>
      <c r="J77" s="16" t="e">
        <f>(J72-J71)*0.007</f>
        <v>#NAME?</v>
      </c>
      <c r="L77" s="395"/>
      <c r="M77" s="394"/>
      <c r="N77" s="5"/>
      <c r="O77" s="223"/>
    </row>
    <row r="78" spans="1:15" ht="13.5" hidden="1" thickBot="1">
      <c r="A78" s="138">
        <v>1</v>
      </c>
      <c r="B78" s="44"/>
      <c r="C78" s="138"/>
      <c r="D78" s="15"/>
      <c r="E78" s="93" t="s">
        <v>26</v>
      </c>
      <c r="F78" s="43">
        <v>0</v>
      </c>
      <c r="G78" s="138"/>
      <c r="H78" s="15"/>
      <c r="I78" s="93" t="s">
        <v>26</v>
      </c>
      <c r="J78" s="43">
        <v>0</v>
      </c>
      <c r="L78" s="395"/>
      <c r="M78" s="394"/>
      <c r="N78" s="396"/>
      <c r="O78" s="223"/>
    </row>
    <row r="79" spans="1:15" ht="16.5" hidden="1" thickBot="1">
      <c r="A79" s="138">
        <v>1</v>
      </c>
      <c r="B79" s="44"/>
      <c r="C79" s="138"/>
      <c r="D79" s="94"/>
      <c r="E79" s="88" t="s">
        <v>27</v>
      </c>
      <c r="F79" s="89" t="e">
        <f>SUM(F73:F78)</f>
        <v>#NAME?</v>
      </c>
      <c r="G79" s="138"/>
      <c r="H79" s="94"/>
      <c r="I79" s="88" t="s">
        <v>27</v>
      </c>
      <c r="J79" s="89" t="e">
        <f>SUM(J73:J78)</f>
        <v>#NAME?</v>
      </c>
      <c r="L79" s="11"/>
      <c r="M79" s="9"/>
      <c r="N79" s="353"/>
      <c r="O79" s="223"/>
    </row>
    <row r="80" spans="1:15" ht="13.5" hidden="1" thickBot="1">
      <c r="A80" s="138">
        <v>1</v>
      </c>
      <c r="B80" s="44"/>
      <c r="C80" s="138"/>
      <c r="D80" s="95"/>
      <c r="E80" s="96"/>
      <c r="F80" s="97"/>
      <c r="G80" s="138"/>
      <c r="H80" s="95"/>
      <c r="I80" s="96"/>
      <c r="J80" s="97"/>
      <c r="L80" s="70"/>
      <c r="M80" s="2"/>
      <c r="N80" s="6"/>
      <c r="O80" s="223"/>
    </row>
    <row r="81" spans="1:15" ht="16.5" hidden="1" thickBot="1">
      <c r="A81" s="138">
        <v>1</v>
      </c>
      <c r="B81" s="101"/>
      <c r="C81" s="138"/>
      <c r="D81" s="98"/>
      <c r="E81" s="99" t="s">
        <v>28</v>
      </c>
      <c r="F81" s="100" t="e">
        <f>F72-F79</f>
        <v>#NAME?</v>
      </c>
      <c r="G81" s="138"/>
      <c r="H81" s="98"/>
      <c r="I81" s="99" t="s">
        <v>28</v>
      </c>
      <c r="J81" s="100" t="e">
        <f>J72-J79</f>
        <v>#NAME?</v>
      </c>
      <c r="L81" s="4"/>
      <c r="M81" s="179"/>
      <c r="N81" s="181"/>
      <c r="O81" s="223"/>
    </row>
    <row r="82" spans="1:15" ht="12.75" hidden="1">
      <c r="A82" s="138"/>
      <c r="B82" s="101"/>
      <c r="C82" s="138"/>
      <c r="G82" s="138"/>
      <c r="L82" s="223"/>
      <c r="M82" s="223"/>
      <c r="N82" s="223"/>
      <c r="O82" s="223"/>
    </row>
    <row r="83" spans="1:7" ht="12.75" hidden="1">
      <c r="A83" s="138">
        <v>1</v>
      </c>
      <c r="B83" s="101"/>
      <c r="C83" s="149"/>
      <c r="G83" s="138"/>
    </row>
    <row r="84" spans="1:17" ht="15.75" hidden="1">
      <c r="A84" s="138">
        <v>1</v>
      </c>
      <c r="B84" s="101"/>
      <c r="C84" s="149"/>
      <c r="D84" s="150"/>
      <c r="E84" s="151"/>
      <c r="F84" s="101"/>
      <c r="G84" s="149"/>
      <c r="H84" s="152"/>
      <c r="I84" s="153"/>
      <c r="J84" s="153"/>
      <c r="K84" s="153"/>
      <c r="L84" s="153"/>
      <c r="M84" s="101"/>
      <c r="N84" s="232"/>
      <c r="O84" s="44"/>
      <c r="P84" s="10"/>
      <c r="Q84" s="10"/>
    </row>
    <row r="85" ht="21.75" customHeight="1" hidden="1"/>
    <row r="86" spans="3:16" s="221" customFormat="1" ht="15.75" hidden="1">
      <c r="C86" s="217"/>
      <c r="F86" s="140"/>
      <c r="G86" s="128"/>
      <c r="H86" s="70"/>
      <c r="I86" s="70"/>
      <c r="J86" s="140"/>
      <c r="K86" s="11"/>
      <c r="L86" s="128"/>
      <c r="M86" s="128"/>
      <c r="N86" s="128"/>
      <c r="O86" s="128"/>
      <c r="P86" s="128"/>
    </row>
    <row r="87" spans="1:20" ht="16.5" hidden="1" thickBot="1">
      <c r="A87">
        <v>2</v>
      </c>
      <c r="F87" t="s">
        <v>371</v>
      </c>
      <c r="G87" s="10" t="s">
        <v>373</v>
      </c>
      <c r="H87" s="10" t="s">
        <v>374</v>
      </c>
      <c r="I87" s="127" t="s">
        <v>375</v>
      </c>
      <c r="J87" s="127" t="s">
        <v>376</v>
      </c>
      <c r="K87" s="127" t="s">
        <v>377</v>
      </c>
      <c r="L87" s="127" t="s">
        <v>378</v>
      </c>
      <c r="M87" s="127" t="s">
        <v>379</v>
      </c>
      <c r="N87" s="127" t="s">
        <v>380</v>
      </c>
      <c r="O87" s="131" t="s">
        <v>381</v>
      </c>
      <c r="P87" s="131">
        <v>1</v>
      </c>
      <c r="Q87" s="131">
        <v>2</v>
      </c>
      <c r="R87" s="131">
        <v>3</v>
      </c>
      <c r="S87" s="131">
        <v>4</v>
      </c>
      <c r="T87" s="131">
        <v>5</v>
      </c>
    </row>
    <row r="88" spans="1:20" ht="15.75" hidden="1">
      <c r="A88">
        <v>2</v>
      </c>
      <c r="E88" s="118">
        <v>0</v>
      </c>
      <c r="F88" s="352" t="e">
        <f aca="true" t="shared" si="14" ref="F88:F99">IF(puntosproljorvarios2&lt;620,T88,O88)</f>
        <v>#NAME?</v>
      </c>
      <c r="G88" s="346">
        <v>409</v>
      </c>
      <c r="H88" s="346">
        <v>99</v>
      </c>
      <c r="I88" s="346">
        <v>0</v>
      </c>
      <c r="J88" s="346">
        <v>0</v>
      </c>
      <c r="K88" s="346">
        <v>0</v>
      </c>
      <c r="L88" s="346">
        <v>0</v>
      </c>
      <c r="M88" s="346">
        <v>99</v>
      </c>
      <c r="N88" s="346">
        <v>99</v>
      </c>
      <c r="O88" s="132">
        <f aca="true" t="shared" si="15" ref="O88:O99">IF(punbasjubvarios2&gt;971,N88,M88)</f>
        <v>99</v>
      </c>
      <c r="P88" s="132">
        <f>IF(punbasjubvarios2&lt;972,G88,H88)</f>
        <v>409</v>
      </c>
      <c r="Q88" s="132">
        <f aca="true" t="shared" si="16" ref="Q88:Q99">IF(punbasjubvarios1&lt;1170,P88,I88)</f>
        <v>0</v>
      </c>
      <c r="R88" s="132">
        <f aca="true" t="shared" si="17" ref="R88:R99">IF(punbasjubvarios2&lt;1401,Q88,J88)</f>
        <v>0</v>
      </c>
      <c r="S88" s="132">
        <f aca="true" t="shared" si="18" ref="S88:S99">IF(punbasjubvarios2&lt;1943,R88,K88)</f>
        <v>0</v>
      </c>
      <c r="T88" s="132">
        <f aca="true" t="shared" si="19" ref="T88:T99">IF(punbasjubvarios2&lt;=2220,S88,L88)</f>
        <v>0</v>
      </c>
    </row>
    <row r="89" spans="1:20" ht="15.75" hidden="1">
      <c r="A89">
        <v>2</v>
      </c>
      <c r="E89" s="119">
        <v>0.1</v>
      </c>
      <c r="F89" s="352" t="e">
        <f t="shared" si="14"/>
        <v>#NAME?</v>
      </c>
      <c r="G89" s="346">
        <v>581</v>
      </c>
      <c r="H89" s="346">
        <v>112</v>
      </c>
      <c r="I89" s="346">
        <v>0</v>
      </c>
      <c r="J89" s="346">
        <v>0</v>
      </c>
      <c r="K89" s="346">
        <v>0</v>
      </c>
      <c r="L89" s="346">
        <v>0</v>
      </c>
      <c r="M89" s="346">
        <v>112</v>
      </c>
      <c r="N89" s="346">
        <v>112</v>
      </c>
      <c r="O89" s="132">
        <f t="shared" si="15"/>
        <v>112</v>
      </c>
      <c r="P89" s="132">
        <f aca="true" t="shared" si="20" ref="P89:P99">IF(punbasjubvarios1&lt;972,G89,H89)</f>
        <v>112</v>
      </c>
      <c r="Q89" s="132">
        <f t="shared" si="16"/>
        <v>0</v>
      </c>
      <c r="R89" s="132">
        <f t="shared" si="17"/>
        <v>0</v>
      </c>
      <c r="S89" s="132">
        <f t="shared" si="18"/>
        <v>0</v>
      </c>
      <c r="T89" s="132">
        <f t="shared" si="19"/>
        <v>0</v>
      </c>
    </row>
    <row r="90" spans="1:20" ht="15.75" hidden="1">
      <c r="A90">
        <v>2</v>
      </c>
      <c r="E90" s="120">
        <v>0.15</v>
      </c>
      <c r="F90" s="352" t="e">
        <f t="shared" si="14"/>
        <v>#NAME?</v>
      </c>
      <c r="G90" s="346">
        <v>705</v>
      </c>
      <c r="H90" s="346">
        <v>224</v>
      </c>
      <c r="I90" s="346">
        <v>298</v>
      </c>
      <c r="J90" s="346">
        <v>240</v>
      </c>
      <c r="K90" s="346">
        <v>224</v>
      </c>
      <c r="L90" s="346">
        <v>0</v>
      </c>
      <c r="M90" s="346">
        <v>273</v>
      </c>
      <c r="N90" s="346">
        <v>273</v>
      </c>
      <c r="O90" s="132">
        <f t="shared" si="15"/>
        <v>273</v>
      </c>
      <c r="P90" s="132">
        <f t="shared" si="20"/>
        <v>224</v>
      </c>
      <c r="Q90" s="132">
        <f t="shared" si="16"/>
        <v>298</v>
      </c>
      <c r="R90" s="132">
        <f t="shared" si="17"/>
        <v>298</v>
      </c>
      <c r="S90" s="132">
        <f t="shared" si="18"/>
        <v>298</v>
      </c>
      <c r="T90" s="132">
        <f t="shared" si="19"/>
        <v>298</v>
      </c>
    </row>
    <row r="91" spans="1:20" ht="15.75" hidden="1">
      <c r="A91">
        <v>2</v>
      </c>
      <c r="E91" s="120">
        <v>0.3</v>
      </c>
      <c r="F91" s="352" t="e">
        <f t="shared" si="14"/>
        <v>#NAME?</v>
      </c>
      <c r="G91" s="346">
        <v>733</v>
      </c>
      <c r="H91" s="346">
        <v>242</v>
      </c>
      <c r="I91" s="346">
        <v>298</v>
      </c>
      <c r="J91" s="346">
        <v>240</v>
      </c>
      <c r="K91" s="346">
        <v>224</v>
      </c>
      <c r="L91" s="346">
        <v>0</v>
      </c>
      <c r="M91" s="346">
        <v>472</v>
      </c>
      <c r="N91" s="346">
        <v>435</v>
      </c>
      <c r="O91" s="132">
        <f t="shared" si="15"/>
        <v>472</v>
      </c>
      <c r="P91" s="132">
        <f t="shared" si="20"/>
        <v>242</v>
      </c>
      <c r="Q91" s="132">
        <f t="shared" si="16"/>
        <v>298</v>
      </c>
      <c r="R91" s="132">
        <f t="shared" si="17"/>
        <v>298</v>
      </c>
      <c r="S91" s="132">
        <f t="shared" si="18"/>
        <v>298</v>
      </c>
      <c r="T91" s="132">
        <f t="shared" si="19"/>
        <v>298</v>
      </c>
    </row>
    <row r="92" spans="1:20" ht="15.75" hidden="1">
      <c r="A92">
        <v>2</v>
      </c>
      <c r="E92" s="120">
        <v>0.4</v>
      </c>
      <c r="F92" s="352" t="e">
        <f t="shared" si="14"/>
        <v>#NAME?</v>
      </c>
      <c r="G92" s="346">
        <v>796</v>
      </c>
      <c r="H92" s="346">
        <v>261</v>
      </c>
      <c r="I92" s="346">
        <v>311</v>
      </c>
      <c r="J92" s="346">
        <v>248</v>
      </c>
      <c r="K92" s="346">
        <v>224</v>
      </c>
      <c r="L92" s="346">
        <v>174</v>
      </c>
      <c r="M92" s="346">
        <v>546</v>
      </c>
      <c r="N92" s="346">
        <v>497</v>
      </c>
      <c r="O92" s="132">
        <f t="shared" si="15"/>
        <v>546</v>
      </c>
      <c r="P92" s="132">
        <f t="shared" si="20"/>
        <v>261</v>
      </c>
      <c r="Q92" s="132">
        <f t="shared" si="16"/>
        <v>311</v>
      </c>
      <c r="R92" s="132">
        <f t="shared" si="17"/>
        <v>311</v>
      </c>
      <c r="S92" s="132">
        <f t="shared" si="18"/>
        <v>311</v>
      </c>
      <c r="T92" s="132">
        <f t="shared" si="19"/>
        <v>311</v>
      </c>
    </row>
    <row r="93" spans="1:20" ht="15.75" hidden="1">
      <c r="A93">
        <v>2</v>
      </c>
      <c r="E93" s="120">
        <v>0.5</v>
      </c>
      <c r="F93" s="352" t="e">
        <f t="shared" si="14"/>
        <v>#NAME?</v>
      </c>
      <c r="G93" s="346">
        <v>575</v>
      </c>
      <c r="H93" s="346">
        <v>286</v>
      </c>
      <c r="I93" s="346">
        <v>311</v>
      </c>
      <c r="J93" s="346">
        <v>248</v>
      </c>
      <c r="K93" s="346">
        <v>224</v>
      </c>
      <c r="L93" s="346">
        <v>174</v>
      </c>
      <c r="M93" s="346">
        <v>590</v>
      </c>
      <c r="N93" s="346">
        <v>540</v>
      </c>
      <c r="O93" s="132">
        <f t="shared" si="15"/>
        <v>590</v>
      </c>
      <c r="P93" s="132">
        <f t="shared" si="20"/>
        <v>286</v>
      </c>
      <c r="Q93" s="132">
        <f t="shared" si="16"/>
        <v>311</v>
      </c>
      <c r="R93" s="132">
        <f t="shared" si="17"/>
        <v>311</v>
      </c>
      <c r="S93" s="132">
        <f t="shared" si="18"/>
        <v>311</v>
      </c>
      <c r="T93" s="132">
        <f t="shared" si="19"/>
        <v>311</v>
      </c>
    </row>
    <row r="94" spans="1:20" ht="15.75" hidden="1">
      <c r="A94">
        <v>2</v>
      </c>
      <c r="E94" s="120">
        <v>0.6</v>
      </c>
      <c r="F94" s="352" t="e">
        <f t="shared" si="14"/>
        <v>#NAME?</v>
      </c>
      <c r="G94" s="346">
        <v>578</v>
      </c>
      <c r="H94" s="346">
        <v>323</v>
      </c>
      <c r="I94" s="346">
        <v>323</v>
      </c>
      <c r="J94" s="346">
        <v>252</v>
      </c>
      <c r="K94" s="346">
        <v>236</v>
      </c>
      <c r="L94" s="346">
        <v>199</v>
      </c>
      <c r="M94" s="346">
        <v>633</v>
      </c>
      <c r="N94" s="346">
        <v>559</v>
      </c>
      <c r="O94" s="132">
        <f t="shared" si="15"/>
        <v>633</v>
      </c>
      <c r="P94" s="132">
        <f t="shared" si="20"/>
        <v>323</v>
      </c>
      <c r="Q94" s="132">
        <f t="shared" si="16"/>
        <v>323</v>
      </c>
      <c r="R94" s="132">
        <f t="shared" si="17"/>
        <v>323</v>
      </c>
      <c r="S94" s="132">
        <f t="shared" si="18"/>
        <v>323</v>
      </c>
      <c r="T94" s="132">
        <f t="shared" si="19"/>
        <v>323</v>
      </c>
    </row>
    <row r="95" spans="1:20" ht="15.75" hidden="1">
      <c r="A95">
        <v>2</v>
      </c>
      <c r="E95" s="120">
        <v>0.7</v>
      </c>
      <c r="F95" s="352" t="e">
        <f t="shared" si="14"/>
        <v>#NAME?</v>
      </c>
      <c r="G95" s="346">
        <v>553</v>
      </c>
      <c r="H95" s="346">
        <v>354</v>
      </c>
      <c r="I95" s="346">
        <v>453</v>
      </c>
      <c r="J95" s="346">
        <v>286</v>
      </c>
      <c r="K95" s="346">
        <v>236</v>
      </c>
      <c r="L95" s="346">
        <v>199</v>
      </c>
      <c r="M95" s="346">
        <v>652</v>
      </c>
      <c r="N95" s="346">
        <v>578</v>
      </c>
      <c r="O95" s="132">
        <f t="shared" si="15"/>
        <v>652</v>
      </c>
      <c r="P95" s="132">
        <f t="shared" si="20"/>
        <v>354</v>
      </c>
      <c r="Q95" s="132">
        <f t="shared" si="16"/>
        <v>453</v>
      </c>
      <c r="R95" s="132">
        <f t="shared" si="17"/>
        <v>453</v>
      </c>
      <c r="S95" s="132">
        <f t="shared" si="18"/>
        <v>453</v>
      </c>
      <c r="T95" s="132">
        <f t="shared" si="19"/>
        <v>453</v>
      </c>
    </row>
    <row r="96" spans="1:20" ht="15.75" hidden="1">
      <c r="A96">
        <v>2</v>
      </c>
      <c r="E96" s="120">
        <v>0.8</v>
      </c>
      <c r="F96" s="352" t="e">
        <f t="shared" si="14"/>
        <v>#NAME?</v>
      </c>
      <c r="G96" s="346">
        <v>664</v>
      </c>
      <c r="H96" s="346">
        <v>428</v>
      </c>
      <c r="I96" s="346">
        <v>491</v>
      </c>
      <c r="J96" s="346">
        <v>422</v>
      </c>
      <c r="K96" s="346">
        <v>348</v>
      </c>
      <c r="L96" s="346">
        <v>224</v>
      </c>
      <c r="M96" s="346">
        <v>689</v>
      </c>
      <c r="N96" s="346">
        <v>590</v>
      </c>
      <c r="O96" s="132">
        <f t="shared" si="15"/>
        <v>689</v>
      </c>
      <c r="P96" s="132">
        <f t="shared" si="20"/>
        <v>428</v>
      </c>
      <c r="Q96" s="132">
        <f t="shared" si="16"/>
        <v>491</v>
      </c>
      <c r="R96" s="132">
        <f t="shared" si="17"/>
        <v>491</v>
      </c>
      <c r="S96" s="132">
        <f t="shared" si="18"/>
        <v>491</v>
      </c>
      <c r="T96" s="132">
        <f t="shared" si="19"/>
        <v>491</v>
      </c>
    </row>
    <row r="97" spans="1:20" ht="15.75" hidden="1">
      <c r="A97">
        <v>2</v>
      </c>
      <c r="E97" s="120">
        <v>1</v>
      </c>
      <c r="F97" s="352" t="e">
        <f t="shared" si="14"/>
        <v>#NAME?</v>
      </c>
      <c r="G97" s="346">
        <v>826</v>
      </c>
      <c r="H97" s="346">
        <v>540</v>
      </c>
      <c r="I97" s="346">
        <v>509</v>
      </c>
      <c r="J97" s="346">
        <v>410</v>
      </c>
      <c r="K97" s="346">
        <v>385</v>
      </c>
      <c r="L97" s="346">
        <v>224</v>
      </c>
      <c r="M97" s="346">
        <v>733</v>
      </c>
      <c r="N97" s="346">
        <v>609</v>
      </c>
      <c r="O97" s="132">
        <f t="shared" si="15"/>
        <v>733</v>
      </c>
      <c r="P97" s="132">
        <f t="shared" si="20"/>
        <v>540</v>
      </c>
      <c r="Q97" s="132">
        <f t="shared" si="16"/>
        <v>509</v>
      </c>
      <c r="R97" s="132">
        <f t="shared" si="17"/>
        <v>509</v>
      </c>
      <c r="S97" s="132">
        <f t="shared" si="18"/>
        <v>509</v>
      </c>
      <c r="T97" s="132">
        <f t="shared" si="19"/>
        <v>509</v>
      </c>
    </row>
    <row r="98" spans="1:20" ht="15.75" hidden="1">
      <c r="A98">
        <v>2</v>
      </c>
      <c r="E98" s="120">
        <v>1.1</v>
      </c>
      <c r="F98" s="352" t="e">
        <f t="shared" si="14"/>
        <v>#NAME?</v>
      </c>
      <c r="G98" s="346">
        <v>925</v>
      </c>
      <c r="H98" s="346">
        <v>615</v>
      </c>
      <c r="I98" s="346">
        <v>534</v>
      </c>
      <c r="J98" s="346">
        <v>410</v>
      </c>
      <c r="K98" s="346">
        <v>397</v>
      </c>
      <c r="L98" s="346">
        <v>236</v>
      </c>
      <c r="M98" s="346">
        <v>764</v>
      </c>
      <c r="N98" s="346">
        <v>627</v>
      </c>
      <c r="O98" s="132">
        <f t="shared" si="15"/>
        <v>764</v>
      </c>
      <c r="P98" s="132">
        <f t="shared" si="20"/>
        <v>615</v>
      </c>
      <c r="Q98" s="132">
        <f t="shared" si="16"/>
        <v>534</v>
      </c>
      <c r="R98" s="132">
        <f t="shared" si="17"/>
        <v>534</v>
      </c>
      <c r="S98" s="132">
        <f t="shared" si="18"/>
        <v>534</v>
      </c>
      <c r="T98" s="132">
        <f t="shared" si="19"/>
        <v>534</v>
      </c>
    </row>
    <row r="99" spans="1:20" ht="16.5" hidden="1" thickBot="1">
      <c r="A99">
        <v>2</v>
      </c>
      <c r="E99" s="121">
        <v>1.2</v>
      </c>
      <c r="F99" s="352" t="e">
        <f t="shared" si="14"/>
        <v>#NAME?</v>
      </c>
      <c r="G99" s="346">
        <v>956</v>
      </c>
      <c r="H99" s="346">
        <v>633</v>
      </c>
      <c r="I99" s="346">
        <v>596</v>
      </c>
      <c r="J99" s="346">
        <v>416</v>
      </c>
      <c r="K99" s="346">
        <v>410</v>
      </c>
      <c r="L99" s="346">
        <v>236</v>
      </c>
      <c r="M99" s="346">
        <v>770</v>
      </c>
      <c r="N99" s="346">
        <v>633</v>
      </c>
      <c r="O99" s="132">
        <f t="shared" si="15"/>
        <v>770</v>
      </c>
      <c r="P99" s="132">
        <f t="shared" si="20"/>
        <v>633</v>
      </c>
      <c r="Q99" s="132">
        <f t="shared" si="16"/>
        <v>596</v>
      </c>
      <c r="R99" s="132">
        <f t="shared" si="17"/>
        <v>596</v>
      </c>
      <c r="S99" s="132">
        <f t="shared" si="18"/>
        <v>596</v>
      </c>
      <c r="T99" s="132">
        <f t="shared" si="19"/>
        <v>596</v>
      </c>
    </row>
    <row r="100" spans="1:20" s="216" customFormat="1" ht="15.75" hidden="1">
      <c r="A100">
        <v>2</v>
      </c>
      <c r="E100" s="217"/>
      <c r="F100" s="140"/>
      <c r="G100" s="140"/>
      <c r="H100" s="218"/>
      <c r="I100" s="219"/>
      <c r="J100" s="219"/>
      <c r="K100" s="140"/>
      <c r="L100" s="11"/>
      <c r="M100" s="128"/>
      <c r="N100" s="128"/>
      <c r="O100" s="128"/>
      <c r="P100" s="128"/>
      <c r="Q100" s="128"/>
      <c r="R100" s="128"/>
      <c r="S100" s="128"/>
      <c r="T100" s="128"/>
    </row>
    <row r="101" spans="1:20" s="216" customFormat="1" ht="15.75" hidden="1">
      <c r="A101">
        <v>2</v>
      </c>
      <c r="E101" s="217"/>
      <c r="F101" s="140" t="s">
        <v>417</v>
      </c>
      <c r="G101" s="140" t="e">
        <f>LOOKUP(F134,porantvar2,cod06cargosvar2feb11)</f>
        <v>#NAME?</v>
      </c>
      <c r="H101" s="218"/>
      <c r="I101" s="219"/>
      <c r="J101" s="219"/>
      <c r="K101" s="140"/>
      <c r="L101" s="11"/>
      <c r="M101" s="128"/>
      <c r="N101" s="128"/>
      <c r="O101" s="128"/>
      <c r="P101" s="128"/>
      <c r="Q101" s="128"/>
      <c r="R101" s="128"/>
      <c r="S101" s="128"/>
      <c r="T101" s="128"/>
    </row>
    <row r="102" spans="1:20" s="216" customFormat="1" ht="15.75" hidden="1">
      <c r="A102"/>
      <c r="E102" s="217"/>
      <c r="F102" s="140"/>
      <c r="G102" s="140"/>
      <c r="H102" s="218"/>
      <c r="I102" s="219"/>
      <c r="J102" s="219"/>
      <c r="K102" s="140"/>
      <c r="L102" s="11"/>
      <c r="M102" s="128"/>
      <c r="N102" s="128"/>
      <c r="O102" s="128"/>
      <c r="P102" s="128"/>
      <c r="Q102" s="128"/>
      <c r="R102" s="128"/>
      <c r="S102" s="128"/>
      <c r="T102" s="128"/>
    </row>
    <row r="103" spans="1:20" ht="16.5" hidden="1" thickBot="1">
      <c r="A103">
        <v>2</v>
      </c>
      <c r="F103" t="s">
        <v>371</v>
      </c>
      <c r="G103" s="10" t="s">
        <v>373</v>
      </c>
      <c r="H103" s="10" t="s">
        <v>374</v>
      </c>
      <c r="I103" s="127" t="s">
        <v>375</v>
      </c>
      <c r="J103" s="127" t="s">
        <v>376</v>
      </c>
      <c r="K103" s="127" t="s">
        <v>377</v>
      </c>
      <c r="L103" s="127" t="s">
        <v>378</v>
      </c>
      <c r="M103" s="127" t="s">
        <v>379</v>
      </c>
      <c r="N103" s="127" t="s">
        <v>380</v>
      </c>
      <c r="O103" s="131" t="s">
        <v>381</v>
      </c>
      <c r="P103" s="131">
        <v>1</v>
      </c>
      <c r="Q103" s="131">
        <v>2</v>
      </c>
      <c r="R103" s="131">
        <v>3</v>
      </c>
      <c r="S103" s="131">
        <v>4</v>
      </c>
      <c r="T103" s="131">
        <v>5</v>
      </c>
    </row>
    <row r="104" spans="1:20" ht="15.75" hidden="1">
      <c r="A104">
        <v>2</v>
      </c>
      <c r="E104" s="118">
        <v>0</v>
      </c>
      <c r="F104" s="352" t="e">
        <f aca="true" t="shared" si="21" ref="F104:F115">IF(puntosproljorvarios2&lt;620,T104,O104)</f>
        <v>#NAME?</v>
      </c>
      <c r="G104" s="10">
        <v>499</v>
      </c>
      <c r="H104" s="10">
        <v>121</v>
      </c>
      <c r="I104" s="10">
        <v>0</v>
      </c>
      <c r="J104" s="10">
        <v>0</v>
      </c>
      <c r="K104" s="10">
        <v>0</v>
      </c>
      <c r="L104" s="10">
        <v>0</v>
      </c>
      <c r="M104" s="10">
        <v>121</v>
      </c>
      <c r="N104" s="10">
        <v>121</v>
      </c>
      <c r="O104" s="132">
        <f aca="true" t="shared" si="22" ref="O104:O115">IF(punbasjubvarios2&gt;971,N104,M104)</f>
        <v>121</v>
      </c>
      <c r="P104" s="132">
        <f>IF(punbasjubvarios2&lt;972,G104,H104)</f>
        <v>499</v>
      </c>
      <c r="Q104" s="132">
        <f aca="true" t="shared" si="23" ref="Q104:Q115">IF(punbasjubvarios1&lt;1170,P104,I104)</f>
        <v>0</v>
      </c>
      <c r="R104" s="132">
        <f aca="true" t="shared" si="24" ref="R104:R115">IF(punbasjubvarios2&lt;1401,Q104,J104)</f>
        <v>0</v>
      </c>
      <c r="S104" s="132">
        <f aca="true" t="shared" si="25" ref="S104:S115">IF(punbasjubvarios2&lt;1943,R104,K104)</f>
        <v>0</v>
      </c>
      <c r="T104" s="132">
        <f aca="true" t="shared" si="26" ref="T104:T115">IF(punbasjubvarios2&lt;=2220,S104,L104)</f>
        <v>0</v>
      </c>
    </row>
    <row r="105" spans="1:20" ht="15.75" hidden="1">
      <c r="A105">
        <v>2</v>
      </c>
      <c r="E105" s="119">
        <v>0.1</v>
      </c>
      <c r="F105" s="352" t="e">
        <f t="shared" si="21"/>
        <v>#NAME?</v>
      </c>
      <c r="G105" s="10">
        <v>709</v>
      </c>
      <c r="H105" s="10">
        <v>137</v>
      </c>
      <c r="I105" s="10">
        <v>0</v>
      </c>
      <c r="J105" s="10">
        <v>0</v>
      </c>
      <c r="K105" s="10">
        <v>0</v>
      </c>
      <c r="L105" s="10">
        <v>0</v>
      </c>
      <c r="M105" s="10">
        <v>137</v>
      </c>
      <c r="N105" s="10">
        <v>137</v>
      </c>
      <c r="O105" s="132">
        <f t="shared" si="22"/>
        <v>137</v>
      </c>
      <c r="P105" s="132">
        <f aca="true" t="shared" si="27" ref="P105:P115">IF(punbasjubvarios1&lt;972,G105,H105)</f>
        <v>137</v>
      </c>
      <c r="Q105" s="132">
        <f t="shared" si="23"/>
        <v>0</v>
      </c>
      <c r="R105" s="132">
        <f t="shared" si="24"/>
        <v>0</v>
      </c>
      <c r="S105" s="132">
        <f t="shared" si="25"/>
        <v>0</v>
      </c>
      <c r="T105" s="132">
        <f t="shared" si="26"/>
        <v>0</v>
      </c>
    </row>
    <row r="106" spans="1:20" ht="15.75" hidden="1">
      <c r="A106">
        <v>2</v>
      </c>
      <c r="E106" s="120">
        <v>0.15</v>
      </c>
      <c r="F106" s="352" t="e">
        <f t="shared" si="21"/>
        <v>#NAME?</v>
      </c>
      <c r="G106" s="10">
        <v>860</v>
      </c>
      <c r="H106" s="10">
        <v>273</v>
      </c>
      <c r="I106" s="10">
        <v>364</v>
      </c>
      <c r="J106" s="10">
        <v>293</v>
      </c>
      <c r="K106" s="10">
        <v>273</v>
      </c>
      <c r="L106" s="10">
        <v>0</v>
      </c>
      <c r="M106" s="10">
        <v>333</v>
      </c>
      <c r="N106" s="10">
        <v>333</v>
      </c>
      <c r="O106" s="132">
        <f t="shared" si="22"/>
        <v>333</v>
      </c>
      <c r="P106" s="132">
        <f t="shared" si="27"/>
        <v>273</v>
      </c>
      <c r="Q106" s="132">
        <f t="shared" si="23"/>
        <v>364</v>
      </c>
      <c r="R106" s="132">
        <f t="shared" si="24"/>
        <v>364</v>
      </c>
      <c r="S106" s="132">
        <f t="shared" si="25"/>
        <v>364</v>
      </c>
      <c r="T106" s="132">
        <f t="shared" si="26"/>
        <v>364</v>
      </c>
    </row>
    <row r="107" spans="1:20" ht="15.75" hidden="1">
      <c r="A107">
        <v>2</v>
      </c>
      <c r="E107" s="120">
        <v>0.3</v>
      </c>
      <c r="F107" s="352" t="e">
        <f t="shared" si="21"/>
        <v>#NAME?</v>
      </c>
      <c r="G107" s="10">
        <v>894</v>
      </c>
      <c r="H107" s="10">
        <v>295</v>
      </c>
      <c r="I107" s="10">
        <v>364</v>
      </c>
      <c r="J107" s="10">
        <v>293</v>
      </c>
      <c r="K107" s="10">
        <v>273</v>
      </c>
      <c r="L107" s="10">
        <v>0</v>
      </c>
      <c r="M107" s="10">
        <v>576</v>
      </c>
      <c r="N107" s="10">
        <v>531</v>
      </c>
      <c r="O107" s="132">
        <f t="shared" si="22"/>
        <v>576</v>
      </c>
      <c r="P107" s="132">
        <f t="shared" si="27"/>
        <v>295</v>
      </c>
      <c r="Q107" s="132">
        <f t="shared" si="23"/>
        <v>364</v>
      </c>
      <c r="R107" s="132">
        <f t="shared" si="24"/>
        <v>364</v>
      </c>
      <c r="S107" s="132">
        <f t="shared" si="25"/>
        <v>364</v>
      </c>
      <c r="T107" s="132">
        <f t="shared" si="26"/>
        <v>364</v>
      </c>
    </row>
    <row r="108" spans="1:20" ht="15.75" hidden="1">
      <c r="A108">
        <v>2</v>
      </c>
      <c r="E108" s="120">
        <v>0.4</v>
      </c>
      <c r="F108" s="352" t="e">
        <f t="shared" si="21"/>
        <v>#NAME?</v>
      </c>
      <c r="G108" s="10">
        <v>806</v>
      </c>
      <c r="H108" s="10">
        <v>318</v>
      </c>
      <c r="I108" s="10">
        <v>379</v>
      </c>
      <c r="J108" s="10">
        <v>303</v>
      </c>
      <c r="K108" s="10">
        <v>273</v>
      </c>
      <c r="L108" s="10">
        <v>212</v>
      </c>
      <c r="M108" s="10">
        <v>666</v>
      </c>
      <c r="N108" s="10">
        <v>606</v>
      </c>
      <c r="O108" s="132">
        <f t="shared" si="22"/>
        <v>666</v>
      </c>
      <c r="P108" s="132">
        <f t="shared" si="27"/>
        <v>318</v>
      </c>
      <c r="Q108" s="132">
        <f t="shared" si="23"/>
        <v>379</v>
      </c>
      <c r="R108" s="132">
        <f t="shared" si="24"/>
        <v>379</v>
      </c>
      <c r="S108" s="132">
        <f t="shared" si="25"/>
        <v>379</v>
      </c>
      <c r="T108" s="132">
        <f t="shared" si="26"/>
        <v>379</v>
      </c>
    </row>
    <row r="109" spans="1:20" ht="15.75" hidden="1">
      <c r="A109">
        <v>2</v>
      </c>
      <c r="E109" s="120">
        <v>0.5</v>
      </c>
      <c r="F109" s="352" t="e">
        <f t="shared" si="21"/>
        <v>#NAME?</v>
      </c>
      <c r="G109" s="10">
        <v>702</v>
      </c>
      <c r="H109" s="10">
        <v>349</v>
      </c>
      <c r="I109" s="10">
        <v>379</v>
      </c>
      <c r="J109" s="10">
        <v>303</v>
      </c>
      <c r="K109" s="10">
        <v>273</v>
      </c>
      <c r="L109" s="10">
        <v>212</v>
      </c>
      <c r="M109" s="10">
        <v>720</v>
      </c>
      <c r="N109" s="10">
        <v>659</v>
      </c>
      <c r="O109" s="132">
        <f t="shared" si="22"/>
        <v>720</v>
      </c>
      <c r="P109" s="132">
        <f t="shared" si="27"/>
        <v>349</v>
      </c>
      <c r="Q109" s="132">
        <f t="shared" si="23"/>
        <v>379</v>
      </c>
      <c r="R109" s="132">
        <f t="shared" si="24"/>
        <v>379</v>
      </c>
      <c r="S109" s="132">
        <f t="shared" si="25"/>
        <v>379</v>
      </c>
      <c r="T109" s="132">
        <f t="shared" si="26"/>
        <v>379</v>
      </c>
    </row>
    <row r="110" spans="1:20" ht="15.75" hidden="1">
      <c r="A110">
        <v>2</v>
      </c>
      <c r="E110" s="120">
        <v>0.6</v>
      </c>
      <c r="F110" s="352" t="e">
        <f t="shared" si="21"/>
        <v>#NAME?</v>
      </c>
      <c r="G110" s="10">
        <v>705</v>
      </c>
      <c r="H110" s="10">
        <v>394</v>
      </c>
      <c r="I110" s="10">
        <v>394</v>
      </c>
      <c r="J110" s="10">
        <v>307</v>
      </c>
      <c r="K110" s="10">
        <v>288</v>
      </c>
      <c r="L110" s="10">
        <v>243</v>
      </c>
      <c r="M110" s="10">
        <v>772</v>
      </c>
      <c r="N110" s="10">
        <v>682</v>
      </c>
      <c r="O110" s="132">
        <f t="shared" si="22"/>
        <v>772</v>
      </c>
      <c r="P110" s="132">
        <f t="shared" si="27"/>
        <v>394</v>
      </c>
      <c r="Q110" s="132">
        <f t="shared" si="23"/>
        <v>394</v>
      </c>
      <c r="R110" s="132">
        <f t="shared" si="24"/>
        <v>394</v>
      </c>
      <c r="S110" s="132">
        <f t="shared" si="25"/>
        <v>394</v>
      </c>
      <c r="T110" s="132">
        <f t="shared" si="26"/>
        <v>394</v>
      </c>
    </row>
    <row r="111" spans="1:20" ht="15.75" hidden="1">
      <c r="A111">
        <v>2</v>
      </c>
      <c r="E111" s="120">
        <v>0.7</v>
      </c>
      <c r="F111" s="352" t="e">
        <f t="shared" si="21"/>
        <v>#NAME?</v>
      </c>
      <c r="G111" s="10">
        <v>675</v>
      </c>
      <c r="H111" s="10">
        <v>432</v>
      </c>
      <c r="I111" s="10">
        <v>553</v>
      </c>
      <c r="J111" s="10">
        <v>349</v>
      </c>
      <c r="K111" s="10">
        <v>288</v>
      </c>
      <c r="L111" s="10">
        <v>243</v>
      </c>
      <c r="M111" s="10">
        <v>795</v>
      </c>
      <c r="N111" s="10">
        <v>705</v>
      </c>
      <c r="O111" s="132">
        <f t="shared" si="22"/>
        <v>795</v>
      </c>
      <c r="P111" s="132">
        <f t="shared" si="27"/>
        <v>432</v>
      </c>
      <c r="Q111" s="132">
        <f t="shared" si="23"/>
        <v>553</v>
      </c>
      <c r="R111" s="132">
        <f t="shared" si="24"/>
        <v>553</v>
      </c>
      <c r="S111" s="132">
        <f t="shared" si="25"/>
        <v>553</v>
      </c>
      <c r="T111" s="132">
        <f t="shared" si="26"/>
        <v>553</v>
      </c>
    </row>
    <row r="112" spans="1:20" ht="15.75" hidden="1">
      <c r="A112">
        <v>2</v>
      </c>
      <c r="E112" s="120">
        <v>0.8</v>
      </c>
      <c r="F112" s="352" t="e">
        <f t="shared" si="21"/>
        <v>#NAME?</v>
      </c>
      <c r="G112" s="10">
        <v>810</v>
      </c>
      <c r="H112" s="10">
        <v>522</v>
      </c>
      <c r="I112" s="10">
        <v>599</v>
      </c>
      <c r="J112" s="10">
        <v>515</v>
      </c>
      <c r="K112" s="10">
        <v>425</v>
      </c>
      <c r="L112" s="10">
        <v>273</v>
      </c>
      <c r="M112" s="10">
        <v>841</v>
      </c>
      <c r="N112" s="10">
        <v>720</v>
      </c>
      <c r="O112" s="132">
        <f t="shared" si="22"/>
        <v>841</v>
      </c>
      <c r="P112" s="132">
        <f t="shared" si="27"/>
        <v>522</v>
      </c>
      <c r="Q112" s="132">
        <f t="shared" si="23"/>
        <v>599</v>
      </c>
      <c r="R112" s="132">
        <f t="shared" si="24"/>
        <v>599</v>
      </c>
      <c r="S112" s="132">
        <f t="shared" si="25"/>
        <v>599</v>
      </c>
      <c r="T112" s="132">
        <f t="shared" si="26"/>
        <v>599</v>
      </c>
    </row>
    <row r="113" spans="1:20" ht="15.75" hidden="1">
      <c r="A113">
        <v>2</v>
      </c>
      <c r="E113" s="120">
        <v>1</v>
      </c>
      <c r="F113" s="352" t="e">
        <f t="shared" si="21"/>
        <v>#NAME?</v>
      </c>
      <c r="G113" s="10">
        <v>1008</v>
      </c>
      <c r="H113" s="10">
        <v>659</v>
      </c>
      <c r="I113" s="10">
        <v>621</v>
      </c>
      <c r="J113" s="10">
        <v>500</v>
      </c>
      <c r="K113" s="10">
        <v>470</v>
      </c>
      <c r="L113" s="10">
        <v>273</v>
      </c>
      <c r="M113" s="10">
        <v>894</v>
      </c>
      <c r="N113" s="10">
        <v>743</v>
      </c>
      <c r="O113" s="132">
        <f t="shared" si="22"/>
        <v>894</v>
      </c>
      <c r="P113" s="132">
        <f t="shared" si="27"/>
        <v>659</v>
      </c>
      <c r="Q113" s="132">
        <f t="shared" si="23"/>
        <v>621</v>
      </c>
      <c r="R113" s="132">
        <f t="shared" si="24"/>
        <v>621</v>
      </c>
      <c r="S113" s="132">
        <f t="shared" si="25"/>
        <v>621</v>
      </c>
      <c r="T113" s="132">
        <f t="shared" si="26"/>
        <v>621</v>
      </c>
    </row>
    <row r="114" spans="1:20" ht="15.75" hidden="1">
      <c r="A114">
        <v>2</v>
      </c>
      <c r="E114" s="120">
        <v>1.1</v>
      </c>
      <c r="F114" s="352" t="e">
        <f t="shared" si="21"/>
        <v>#NAME?</v>
      </c>
      <c r="G114" s="381">
        <v>1129</v>
      </c>
      <c r="H114" s="382">
        <v>750</v>
      </c>
      <c r="I114" s="10">
        <v>651</v>
      </c>
      <c r="J114" s="10">
        <v>500</v>
      </c>
      <c r="K114" s="10">
        <v>484</v>
      </c>
      <c r="L114" s="10">
        <v>288</v>
      </c>
      <c r="M114" s="10">
        <v>932</v>
      </c>
      <c r="N114" s="10">
        <v>765</v>
      </c>
      <c r="O114" s="132">
        <f t="shared" si="22"/>
        <v>932</v>
      </c>
      <c r="P114" s="132">
        <f t="shared" si="27"/>
        <v>750</v>
      </c>
      <c r="Q114" s="132">
        <f t="shared" si="23"/>
        <v>651</v>
      </c>
      <c r="R114" s="132">
        <f t="shared" si="24"/>
        <v>651</v>
      </c>
      <c r="S114" s="132">
        <f t="shared" si="25"/>
        <v>651</v>
      </c>
      <c r="T114" s="132">
        <f t="shared" si="26"/>
        <v>651</v>
      </c>
    </row>
    <row r="115" spans="1:20" ht="16.5" hidden="1" thickBot="1">
      <c r="A115">
        <v>2</v>
      </c>
      <c r="E115" s="121">
        <v>1.2</v>
      </c>
      <c r="F115" s="352" t="e">
        <f t="shared" si="21"/>
        <v>#NAME?</v>
      </c>
      <c r="G115" s="10">
        <v>1166</v>
      </c>
      <c r="H115" s="10">
        <v>772</v>
      </c>
      <c r="I115" s="10">
        <v>727</v>
      </c>
      <c r="J115" s="10">
        <v>508</v>
      </c>
      <c r="K115" s="10">
        <v>500</v>
      </c>
      <c r="L115" s="10">
        <v>288</v>
      </c>
      <c r="M115" s="10">
        <v>939</v>
      </c>
      <c r="N115" s="10">
        <v>772</v>
      </c>
      <c r="O115" s="132">
        <f t="shared" si="22"/>
        <v>939</v>
      </c>
      <c r="P115" s="132">
        <f t="shared" si="27"/>
        <v>772</v>
      </c>
      <c r="Q115" s="132">
        <f t="shared" si="23"/>
        <v>727</v>
      </c>
      <c r="R115" s="132">
        <f t="shared" si="24"/>
        <v>727</v>
      </c>
      <c r="S115" s="132">
        <f t="shared" si="25"/>
        <v>727</v>
      </c>
      <c r="T115" s="132">
        <f t="shared" si="26"/>
        <v>727</v>
      </c>
    </row>
    <row r="116" spans="1:20" s="216" customFormat="1" ht="15.75" hidden="1">
      <c r="A116">
        <v>2</v>
      </c>
      <c r="E116" s="217"/>
      <c r="F116" s="140"/>
      <c r="G116" s="140"/>
      <c r="H116" s="218"/>
      <c r="I116" s="219"/>
      <c r="J116" s="219"/>
      <c r="K116" s="140"/>
      <c r="L116" s="11"/>
      <c r="M116" s="128"/>
      <c r="N116" s="128"/>
      <c r="O116" s="128"/>
      <c r="P116" s="128"/>
      <c r="Q116" s="128"/>
      <c r="R116" s="128"/>
      <c r="S116" s="128"/>
      <c r="T116" s="128"/>
    </row>
    <row r="117" spans="1:20" s="216" customFormat="1" ht="15.75" hidden="1">
      <c r="A117">
        <v>2</v>
      </c>
      <c r="E117" s="217"/>
      <c r="F117" s="140" t="s">
        <v>418</v>
      </c>
      <c r="G117" s="140" t="e">
        <f>LOOKUP(F134,porantvar2,cod06cargosvar2mar11)</f>
        <v>#NAME?</v>
      </c>
      <c r="H117" s="218"/>
      <c r="I117" s="219"/>
      <c r="J117" s="219"/>
      <c r="K117" s="140"/>
      <c r="L117" s="11"/>
      <c r="M117" s="128"/>
      <c r="N117" s="128"/>
      <c r="O117" s="128"/>
      <c r="P117" s="128"/>
      <c r="Q117" s="128"/>
      <c r="R117" s="128"/>
      <c r="S117" s="128"/>
      <c r="T117" s="128"/>
    </row>
    <row r="118" spans="1:20" s="216" customFormat="1" ht="15.75" hidden="1">
      <c r="A118"/>
      <c r="E118" s="217"/>
      <c r="F118" s="140"/>
      <c r="G118" s="140"/>
      <c r="H118" s="218"/>
      <c r="I118" s="219"/>
      <c r="J118" s="219"/>
      <c r="K118" s="140"/>
      <c r="L118" s="11"/>
      <c r="M118" s="128"/>
      <c r="N118" s="128"/>
      <c r="O118" s="128"/>
      <c r="P118" s="128"/>
      <c r="Q118" s="128"/>
      <c r="R118" s="128"/>
      <c r="S118" s="128"/>
      <c r="T118" s="128"/>
    </row>
    <row r="119" spans="1:20" s="216" customFormat="1" ht="15.75" hidden="1">
      <c r="A119"/>
      <c r="E119" s="217"/>
      <c r="F119" s="140"/>
      <c r="G119" s="140"/>
      <c r="H119" s="218"/>
      <c r="I119" s="219"/>
      <c r="J119" s="219"/>
      <c r="K119" s="140"/>
      <c r="L119" s="11"/>
      <c r="M119" s="128"/>
      <c r="N119" s="128"/>
      <c r="O119" s="128"/>
      <c r="P119" s="128"/>
      <c r="Q119" s="128"/>
      <c r="R119" s="128"/>
      <c r="S119" s="128"/>
      <c r="T119" s="128"/>
    </row>
    <row r="120" spans="1:20" s="216" customFormat="1" ht="15.75" hidden="1">
      <c r="A120"/>
      <c r="E120" s="217"/>
      <c r="F120" s="140"/>
      <c r="G120" s="140"/>
      <c r="H120" s="218"/>
      <c r="I120" s="219"/>
      <c r="J120" s="219"/>
      <c r="K120" s="140"/>
      <c r="L120" s="11"/>
      <c r="M120" s="128"/>
      <c r="N120" s="128"/>
      <c r="O120" s="128"/>
      <c r="P120" s="128"/>
      <c r="Q120" s="128"/>
      <c r="R120" s="128"/>
      <c r="S120" s="128"/>
      <c r="T120" s="128"/>
    </row>
    <row r="121" spans="1:16" s="221" customFormat="1" ht="15.75" hidden="1">
      <c r="A121">
        <v>2</v>
      </c>
      <c r="C121" s="217"/>
      <c r="F121" s="140"/>
      <c r="G121" s="128"/>
      <c r="H121" s="70"/>
      <c r="I121" s="70"/>
      <c r="J121" s="140"/>
      <c r="K121" s="11"/>
      <c r="L121" s="128"/>
      <c r="M121" s="128"/>
      <c r="N121" s="128"/>
      <c r="O121" s="128"/>
      <c r="P121" s="128"/>
    </row>
    <row r="122" spans="1:15" ht="12.75">
      <c r="A122" s="233">
        <v>2</v>
      </c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</row>
    <row r="123" spans="1:17" ht="20.25">
      <c r="A123" s="233">
        <v>2</v>
      </c>
      <c r="B123" s="155"/>
      <c r="C123" s="160"/>
      <c r="D123" s="160"/>
      <c r="E123" s="75" t="s">
        <v>364</v>
      </c>
      <c r="F123" s="10"/>
      <c r="G123" s="10"/>
      <c r="H123" s="160"/>
      <c r="I123" s="160"/>
      <c r="J123" s="160"/>
      <c r="K123" s="160"/>
      <c r="L123" s="160"/>
      <c r="M123" s="160"/>
      <c r="N123" s="154"/>
      <c r="O123" s="243"/>
      <c r="P123" s="140"/>
      <c r="Q123" s="140"/>
    </row>
    <row r="124" spans="1:17" ht="12.75">
      <c r="A124" s="233">
        <v>2</v>
      </c>
      <c r="B124" s="155"/>
      <c r="C124" s="155"/>
      <c r="D124" s="155"/>
      <c r="E124" s="155"/>
      <c r="F124" s="155"/>
      <c r="G124" s="155"/>
      <c r="H124" s="235"/>
      <c r="I124" s="155"/>
      <c r="J124" s="155"/>
      <c r="K124" s="155"/>
      <c r="L124" s="155"/>
      <c r="M124" s="155"/>
      <c r="N124" s="154"/>
      <c r="O124" s="243"/>
      <c r="P124" s="140"/>
      <c r="Q124" s="140"/>
    </row>
    <row r="125" spans="1:17" ht="12.75">
      <c r="A125" s="233">
        <v>2</v>
      </c>
      <c r="B125" s="233"/>
      <c r="C125" s="233"/>
      <c r="D125" s="39" t="s">
        <v>36</v>
      </c>
      <c r="E125" s="39" t="s">
        <v>333</v>
      </c>
      <c r="F125" s="39" t="s">
        <v>334</v>
      </c>
      <c r="G125" s="39" t="s">
        <v>335</v>
      </c>
      <c r="H125" s="39" t="s">
        <v>336</v>
      </c>
      <c r="I125" s="95" t="s">
        <v>382</v>
      </c>
      <c r="J125" s="415" t="s">
        <v>423</v>
      </c>
      <c r="K125" s="155"/>
      <c r="L125" s="155"/>
      <c r="M125" s="155"/>
      <c r="N125" s="154"/>
      <c r="O125" s="243"/>
      <c r="P125" s="140"/>
      <c r="Q125" s="140"/>
    </row>
    <row r="126" spans="1:17" ht="16.5" thickBot="1">
      <c r="A126" s="233">
        <v>2</v>
      </c>
      <c r="B126" s="233"/>
      <c r="C126" s="233"/>
      <c r="D126" s="112">
        <v>750</v>
      </c>
      <c r="E126" s="76">
        <f>LOOKUP(D126,[0]!numerocargo,[0]!puntosbasicoscargo)</f>
        <v>971</v>
      </c>
      <c r="F126" s="76" t="e">
        <f>LOOKUP(D126,[0]!numerocargo,[0]!tardifcargo)</f>
        <v>#NAME?</v>
      </c>
      <c r="G126" s="76">
        <f>LOOKUP(D126,[0]!numerocargo,[0]!proljorcargo)</f>
        <v>1187</v>
      </c>
      <c r="H126" s="76" t="e">
        <f>LOOKUP(D126,[0]!numerocargo,[0]!jorcomcargo)</f>
        <v>#NAME?</v>
      </c>
      <c r="I126" s="39">
        <f>LOOKUP(D126,Cargos!A3:A317,puntoscompbasico)</f>
        <v>216</v>
      </c>
      <c r="J126" s="414">
        <f>LOOKUP(D126,Cargos!A3:A317,puntosadicdir)</f>
        <v>0</v>
      </c>
      <c r="K126" s="155"/>
      <c r="L126" s="155"/>
      <c r="M126" s="155"/>
      <c r="N126" s="154"/>
      <c r="O126" s="243"/>
      <c r="P126" s="140"/>
      <c r="Q126" s="140"/>
    </row>
    <row r="127" spans="1:17" ht="13.5" thickBot="1">
      <c r="A127" s="233">
        <v>2</v>
      </c>
      <c r="B127" s="233"/>
      <c r="C127" s="233"/>
      <c r="D127" s="77" t="s">
        <v>37</v>
      </c>
      <c r="E127" s="78" t="str">
        <f>LOOKUP(D126,[0]!numerocargo,[0]!nombrecargo)</f>
        <v> BIBLIOTECARIO</v>
      </c>
      <c r="F127" s="38"/>
      <c r="G127" s="38"/>
      <c r="H127" s="57"/>
      <c r="I127" s="155"/>
      <c r="J127" s="155"/>
      <c r="K127" s="155"/>
      <c r="L127" s="155"/>
      <c r="M127" s="155"/>
      <c r="N127" s="154"/>
      <c r="O127" s="243"/>
      <c r="P127" s="140"/>
      <c r="Q127" s="140"/>
    </row>
    <row r="128" spans="1:17" ht="13.5" thickBot="1">
      <c r="A128" s="233">
        <v>2</v>
      </c>
      <c r="B128" s="233"/>
      <c r="C128" s="233"/>
      <c r="D128" s="234"/>
      <c r="E128" s="235"/>
      <c r="F128" s="155"/>
      <c r="G128" s="155"/>
      <c r="H128" s="155"/>
      <c r="I128" s="123" t="s">
        <v>356</v>
      </c>
      <c r="J128" s="241"/>
      <c r="K128" s="241"/>
      <c r="L128" s="241"/>
      <c r="M128" s="155"/>
      <c r="N128" s="155"/>
      <c r="O128" s="155"/>
      <c r="P128" s="10"/>
      <c r="Q128" s="10"/>
    </row>
    <row r="129" spans="1:17" ht="19.5" thickBot="1" thickTop="1">
      <c r="A129" s="233">
        <v>2</v>
      </c>
      <c r="B129" s="233"/>
      <c r="C129" s="233"/>
      <c r="D129" s="141" t="s">
        <v>350</v>
      </c>
      <c r="E129" s="117"/>
      <c r="F129" s="117"/>
      <c r="G129" s="117"/>
      <c r="H129" s="142">
        <v>42</v>
      </c>
      <c r="I129" s="124">
        <f>H129/120</f>
        <v>0.35</v>
      </c>
      <c r="J129" s="235"/>
      <c r="K129" s="235"/>
      <c r="L129" s="235"/>
      <c r="M129" s="155"/>
      <c r="N129" s="155"/>
      <c r="O129" s="155"/>
      <c r="P129" s="10"/>
      <c r="Q129" s="10"/>
    </row>
    <row r="130" spans="1:17" ht="17.25" thickBot="1" thickTop="1">
      <c r="A130" s="233">
        <v>2</v>
      </c>
      <c r="B130" s="234"/>
      <c r="C130" s="235"/>
      <c r="D130" s="155"/>
      <c r="E130" s="155"/>
      <c r="F130" s="322"/>
      <c r="G130" s="155"/>
      <c r="H130" s="422"/>
      <c r="I130" s="155"/>
      <c r="J130" s="155"/>
      <c r="K130" s="155"/>
      <c r="L130" s="155"/>
      <c r="M130" s="155"/>
      <c r="N130" s="155"/>
      <c r="O130" s="155"/>
      <c r="P130" s="10"/>
      <c r="Q130" s="10"/>
    </row>
    <row r="131" spans="1:17" ht="17.25" thickBot="1" thickTop="1">
      <c r="A131" s="233">
        <v>2</v>
      </c>
      <c r="B131" s="234"/>
      <c r="C131" s="233"/>
      <c r="D131" s="115" t="s">
        <v>358</v>
      </c>
      <c r="E131" s="126">
        <v>0</v>
      </c>
      <c r="F131" s="322"/>
      <c r="G131" s="155"/>
      <c r="H131" s="235"/>
      <c r="I131" s="155"/>
      <c r="J131" s="155"/>
      <c r="K131" s="155"/>
      <c r="L131" s="155"/>
      <c r="M131" s="155"/>
      <c r="N131" s="155"/>
      <c r="O131" s="155"/>
      <c r="P131" s="10"/>
      <c r="Q131" s="10"/>
    </row>
    <row r="132" spans="1:17" ht="14.25" thickBot="1" thickTop="1">
      <c r="A132" s="233">
        <v>2</v>
      </c>
      <c r="B132" s="234"/>
      <c r="C132" s="235"/>
      <c r="D132" s="155"/>
      <c r="E132" s="155"/>
      <c r="F132" s="155"/>
      <c r="G132" s="155"/>
      <c r="H132" s="235"/>
      <c r="I132" s="155"/>
      <c r="J132" s="155"/>
      <c r="K132" s="155"/>
      <c r="L132" s="155"/>
      <c r="M132" s="155"/>
      <c r="N132" s="155"/>
      <c r="O132" s="155"/>
      <c r="P132" s="10"/>
      <c r="Q132" s="10"/>
    </row>
    <row r="133" spans="1:17" ht="16.5" thickBot="1">
      <c r="A133" s="233">
        <v>2</v>
      </c>
      <c r="B133" s="155"/>
      <c r="C133" s="160"/>
      <c r="D133" s="79" t="s">
        <v>13</v>
      </c>
      <c r="E133" s="38"/>
      <c r="F133" s="80" t="e">
        <f>E126*indicesep2010</f>
        <v>#NAME?</v>
      </c>
      <c r="G133" s="160"/>
      <c r="H133" s="160"/>
      <c r="I133" s="160"/>
      <c r="J133" s="160"/>
      <c r="K133" s="160"/>
      <c r="L133" s="160"/>
      <c r="M133" s="159"/>
      <c r="N133" s="159"/>
      <c r="O133" s="160"/>
      <c r="P133" s="10"/>
      <c r="Q133" s="10"/>
    </row>
    <row r="134" spans="1:17" ht="16.5" thickBot="1">
      <c r="A134" s="233">
        <v>2</v>
      </c>
      <c r="B134" s="155"/>
      <c r="C134" s="160"/>
      <c r="D134" s="156" t="s">
        <v>14</v>
      </c>
      <c r="E134" s="157"/>
      <c r="F134" s="158">
        <v>1.2</v>
      </c>
      <c r="G134" s="69" t="s">
        <v>15</v>
      </c>
      <c r="H134" s="69"/>
      <c r="I134" s="160"/>
      <c r="J134" s="160"/>
      <c r="K134" s="160"/>
      <c r="L134" s="160"/>
      <c r="M134" s="160"/>
      <c r="N134" s="159"/>
      <c r="O134" s="160"/>
      <c r="P134" s="10"/>
      <c r="Q134" s="10"/>
    </row>
    <row r="135" spans="1:17" ht="15.75">
      <c r="A135" s="233">
        <v>2</v>
      </c>
      <c r="B135" s="155"/>
      <c r="C135" s="160"/>
      <c r="D135" s="155"/>
      <c r="E135" s="155"/>
      <c r="F135" s="423"/>
      <c r="G135" s="160"/>
      <c r="H135" s="160"/>
      <c r="I135" s="160"/>
      <c r="J135" s="160"/>
      <c r="K135" s="160"/>
      <c r="L135" s="160"/>
      <c r="M135" s="160"/>
      <c r="N135" s="161"/>
      <c r="O135" s="160"/>
      <c r="P135" s="10"/>
      <c r="Q135" s="10"/>
    </row>
    <row r="136" spans="1:17" ht="18.75" hidden="1" thickBot="1">
      <c r="A136" s="233">
        <v>2</v>
      </c>
      <c r="B136" s="155"/>
      <c r="C136" s="160"/>
      <c r="D136" s="82" t="s">
        <v>16</v>
      </c>
      <c r="E136" s="82"/>
      <c r="F136" s="83">
        <f>E126</f>
        <v>971</v>
      </c>
      <c r="G136" s="10" t="s">
        <v>17</v>
      </c>
      <c r="H136" s="160"/>
      <c r="I136" s="81" t="e">
        <f>H126+G126</f>
        <v>#NAME?</v>
      </c>
      <c r="J136" s="159"/>
      <c r="K136" s="159"/>
      <c r="L136" s="159"/>
      <c r="M136" s="155"/>
      <c r="N136" s="160"/>
      <c r="O136" s="160"/>
      <c r="P136" s="10"/>
      <c r="Q136" s="10"/>
    </row>
    <row r="137" spans="1:17" ht="15.75" hidden="1">
      <c r="A137" s="233">
        <v>2</v>
      </c>
      <c r="B137" s="155"/>
      <c r="C137" s="160"/>
      <c r="D137" s="2"/>
      <c r="E137" s="2"/>
      <c r="F137" s="145"/>
      <c r="G137" s="160"/>
      <c r="H137" s="160"/>
      <c r="I137" s="155"/>
      <c r="J137" s="155"/>
      <c r="K137" s="155"/>
      <c r="L137" s="155"/>
      <c r="M137" s="320"/>
      <c r="N137" s="160"/>
      <c r="O137" s="160"/>
      <c r="P137" s="10"/>
      <c r="Q137" s="10"/>
    </row>
    <row r="138" spans="1:15" ht="15.75" hidden="1">
      <c r="A138" s="233">
        <v>2</v>
      </c>
      <c r="B138" s="155"/>
      <c r="C138" s="160"/>
      <c r="D138" s="10"/>
      <c r="E138" s="133" t="s">
        <v>413</v>
      </c>
      <c r="F138" s="10"/>
      <c r="G138" s="138"/>
      <c r="H138" s="10"/>
      <c r="I138" s="133" t="s">
        <v>414</v>
      </c>
      <c r="J138" s="10"/>
      <c r="K138" s="233"/>
      <c r="L138" s="11"/>
      <c r="M138" s="397"/>
      <c r="N138" s="11"/>
      <c r="O138" s="233"/>
    </row>
    <row r="139" spans="1:15" ht="12.75" hidden="1">
      <c r="A139" s="233">
        <v>2</v>
      </c>
      <c r="B139" s="155"/>
      <c r="C139" s="233"/>
      <c r="D139" s="17">
        <v>400</v>
      </c>
      <c r="E139" s="17" t="s">
        <v>18</v>
      </c>
      <c r="F139" s="84" t="e">
        <f>punbasjubvarios2*indicesep2010*porjubvarcar*frac2</f>
        <v>#NAME?</v>
      </c>
      <c r="G139" s="233"/>
      <c r="H139" s="17">
        <v>400</v>
      </c>
      <c r="I139" s="17" t="s">
        <v>18</v>
      </c>
      <c r="J139" s="84" t="e">
        <f>punbasjubvarios2*indicemar2011*porjubvarcar*frac2</f>
        <v>#NAME?</v>
      </c>
      <c r="K139" s="233"/>
      <c r="L139" s="11"/>
      <c r="M139" s="11"/>
      <c r="N139" s="398"/>
      <c r="O139" s="233"/>
    </row>
    <row r="140" spans="1:15" ht="12.75" hidden="1">
      <c r="A140" s="233">
        <v>2</v>
      </c>
      <c r="B140" s="155"/>
      <c r="C140" s="233"/>
      <c r="D140" s="17">
        <v>542</v>
      </c>
      <c r="E140" s="17" t="s">
        <v>390</v>
      </c>
      <c r="F140" s="203" t="e">
        <f>compbasicovarios2*indicesep2010*porjubvarcar*frac2</f>
        <v>#NAME?</v>
      </c>
      <c r="G140" s="233"/>
      <c r="H140" s="17">
        <v>542</v>
      </c>
      <c r="I140" s="17" t="s">
        <v>390</v>
      </c>
      <c r="J140" s="203" t="e">
        <f>compbasicovarios2*indicemar2011*porjubvarcar*frac2</f>
        <v>#NAME?</v>
      </c>
      <c r="K140" s="233"/>
      <c r="L140" s="11"/>
      <c r="M140" s="11"/>
      <c r="N140" s="398"/>
      <c r="O140" s="233"/>
    </row>
    <row r="141" spans="1:15" ht="12.75" hidden="1">
      <c r="A141" s="233"/>
      <c r="B141" s="155"/>
      <c r="C141" s="233"/>
      <c r="D141" s="383"/>
      <c r="E141" s="383"/>
      <c r="F141" s="416"/>
      <c r="G141" s="233"/>
      <c r="H141" s="388" t="s">
        <v>411</v>
      </c>
      <c r="I141" s="389" t="s">
        <v>407</v>
      </c>
      <c r="J141" s="413" t="e">
        <f>adicdirvarios2*indicemar2011*porjubvarcar*frac2</f>
        <v>#NAME?</v>
      </c>
      <c r="K141" s="233"/>
      <c r="L141" s="11"/>
      <c r="M141" s="11"/>
      <c r="N141" s="398"/>
      <c r="O141" s="233"/>
    </row>
    <row r="142" spans="1:14" ht="12.75" hidden="1">
      <c r="A142" s="233">
        <v>2</v>
      </c>
      <c r="B142" s="155"/>
      <c r="C142" s="233"/>
      <c r="D142" s="17">
        <v>404</v>
      </c>
      <c r="E142" s="17" t="s">
        <v>338</v>
      </c>
      <c r="F142" s="84" t="e">
        <f>puntardifvar2*indicesep2010*porjubvarcar*frac2</f>
        <v>#NAME?</v>
      </c>
      <c r="G142" s="233"/>
      <c r="H142" s="17">
        <v>404</v>
      </c>
      <c r="I142" s="17" t="s">
        <v>338</v>
      </c>
      <c r="J142" s="84" t="e">
        <f>puntardifvar2*indicemar2011*porjubvarcar*frac2</f>
        <v>#NAME?</v>
      </c>
      <c r="L142" s="11"/>
      <c r="M142" s="11"/>
      <c r="N142" s="398"/>
    </row>
    <row r="143" spans="1:14" ht="12.75" hidden="1">
      <c r="A143" s="233">
        <v>2</v>
      </c>
      <c r="B143" s="155"/>
      <c r="C143" s="233"/>
      <c r="D143" s="17">
        <v>406</v>
      </c>
      <c r="E143" s="17" t="s">
        <v>19</v>
      </c>
      <c r="F143" s="84" t="e">
        <f>(F139+F140+F142+F145)*F134</f>
        <v>#NAME?</v>
      </c>
      <c r="G143" s="233"/>
      <c r="H143" s="17">
        <v>406</v>
      </c>
      <c r="I143" s="17" t="s">
        <v>19</v>
      </c>
      <c r="J143" s="84" t="e">
        <f>(J139+J140+J142+J145)*F134</f>
        <v>#NAME?</v>
      </c>
      <c r="L143" s="11"/>
      <c r="M143" s="11"/>
      <c r="N143" s="398"/>
    </row>
    <row r="144" spans="1:14" ht="12.75" hidden="1">
      <c r="A144" s="233">
        <v>2</v>
      </c>
      <c r="B144" s="155"/>
      <c r="C144" s="233"/>
      <c r="D144" s="17">
        <v>408</v>
      </c>
      <c r="E144" s="17" t="s">
        <v>357</v>
      </c>
      <c r="F144" s="84" t="e">
        <f>(F139+F140+F142+F145)*E131</f>
        <v>#NAME?</v>
      </c>
      <c r="G144" s="233"/>
      <c r="H144" s="17">
        <v>408</v>
      </c>
      <c r="I144" s="17" t="s">
        <v>357</v>
      </c>
      <c r="J144" s="84" t="e">
        <f>(J139+J140+J142+J145)*E131</f>
        <v>#NAME?</v>
      </c>
      <c r="L144" s="11"/>
      <c r="M144" s="11"/>
      <c r="N144" s="398"/>
    </row>
    <row r="145" spans="1:14" ht="12.75" hidden="1">
      <c r="A145" s="233">
        <v>2</v>
      </c>
      <c r="B145" s="155"/>
      <c r="C145" s="233"/>
      <c r="D145" s="17">
        <v>416</v>
      </c>
      <c r="E145" s="85" t="s">
        <v>339</v>
      </c>
      <c r="F145" s="84" t="e">
        <f>puntosproljorvarios2*proljorsep2010*porjubvarcar*frac2</f>
        <v>#NAME?</v>
      </c>
      <c r="G145" s="233"/>
      <c r="H145" s="17">
        <v>416</v>
      </c>
      <c r="I145" s="85" t="s">
        <v>339</v>
      </c>
      <c r="J145" s="84" t="e">
        <f>puntosproljorvarios2*proljormar2011*porjubvarcar*frac2</f>
        <v>#NAME?</v>
      </c>
      <c r="L145" s="11"/>
      <c r="M145" s="412"/>
      <c r="N145" s="398"/>
    </row>
    <row r="146" spans="1:14" ht="12.75" hidden="1">
      <c r="A146" s="233">
        <v>2</v>
      </c>
      <c r="B146" s="155"/>
      <c r="C146" s="233"/>
      <c r="D146" s="17">
        <v>432</v>
      </c>
      <c r="E146" s="17" t="s">
        <v>355</v>
      </c>
      <c r="F146" s="84" t="e">
        <f>cod06feb11varios2*porjubvarcar*frac2</f>
        <v>#NAME?</v>
      </c>
      <c r="G146" s="233"/>
      <c r="H146" s="17">
        <v>432</v>
      </c>
      <c r="I146" s="17" t="s">
        <v>355</v>
      </c>
      <c r="J146" s="84" t="e">
        <f>cod06mar11varios2*porjubvarcar*frac2</f>
        <v>#NAME?</v>
      </c>
      <c r="L146" s="11"/>
      <c r="M146" s="11"/>
      <c r="N146" s="398"/>
    </row>
    <row r="147" spans="1:14" ht="12.75" hidden="1">
      <c r="A147" s="233">
        <v>2</v>
      </c>
      <c r="B147" s="155"/>
      <c r="C147" s="233"/>
      <c r="D147" s="17">
        <v>434</v>
      </c>
      <c r="E147" s="17" t="s">
        <v>337</v>
      </c>
      <c r="F147" s="84" t="e">
        <f>(F139+F140+F142+F143+F145+F146+F144)*0.07*0.95</f>
        <v>#NAME?</v>
      </c>
      <c r="G147" s="233"/>
      <c r="H147" s="17">
        <v>434</v>
      </c>
      <c r="I147" s="17" t="s">
        <v>337</v>
      </c>
      <c r="J147" s="84" t="e">
        <f>(J139+J140+J142+J143+J145+J146+J144)*0.07*0.95</f>
        <v>#NAME?</v>
      </c>
      <c r="L147" s="11"/>
      <c r="M147" s="11"/>
      <c r="N147" s="398"/>
    </row>
    <row r="148" spans="1:14" ht="12.75" hidden="1">
      <c r="A148" s="233">
        <v>2</v>
      </c>
      <c r="B148" s="155"/>
      <c r="C148" s="233"/>
      <c r="D148" s="17"/>
      <c r="E148" s="86"/>
      <c r="F148" s="146"/>
      <c r="G148" s="233"/>
      <c r="H148" s="17"/>
      <c r="I148" s="86"/>
      <c r="J148" s="146"/>
      <c r="L148" s="11"/>
      <c r="M148" s="11"/>
      <c r="N148" s="398"/>
    </row>
    <row r="149" spans="1:14" ht="13.5" hidden="1" thickBot="1">
      <c r="A149" s="233">
        <v>2</v>
      </c>
      <c r="B149" s="155"/>
      <c r="C149" s="233"/>
      <c r="D149" s="17"/>
      <c r="E149" s="86" t="s">
        <v>353</v>
      </c>
      <c r="F149" s="113">
        <v>0</v>
      </c>
      <c r="G149" s="233"/>
      <c r="H149" s="17"/>
      <c r="I149" s="86" t="s">
        <v>353</v>
      </c>
      <c r="J149" s="113">
        <v>0</v>
      </c>
      <c r="L149" s="11"/>
      <c r="M149" s="11"/>
      <c r="N149" s="408"/>
    </row>
    <row r="150" spans="1:14" ht="16.5" hidden="1" thickBot="1">
      <c r="A150" s="233">
        <v>2</v>
      </c>
      <c r="B150" s="155"/>
      <c r="C150" s="233"/>
      <c r="D150" s="87"/>
      <c r="E150" s="88" t="s">
        <v>20</v>
      </c>
      <c r="F150" s="89" t="e">
        <f>SUM(F139:F149)</f>
        <v>#NAME?</v>
      </c>
      <c r="G150" s="233"/>
      <c r="H150" s="87"/>
      <c r="I150" s="88" t="s">
        <v>20</v>
      </c>
      <c r="J150" s="89" t="e">
        <f>SUM(J139:J149)</f>
        <v>#NAME?</v>
      </c>
      <c r="L150" s="11"/>
      <c r="M150" s="70"/>
      <c r="N150" s="406"/>
    </row>
    <row r="151" spans="1:14" ht="12.75" hidden="1">
      <c r="A151" s="233">
        <v>2</v>
      </c>
      <c r="B151" s="155"/>
      <c r="C151" s="233"/>
      <c r="D151" s="17">
        <v>703</v>
      </c>
      <c r="E151" s="90" t="s">
        <v>340</v>
      </c>
      <c r="F151" s="91" t="e">
        <f>(F150-F149)*0.0025</f>
        <v>#NAME?</v>
      </c>
      <c r="G151" s="233"/>
      <c r="H151" s="17">
        <v>703</v>
      </c>
      <c r="I151" s="90" t="s">
        <v>340</v>
      </c>
      <c r="J151" s="91" t="e">
        <f>(J150-J149)*0.0025</f>
        <v>#NAME?</v>
      </c>
      <c r="L151" s="11"/>
      <c r="M151" s="401"/>
      <c r="N151" s="402"/>
    </row>
    <row r="152" spans="1:14" ht="12.75" hidden="1">
      <c r="A152" s="233">
        <v>2</v>
      </c>
      <c r="B152" s="155"/>
      <c r="C152" s="233"/>
      <c r="D152" s="18">
        <v>707</v>
      </c>
      <c r="E152" s="92" t="s">
        <v>22</v>
      </c>
      <c r="F152" s="16" t="e">
        <f>(F150-F149)*0.03</f>
        <v>#NAME?</v>
      </c>
      <c r="G152" s="233"/>
      <c r="H152" s="18">
        <v>707</v>
      </c>
      <c r="I152" s="92" t="s">
        <v>22</v>
      </c>
      <c r="J152" s="16" t="e">
        <f>(J150-J149)*0.03</f>
        <v>#NAME?</v>
      </c>
      <c r="L152" s="11"/>
      <c r="M152" s="395"/>
      <c r="N152" s="402"/>
    </row>
    <row r="153" spans="1:14" ht="12.75" hidden="1">
      <c r="A153" s="233">
        <v>2</v>
      </c>
      <c r="B153" s="155"/>
      <c r="C153" s="233"/>
      <c r="D153" s="18">
        <v>709</v>
      </c>
      <c r="E153" s="92" t="s">
        <v>23</v>
      </c>
      <c r="F153" s="16" t="e">
        <f>(F150-F149)*0.0213</f>
        <v>#NAME?</v>
      </c>
      <c r="G153" s="233"/>
      <c r="H153" s="18">
        <v>709</v>
      </c>
      <c r="I153" s="92" t="s">
        <v>23</v>
      </c>
      <c r="J153" s="16" t="e">
        <f>(J150-J149)*0.0213</f>
        <v>#NAME?</v>
      </c>
      <c r="L153" s="11"/>
      <c r="M153" s="395"/>
      <c r="N153" s="402"/>
    </row>
    <row r="154" spans="1:14" ht="12.75" hidden="1">
      <c r="A154" s="233">
        <v>2</v>
      </c>
      <c r="B154" s="155"/>
      <c r="C154" s="233"/>
      <c r="D154" s="15">
        <v>710</v>
      </c>
      <c r="E154" s="92" t="s">
        <v>24</v>
      </c>
      <c r="F154" s="16" t="e">
        <f>(F150-F149)*0.00754</f>
        <v>#NAME?</v>
      </c>
      <c r="G154" s="233"/>
      <c r="H154" s="15">
        <v>710</v>
      </c>
      <c r="I154" s="92" t="s">
        <v>24</v>
      </c>
      <c r="J154" s="16" t="e">
        <f>(J150-J149)*0.00754</f>
        <v>#NAME?</v>
      </c>
      <c r="L154" s="395"/>
      <c r="M154" s="395"/>
      <c r="N154" s="402"/>
    </row>
    <row r="155" spans="1:14" ht="12.75" hidden="1">
      <c r="A155" s="233">
        <v>2</v>
      </c>
      <c r="B155" s="155"/>
      <c r="C155" s="233"/>
      <c r="D155" s="15">
        <v>713</v>
      </c>
      <c r="E155" s="92" t="s">
        <v>25</v>
      </c>
      <c r="F155" s="16" t="e">
        <f>(F150-F149)*0.007</f>
        <v>#NAME?</v>
      </c>
      <c r="G155" s="233"/>
      <c r="H155" s="15">
        <v>713</v>
      </c>
      <c r="I155" s="92" t="s">
        <v>25</v>
      </c>
      <c r="J155" s="16" t="e">
        <f>(J150-J149)*0.007</f>
        <v>#NAME?</v>
      </c>
      <c r="L155" s="395"/>
      <c r="M155" s="395"/>
      <c r="N155" s="402"/>
    </row>
    <row r="156" spans="1:14" ht="13.5" hidden="1" thickBot="1">
      <c r="A156" s="233">
        <v>2</v>
      </c>
      <c r="B156" s="155"/>
      <c r="C156" s="233"/>
      <c r="D156" s="15"/>
      <c r="E156" s="93" t="s">
        <v>26</v>
      </c>
      <c r="F156" s="43">
        <v>0</v>
      </c>
      <c r="G156" s="233"/>
      <c r="H156" s="15"/>
      <c r="I156" s="93" t="s">
        <v>26</v>
      </c>
      <c r="J156" s="43">
        <v>0</v>
      </c>
      <c r="L156" s="395"/>
      <c r="M156" s="395"/>
      <c r="N156" s="409"/>
    </row>
    <row r="157" spans="1:14" ht="16.5" hidden="1" thickBot="1">
      <c r="A157" s="233">
        <v>2</v>
      </c>
      <c r="B157" s="155"/>
      <c r="C157" s="233"/>
      <c r="D157" s="94"/>
      <c r="E157" s="88" t="s">
        <v>27</v>
      </c>
      <c r="F157" s="89" t="e">
        <f>SUM(F151:F156)</f>
        <v>#NAME?</v>
      </c>
      <c r="G157" s="233"/>
      <c r="H157" s="94"/>
      <c r="I157" s="88" t="s">
        <v>27</v>
      </c>
      <c r="J157" s="89" t="e">
        <f>SUM(J151:J156)</f>
        <v>#NAME?</v>
      </c>
      <c r="L157" s="11"/>
      <c r="M157" s="70"/>
      <c r="N157" s="406"/>
    </row>
    <row r="158" spans="1:14" ht="13.5" hidden="1" thickBot="1">
      <c r="A158" s="233">
        <v>2</v>
      </c>
      <c r="B158" s="155"/>
      <c r="C158" s="233"/>
      <c r="D158" s="95"/>
      <c r="E158" s="96"/>
      <c r="F158" s="97"/>
      <c r="G158" s="233"/>
      <c r="H158" s="95"/>
      <c r="I158" s="96"/>
      <c r="J158" s="97"/>
      <c r="L158" s="70"/>
      <c r="M158" s="11"/>
      <c r="N158" s="410"/>
    </row>
    <row r="159" spans="1:14" ht="16.5" hidden="1" thickBot="1">
      <c r="A159" s="233">
        <v>2</v>
      </c>
      <c r="B159" s="160"/>
      <c r="C159" s="233"/>
      <c r="D159" s="98"/>
      <c r="E159" s="99" t="s">
        <v>28</v>
      </c>
      <c r="F159" s="100" t="e">
        <f>F150-F157</f>
        <v>#NAME?</v>
      </c>
      <c r="G159" s="233"/>
      <c r="H159" s="98"/>
      <c r="I159" s="99" t="s">
        <v>28</v>
      </c>
      <c r="J159" s="100" t="e">
        <f>J150-J157</f>
        <v>#NAME?</v>
      </c>
      <c r="L159" s="225"/>
      <c r="M159" s="405"/>
      <c r="N159" s="411"/>
    </row>
    <row r="160" spans="1:14" s="223" customFormat="1" ht="15.75" hidden="1">
      <c r="A160" s="233">
        <v>2</v>
      </c>
      <c r="B160" s="155"/>
      <c r="C160" s="155"/>
      <c r="D160" s="2"/>
      <c r="E160" s="224"/>
      <c r="F160" s="2"/>
      <c r="G160" s="155"/>
      <c r="H160" s="2"/>
      <c r="I160" s="224"/>
      <c r="J160" s="2"/>
      <c r="L160" s="2"/>
      <c r="M160" s="224"/>
      <c r="N160" s="2"/>
    </row>
    <row r="161" spans="1:16" ht="15.75" hidden="1">
      <c r="A161" s="233">
        <v>2</v>
      </c>
      <c r="B161" s="160"/>
      <c r="C161" s="160"/>
      <c r="D161" s="4"/>
      <c r="E161" s="179"/>
      <c r="F161" s="181"/>
      <c r="G161" s="160"/>
      <c r="H161" s="4"/>
      <c r="I161" s="179"/>
      <c r="J161" s="181"/>
      <c r="K161" s="216"/>
      <c r="L161" s="4"/>
      <c r="M161" s="179"/>
      <c r="N161" s="181"/>
      <c r="O161" s="229"/>
      <c r="P161" s="230"/>
    </row>
    <row r="162" spans="1:17" ht="15.75" hidden="1">
      <c r="A162" s="233"/>
      <c r="B162" s="160"/>
      <c r="C162" s="236"/>
      <c r="D162" s="237"/>
      <c r="E162" s="238"/>
      <c r="F162" s="160"/>
      <c r="G162" s="236"/>
      <c r="H162" s="239"/>
      <c r="I162" s="240"/>
      <c r="J162" s="240"/>
      <c r="K162" s="240"/>
      <c r="L162" s="240"/>
      <c r="M162" s="160"/>
      <c r="N162" s="235"/>
      <c r="O162" s="155"/>
      <c r="P162" s="69"/>
      <c r="Q162" s="69"/>
    </row>
    <row r="163" ht="12.75" hidden="1"/>
    <row r="164" spans="3:16" s="221" customFormat="1" ht="15.75" hidden="1">
      <c r="C164" s="217"/>
      <c r="F164" s="140"/>
      <c r="G164" s="128"/>
      <c r="H164" s="220"/>
      <c r="I164" s="70"/>
      <c r="J164" s="220"/>
      <c r="K164" s="222"/>
      <c r="L164" s="11"/>
      <c r="M164" s="128"/>
      <c r="N164" s="128"/>
      <c r="O164" s="128"/>
      <c r="P164" s="128"/>
    </row>
    <row r="165" s="221" customFormat="1" ht="12.75" hidden="1"/>
    <row r="166" s="221" customFormat="1" ht="12.75" hidden="1"/>
    <row r="167" spans="1:20" ht="16.5" hidden="1" thickBot="1">
      <c r="A167">
        <v>3</v>
      </c>
      <c r="F167" t="s">
        <v>371</v>
      </c>
      <c r="G167" s="10" t="s">
        <v>373</v>
      </c>
      <c r="H167" s="10" t="s">
        <v>374</v>
      </c>
      <c r="I167" s="127" t="s">
        <v>375</v>
      </c>
      <c r="J167" s="127" t="s">
        <v>376</v>
      </c>
      <c r="K167" s="127" t="s">
        <v>377</v>
      </c>
      <c r="L167" s="127" t="s">
        <v>378</v>
      </c>
      <c r="M167" s="127" t="s">
        <v>379</v>
      </c>
      <c r="N167" s="127" t="s">
        <v>380</v>
      </c>
      <c r="O167" s="131" t="s">
        <v>381</v>
      </c>
      <c r="P167" s="131">
        <v>1</v>
      </c>
      <c r="Q167" s="131">
        <v>2</v>
      </c>
      <c r="R167" s="131">
        <v>3</v>
      </c>
      <c r="S167" s="131">
        <v>4</v>
      </c>
      <c r="T167" s="131">
        <v>5</v>
      </c>
    </row>
    <row r="168" spans="1:20" ht="15.75" hidden="1">
      <c r="A168">
        <v>3</v>
      </c>
      <c r="E168" s="118">
        <v>0</v>
      </c>
      <c r="F168" s="352" t="e">
        <f aca="true" t="shared" si="28" ref="F168:F179">IF(puntosproljorvarios3&lt;620,T168,O168)</f>
        <v>#NAME?</v>
      </c>
      <c r="G168" s="346">
        <v>409</v>
      </c>
      <c r="H168" s="346">
        <v>99</v>
      </c>
      <c r="I168" s="346">
        <v>0</v>
      </c>
      <c r="J168" s="346">
        <v>0</v>
      </c>
      <c r="K168" s="346">
        <v>0</v>
      </c>
      <c r="L168" s="346">
        <v>0</v>
      </c>
      <c r="M168" s="346">
        <v>99</v>
      </c>
      <c r="N168" s="346">
        <v>99</v>
      </c>
      <c r="O168" s="132">
        <f aca="true" t="shared" si="29" ref="O168:O179">IF(punbasjubvarios3&gt;971,N168,M168)</f>
        <v>99</v>
      </c>
      <c r="P168" s="132">
        <f aca="true" t="shared" si="30" ref="P168:P179">IF(punbasjubvarios3&lt;972,G168,H168)</f>
        <v>99</v>
      </c>
      <c r="Q168" s="132">
        <f aca="true" t="shared" si="31" ref="Q168:Q179">IF(punbasjubvarios3&lt;1170,P168,I168)</f>
        <v>0</v>
      </c>
      <c r="R168" s="132">
        <f aca="true" t="shared" si="32" ref="R168:R179">IF(punbasjubvarios3&lt;1401,Q168,J168)</f>
        <v>0</v>
      </c>
      <c r="S168" s="132">
        <f aca="true" t="shared" si="33" ref="S168:S178">IF(punbasjubvarios3&lt;1943,R168,K168)</f>
        <v>0</v>
      </c>
      <c r="T168" s="132">
        <f aca="true" t="shared" si="34" ref="T168:T179">IF(punbasjubvarios3&lt;=2220,S168,L168)</f>
        <v>0</v>
      </c>
    </row>
    <row r="169" spans="1:20" ht="15.75" hidden="1">
      <c r="A169">
        <v>3</v>
      </c>
      <c r="E169" s="119">
        <v>0.1</v>
      </c>
      <c r="F169" s="352" t="e">
        <f t="shared" si="28"/>
        <v>#NAME?</v>
      </c>
      <c r="G169" s="346">
        <v>581</v>
      </c>
      <c r="H169" s="346">
        <v>112</v>
      </c>
      <c r="I169" s="346">
        <v>0</v>
      </c>
      <c r="J169" s="346">
        <v>0</v>
      </c>
      <c r="K169" s="346">
        <v>0</v>
      </c>
      <c r="L169" s="346">
        <v>0</v>
      </c>
      <c r="M169" s="346">
        <v>112</v>
      </c>
      <c r="N169" s="346">
        <v>112</v>
      </c>
      <c r="O169" s="132">
        <f t="shared" si="29"/>
        <v>112</v>
      </c>
      <c r="P169" s="132">
        <f t="shared" si="30"/>
        <v>112</v>
      </c>
      <c r="Q169" s="132">
        <f t="shared" si="31"/>
        <v>0</v>
      </c>
      <c r="R169" s="132">
        <f t="shared" si="32"/>
        <v>0</v>
      </c>
      <c r="S169" s="132">
        <f t="shared" si="33"/>
        <v>0</v>
      </c>
      <c r="T169" s="132">
        <f t="shared" si="34"/>
        <v>0</v>
      </c>
    </row>
    <row r="170" spans="1:20" ht="15.75" hidden="1">
      <c r="A170">
        <v>3</v>
      </c>
      <c r="E170" s="120">
        <v>0.15</v>
      </c>
      <c r="F170" s="352" t="e">
        <f t="shared" si="28"/>
        <v>#NAME?</v>
      </c>
      <c r="G170" s="346">
        <v>705</v>
      </c>
      <c r="H170" s="346">
        <v>224</v>
      </c>
      <c r="I170" s="346">
        <v>298</v>
      </c>
      <c r="J170" s="346">
        <v>240</v>
      </c>
      <c r="K170" s="346">
        <v>224</v>
      </c>
      <c r="L170" s="346">
        <v>0</v>
      </c>
      <c r="M170" s="346">
        <v>273</v>
      </c>
      <c r="N170" s="346">
        <v>273</v>
      </c>
      <c r="O170" s="132">
        <f t="shared" si="29"/>
        <v>273</v>
      </c>
      <c r="P170" s="132">
        <f t="shared" si="30"/>
        <v>224</v>
      </c>
      <c r="Q170" s="132">
        <f t="shared" si="31"/>
        <v>298</v>
      </c>
      <c r="R170" s="132">
        <f t="shared" si="32"/>
        <v>298</v>
      </c>
      <c r="S170" s="132">
        <f t="shared" si="33"/>
        <v>298</v>
      </c>
      <c r="T170" s="132">
        <f t="shared" si="34"/>
        <v>298</v>
      </c>
    </row>
    <row r="171" spans="1:20" ht="15.75" hidden="1">
      <c r="A171">
        <v>3</v>
      </c>
      <c r="E171" s="120">
        <v>0.3</v>
      </c>
      <c r="F171" s="352" t="e">
        <f t="shared" si="28"/>
        <v>#NAME?</v>
      </c>
      <c r="G171" s="346">
        <v>733</v>
      </c>
      <c r="H171" s="346">
        <v>242</v>
      </c>
      <c r="I171" s="346">
        <v>298</v>
      </c>
      <c r="J171" s="346">
        <v>240</v>
      </c>
      <c r="K171" s="346">
        <v>224</v>
      </c>
      <c r="L171" s="346">
        <v>0</v>
      </c>
      <c r="M171" s="346">
        <v>472</v>
      </c>
      <c r="N171" s="346">
        <v>435</v>
      </c>
      <c r="O171" s="132">
        <f t="shared" si="29"/>
        <v>435</v>
      </c>
      <c r="P171" s="132">
        <f t="shared" si="30"/>
        <v>242</v>
      </c>
      <c r="Q171" s="132">
        <f t="shared" si="31"/>
        <v>298</v>
      </c>
      <c r="R171" s="132">
        <f t="shared" si="32"/>
        <v>298</v>
      </c>
      <c r="S171" s="132">
        <f t="shared" si="33"/>
        <v>298</v>
      </c>
      <c r="T171" s="132">
        <f t="shared" si="34"/>
        <v>298</v>
      </c>
    </row>
    <row r="172" spans="1:20" ht="15.75" hidden="1">
      <c r="A172">
        <v>3</v>
      </c>
      <c r="E172" s="120">
        <v>0.4</v>
      </c>
      <c r="F172" s="352" t="e">
        <f t="shared" si="28"/>
        <v>#NAME?</v>
      </c>
      <c r="G172" s="346">
        <v>796</v>
      </c>
      <c r="H172" s="346">
        <v>261</v>
      </c>
      <c r="I172" s="346">
        <v>311</v>
      </c>
      <c r="J172" s="346">
        <v>248</v>
      </c>
      <c r="K172" s="346">
        <v>224</v>
      </c>
      <c r="L172" s="346">
        <v>174</v>
      </c>
      <c r="M172" s="346">
        <v>546</v>
      </c>
      <c r="N172" s="346">
        <v>497</v>
      </c>
      <c r="O172" s="132">
        <f t="shared" si="29"/>
        <v>497</v>
      </c>
      <c r="P172" s="132">
        <f t="shared" si="30"/>
        <v>261</v>
      </c>
      <c r="Q172" s="132">
        <f t="shared" si="31"/>
        <v>311</v>
      </c>
      <c r="R172" s="132">
        <f t="shared" si="32"/>
        <v>311</v>
      </c>
      <c r="S172" s="132">
        <f t="shared" si="33"/>
        <v>311</v>
      </c>
      <c r="T172" s="132">
        <f t="shared" si="34"/>
        <v>311</v>
      </c>
    </row>
    <row r="173" spans="1:20" ht="15.75" hidden="1">
      <c r="A173">
        <v>3</v>
      </c>
      <c r="E173" s="120">
        <v>0.5</v>
      </c>
      <c r="F173" s="352" t="e">
        <f t="shared" si="28"/>
        <v>#NAME?</v>
      </c>
      <c r="G173" s="346">
        <v>575</v>
      </c>
      <c r="H173" s="346">
        <v>286</v>
      </c>
      <c r="I173" s="346">
        <v>311</v>
      </c>
      <c r="J173" s="346">
        <v>248</v>
      </c>
      <c r="K173" s="346">
        <v>224</v>
      </c>
      <c r="L173" s="346">
        <v>174</v>
      </c>
      <c r="M173" s="346">
        <v>590</v>
      </c>
      <c r="N173" s="346">
        <v>540</v>
      </c>
      <c r="O173" s="132">
        <f t="shared" si="29"/>
        <v>540</v>
      </c>
      <c r="P173" s="132">
        <f t="shared" si="30"/>
        <v>286</v>
      </c>
      <c r="Q173" s="132">
        <f t="shared" si="31"/>
        <v>311</v>
      </c>
      <c r="R173" s="132">
        <f t="shared" si="32"/>
        <v>311</v>
      </c>
      <c r="S173" s="132">
        <f t="shared" si="33"/>
        <v>311</v>
      </c>
      <c r="T173" s="132">
        <f t="shared" si="34"/>
        <v>311</v>
      </c>
    </row>
    <row r="174" spans="1:20" ht="15.75" hidden="1">
      <c r="A174">
        <v>3</v>
      </c>
      <c r="E174" s="120">
        <v>0.6</v>
      </c>
      <c r="F174" s="352" t="e">
        <f t="shared" si="28"/>
        <v>#NAME?</v>
      </c>
      <c r="G174" s="346">
        <v>578</v>
      </c>
      <c r="H174" s="346">
        <v>323</v>
      </c>
      <c r="I174" s="346">
        <v>323</v>
      </c>
      <c r="J174" s="346">
        <v>252</v>
      </c>
      <c r="K174" s="346">
        <v>236</v>
      </c>
      <c r="L174" s="346">
        <v>199</v>
      </c>
      <c r="M174" s="346">
        <v>633</v>
      </c>
      <c r="N174" s="346">
        <v>559</v>
      </c>
      <c r="O174" s="132">
        <f t="shared" si="29"/>
        <v>559</v>
      </c>
      <c r="P174" s="132">
        <f t="shared" si="30"/>
        <v>323</v>
      </c>
      <c r="Q174" s="132">
        <f t="shared" si="31"/>
        <v>323</v>
      </c>
      <c r="R174" s="132">
        <f t="shared" si="32"/>
        <v>323</v>
      </c>
      <c r="S174" s="132">
        <f t="shared" si="33"/>
        <v>323</v>
      </c>
      <c r="T174" s="132">
        <f t="shared" si="34"/>
        <v>323</v>
      </c>
    </row>
    <row r="175" spans="1:20" ht="15.75" hidden="1">
      <c r="A175">
        <v>3</v>
      </c>
      <c r="E175" s="120">
        <v>0.7</v>
      </c>
      <c r="F175" s="352" t="e">
        <f t="shared" si="28"/>
        <v>#NAME?</v>
      </c>
      <c r="G175" s="346">
        <v>553</v>
      </c>
      <c r="H175" s="346">
        <v>354</v>
      </c>
      <c r="I175" s="346">
        <v>453</v>
      </c>
      <c r="J175" s="346">
        <v>286</v>
      </c>
      <c r="K175" s="346">
        <v>236</v>
      </c>
      <c r="L175" s="346">
        <v>199</v>
      </c>
      <c r="M175" s="346">
        <v>652</v>
      </c>
      <c r="N175" s="346">
        <v>578</v>
      </c>
      <c r="O175" s="132">
        <f t="shared" si="29"/>
        <v>578</v>
      </c>
      <c r="P175" s="132">
        <f t="shared" si="30"/>
        <v>354</v>
      </c>
      <c r="Q175" s="132">
        <f t="shared" si="31"/>
        <v>453</v>
      </c>
      <c r="R175" s="132">
        <f t="shared" si="32"/>
        <v>453</v>
      </c>
      <c r="S175" s="132">
        <f t="shared" si="33"/>
        <v>453</v>
      </c>
      <c r="T175" s="132">
        <f t="shared" si="34"/>
        <v>453</v>
      </c>
    </row>
    <row r="176" spans="1:20" ht="15.75" hidden="1">
      <c r="A176">
        <v>3</v>
      </c>
      <c r="E176" s="120">
        <v>0.8</v>
      </c>
      <c r="F176" s="352" t="e">
        <f t="shared" si="28"/>
        <v>#NAME?</v>
      </c>
      <c r="G176" s="346">
        <v>664</v>
      </c>
      <c r="H176" s="346">
        <v>428</v>
      </c>
      <c r="I176" s="346">
        <v>491</v>
      </c>
      <c r="J176" s="346">
        <v>422</v>
      </c>
      <c r="K176" s="346">
        <v>348</v>
      </c>
      <c r="L176" s="346">
        <v>224</v>
      </c>
      <c r="M176" s="346">
        <v>689</v>
      </c>
      <c r="N176" s="346">
        <v>590</v>
      </c>
      <c r="O176" s="132">
        <f t="shared" si="29"/>
        <v>590</v>
      </c>
      <c r="P176" s="132">
        <f t="shared" si="30"/>
        <v>428</v>
      </c>
      <c r="Q176" s="132">
        <f t="shared" si="31"/>
        <v>491</v>
      </c>
      <c r="R176" s="132">
        <f t="shared" si="32"/>
        <v>491</v>
      </c>
      <c r="S176" s="132">
        <f t="shared" si="33"/>
        <v>491</v>
      </c>
      <c r="T176" s="132">
        <f t="shared" si="34"/>
        <v>491</v>
      </c>
    </row>
    <row r="177" spans="1:20" ht="15.75" hidden="1">
      <c r="A177">
        <v>3</v>
      </c>
      <c r="E177" s="120">
        <v>1</v>
      </c>
      <c r="F177" s="352" t="e">
        <f t="shared" si="28"/>
        <v>#NAME?</v>
      </c>
      <c r="G177" s="346">
        <v>826</v>
      </c>
      <c r="H177" s="346">
        <v>540</v>
      </c>
      <c r="I177" s="346">
        <v>509</v>
      </c>
      <c r="J177" s="346">
        <v>410</v>
      </c>
      <c r="K177" s="346">
        <v>385</v>
      </c>
      <c r="L177" s="346">
        <v>224</v>
      </c>
      <c r="M177" s="346">
        <v>733</v>
      </c>
      <c r="N177" s="346">
        <v>609</v>
      </c>
      <c r="O177" s="132">
        <f t="shared" si="29"/>
        <v>609</v>
      </c>
      <c r="P177" s="132">
        <f t="shared" si="30"/>
        <v>540</v>
      </c>
      <c r="Q177" s="132">
        <f t="shared" si="31"/>
        <v>509</v>
      </c>
      <c r="R177" s="132">
        <f t="shared" si="32"/>
        <v>509</v>
      </c>
      <c r="S177" s="132">
        <f t="shared" si="33"/>
        <v>509</v>
      </c>
      <c r="T177" s="132">
        <f t="shared" si="34"/>
        <v>509</v>
      </c>
    </row>
    <row r="178" spans="1:20" ht="15.75" hidden="1">
      <c r="A178">
        <v>3</v>
      </c>
      <c r="E178" s="120">
        <v>1.1</v>
      </c>
      <c r="F178" s="352" t="e">
        <f t="shared" si="28"/>
        <v>#NAME?</v>
      </c>
      <c r="G178" s="346">
        <v>925</v>
      </c>
      <c r="H178" s="346">
        <v>615</v>
      </c>
      <c r="I178" s="346">
        <v>534</v>
      </c>
      <c r="J178" s="346">
        <v>410</v>
      </c>
      <c r="K178" s="346">
        <v>397</v>
      </c>
      <c r="L178" s="346">
        <v>236</v>
      </c>
      <c r="M178" s="346">
        <v>764</v>
      </c>
      <c r="N178" s="346">
        <v>627</v>
      </c>
      <c r="O178" s="132">
        <f t="shared" si="29"/>
        <v>627</v>
      </c>
      <c r="P178" s="132">
        <f t="shared" si="30"/>
        <v>615</v>
      </c>
      <c r="Q178" s="132">
        <f t="shared" si="31"/>
        <v>534</v>
      </c>
      <c r="R178" s="132">
        <f t="shared" si="32"/>
        <v>534</v>
      </c>
      <c r="S178" s="132">
        <f t="shared" si="33"/>
        <v>534</v>
      </c>
      <c r="T178" s="132">
        <f t="shared" si="34"/>
        <v>534</v>
      </c>
    </row>
    <row r="179" spans="1:20" ht="16.5" hidden="1" thickBot="1">
      <c r="A179">
        <v>3</v>
      </c>
      <c r="E179" s="121">
        <v>1.2</v>
      </c>
      <c r="F179" s="352" t="e">
        <f t="shared" si="28"/>
        <v>#NAME?</v>
      </c>
      <c r="G179" s="346">
        <v>956</v>
      </c>
      <c r="H179" s="346">
        <v>633</v>
      </c>
      <c r="I179" s="346">
        <v>596</v>
      </c>
      <c r="J179" s="346">
        <v>416</v>
      </c>
      <c r="K179" s="346">
        <v>410</v>
      </c>
      <c r="L179" s="346">
        <v>236</v>
      </c>
      <c r="M179" s="346">
        <v>770</v>
      </c>
      <c r="N179" s="346">
        <v>633</v>
      </c>
      <c r="O179" s="132">
        <f t="shared" si="29"/>
        <v>633</v>
      </c>
      <c r="P179" s="132">
        <f t="shared" si="30"/>
        <v>633</v>
      </c>
      <c r="Q179" s="132">
        <f t="shared" si="31"/>
        <v>596</v>
      </c>
      <c r="R179" s="132">
        <f t="shared" si="32"/>
        <v>596</v>
      </c>
      <c r="S179" s="132">
        <f>IF(punbasjubvarios1&lt;1943,R179,K179)</f>
        <v>596</v>
      </c>
      <c r="T179" s="132">
        <f t="shared" si="34"/>
        <v>596</v>
      </c>
    </row>
    <row r="180" spans="1:20" s="216" customFormat="1" ht="15.75" hidden="1">
      <c r="A180">
        <v>3</v>
      </c>
      <c r="E180" s="217"/>
      <c r="F180" s="140"/>
      <c r="G180" s="140"/>
      <c r="H180" s="218"/>
      <c r="I180" s="219"/>
      <c r="J180" s="219"/>
      <c r="K180" s="140"/>
      <c r="L180" s="11"/>
      <c r="M180" s="128"/>
      <c r="N180" s="128"/>
      <c r="O180" s="128"/>
      <c r="P180" s="128"/>
      <c r="Q180" s="128"/>
      <c r="R180" s="128"/>
      <c r="S180" s="128"/>
      <c r="T180" s="128"/>
    </row>
    <row r="181" spans="1:20" s="216" customFormat="1" ht="15.75" hidden="1">
      <c r="A181">
        <v>3</v>
      </c>
      <c r="E181" s="217"/>
      <c r="F181" s="140" t="s">
        <v>419</v>
      </c>
      <c r="G181" s="140" t="e">
        <f>LOOKUP(F213,porantvar3,cod06cargosvar3feb11)</f>
        <v>#NAME?</v>
      </c>
      <c r="H181" s="218"/>
      <c r="I181" s="219"/>
      <c r="J181" s="219"/>
      <c r="K181" s="140"/>
      <c r="L181" s="11"/>
      <c r="M181" s="128"/>
      <c r="N181" s="128"/>
      <c r="O181" s="128"/>
      <c r="P181" s="128"/>
      <c r="Q181" s="128"/>
      <c r="R181" s="128"/>
      <c r="S181" s="128"/>
      <c r="T181" s="128"/>
    </row>
    <row r="182" spans="1:20" s="216" customFormat="1" ht="15.75" hidden="1">
      <c r="A182"/>
      <c r="E182" s="217"/>
      <c r="F182" s="140"/>
      <c r="G182" s="140"/>
      <c r="H182" s="218"/>
      <c r="I182" s="219"/>
      <c r="J182" s="219"/>
      <c r="K182" s="140"/>
      <c r="L182" s="11"/>
      <c r="M182" s="128"/>
      <c r="N182" s="128"/>
      <c r="O182" s="128"/>
      <c r="P182" s="128"/>
      <c r="Q182" s="128"/>
      <c r="R182" s="128"/>
      <c r="S182" s="128"/>
      <c r="T182" s="128"/>
    </row>
    <row r="183" spans="1:20" ht="16.5" hidden="1" thickBot="1">
      <c r="A183">
        <v>3</v>
      </c>
      <c r="F183" t="s">
        <v>371</v>
      </c>
      <c r="G183" s="10" t="s">
        <v>373</v>
      </c>
      <c r="H183" s="10" t="s">
        <v>374</v>
      </c>
      <c r="I183" s="127" t="s">
        <v>375</v>
      </c>
      <c r="J183" s="127" t="s">
        <v>376</v>
      </c>
      <c r="K183" s="127" t="s">
        <v>377</v>
      </c>
      <c r="L183" s="127" t="s">
        <v>378</v>
      </c>
      <c r="M183" s="127" t="s">
        <v>379</v>
      </c>
      <c r="N183" s="127" t="s">
        <v>380</v>
      </c>
      <c r="O183" s="131" t="s">
        <v>381</v>
      </c>
      <c r="P183" s="131">
        <v>1</v>
      </c>
      <c r="Q183" s="131">
        <v>2</v>
      </c>
      <c r="R183" s="131">
        <v>3</v>
      </c>
      <c r="S183" s="131">
        <v>4</v>
      </c>
      <c r="T183" s="131">
        <v>5</v>
      </c>
    </row>
    <row r="184" spans="1:20" ht="15.75" hidden="1">
      <c r="A184">
        <v>3</v>
      </c>
      <c r="E184" s="118">
        <v>0</v>
      </c>
      <c r="F184" s="352" t="e">
        <f aca="true" t="shared" si="35" ref="F184:F195">IF(puntosproljorvarios3&lt;620,T184,O184)</f>
        <v>#NAME?</v>
      </c>
      <c r="G184" s="10">
        <v>499</v>
      </c>
      <c r="H184" s="10">
        <v>121</v>
      </c>
      <c r="I184" s="10">
        <v>0</v>
      </c>
      <c r="J184" s="10">
        <v>0</v>
      </c>
      <c r="K184" s="10">
        <v>0</v>
      </c>
      <c r="L184" s="10">
        <v>0</v>
      </c>
      <c r="M184" s="10">
        <v>121</v>
      </c>
      <c r="N184" s="10">
        <v>121</v>
      </c>
      <c r="O184" s="132">
        <f aca="true" t="shared" si="36" ref="O184:O195">IF(punbasjubvarios3&gt;971,N184,M184)</f>
        <v>121</v>
      </c>
      <c r="P184" s="132">
        <f aca="true" t="shared" si="37" ref="P184:P195">IF(punbasjubvarios3&lt;972,G184,H184)</f>
        <v>121</v>
      </c>
      <c r="Q184" s="132">
        <f aca="true" t="shared" si="38" ref="Q184:Q195">IF(punbasjubvarios3&lt;1170,P184,I184)</f>
        <v>0</v>
      </c>
      <c r="R184" s="132">
        <f aca="true" t="shared" si="39" ref="R184:R195">IF(punbasjubvarios3&lt;1401,Q184,J184)</f>
        <v>0</v>
      </c>
      <c r="S184" s="132">
        <f aca="true" t="shared" si="40" ref="S184:S194">IF(punbasjubvarios3&lt;1943,R184,K184)</f>
        <v>0</v>
      </c>
      <c r="T184" s="132">
        <f aca="true" t="shared" si="41" ref="T184:T195">IF(punbasjubvarios3&lt;=2220,S184,L184)</f>
        <v>0</v>
      </c>
    </row>
    <row r="185" spans="1:20" ht="15.75" hidden="1">
      <c r="A185">
        <v>3</v>
      </c>
      <c r="E185" s="119">
        <v>0.1</v>
      </c>
      <c r="F185" s="352" t="e">
        <f t="shared" si="35"/>
        <v>#NAME?</v>
      </c>
      <c r="G185" s="10">
        <v>709</v>
      </c>
      <c r="H185" s="10">
        <v>137</v>
      </c>
      <c r="I185" s="10">
        <v>0</v>
      </c>
      <c r="J185" s="10">
        <v>0</v>
      </c>
      <c r="K185" s="10">
        <v>0</v>
      </c>
      <c r="L185" s="10">
        <v>0</v>
      </c>
      <c r="M185" s="10">
        <v>137</v>
      </c>
      <c r="N185" s="10">
        <v>137</v>
      </c>
      <c r="O185" s="132">
        <f t="shared" si="36"/>
        <v>137</v>
      </c>
      <c r="P185" s="132">
        <f t="shared" si="37"/>
        <v>137</v>
      </c>
      <c r="Q185" s="132">
        <f t="shared" si="38"/>
        <v>0</v>
      </c>
      <c r="R185" s="132">
        <f t="shared" si="39"/>
        <v>0</v>
      </c>
      <c r="S185" s="132">
        <f t="shared" si="40"/>
        <v>0</v>
      </c>
      <c r="T185" s="132">
        <f t="shared" si="41"/>
        <v>0</v>
      </c>
    </row>
    <row r="186" spans="1:20" ht="15.75" hidden="1">
      <c r="A186">
        <v>3</v>
      </c>
      <c r="E186" s="120">
        <v>0.15</v>
      </c>
      <c r="F186" s="352" t="e">
        <f t="shared" si="35"/>
        <v>#NAME?</v>
      </c>
      <c r="G186" s="10">
        <v>860</v>
      </c>
      <c r="H186" s="10">
        <v>273</v>
      </c>
      <c r="I186" s="10">
        <v>364</v>
      </c>
      <c r="J186" s="10">
        <v>293</v>
      </c>
      <c r="K186" s="10">
        <v>273</v>
      </c>
      <c r="L186" s="10">
        <v>0</v>
      </c>
      <c r="M186" s="10">
        <v>333</v>
      </c>
      <c r="N186" s="10">
        <v>333</v>
      </c>
      <c r="O186" s="132">
        <f t="shared" si="36"/>
        <v>333</v>
      </c>
      <c r="P186" s="132">
        <f t="shared" si="37"/>
        <v>273</v>
      </c>
      <c r="Q186" s="132">
        <f t="shared" si="38"/>
        <v>364</v>
      </c>
      <c r="R186" s="132">
        <f t="shared" si="39"/>
        <v>364</v>
      </c>
      <c r="S186" s="132">
        <f t="shared" si="40"/>
        <v>364</v>
      </c>
      <c r="T186" s="132">
        <f t="shared" si="41"/>
        <v>364</v>
      </c>
    </row>
    <row r="187" spans="1:20" ht="15.75" hidden="1">
      <c r="A187">
        <v>3</v>
      </c>
      <c r="E187" s="120">
        <v>0.3</v>
      </c>
      <c r="F187" s="352" t="e">
        <f t="shared" si="35"/>
        <v>#NAME?</v>
      </c>
      <c r="G187" s="10">
        <v>894</v>
      </c>
      <c r="H187" s="10">
        <v>295</v>
      </c>
      <c r="I187" s="10">
        <v>364</v>
      </c>
      <c r="J187" s="10">
        <v>293</v>
      </c>
      <c r="K187" s="10">
        <v>273</v>
      </c>
      <c r="L187" s="10">
        <v>0</v>
      </c>
      <c r="M187" s="10">
        <v>576</v>
      </c>
      <c r="N187" s="10">
        <v>531</v>
      </c>
      <c r="O187" s="132">
        <f t="shared" si="36"/>
        <v>531</v>
      </c>
      <c r="P187" s="132">
        <f t="shared" si="37"/>
        <v>295</v>
      </c>
      <c r="Q187" s="132">
        <f t="shared" si="38"/>
        <v>364</v>
      </c>
      <c r="R187" s="132">
        <f t="shared" si="39"/>
        <v>364</v>
      </c>
      <c r="S187" s="132">
        <f t="shared" si="40"/>
        <v>364</v>
      </c>
      <c r="T187" s="132">
        <f t="shared" si="41"/>
        <v>364</v>
      </c>
    </row>
    <row r="188" spans="1:20" ht="15.75" hidden="1">
      <c r="A188">
        <v>3</v>
      </c>
      <c r="E188" s="120">
        <v>0.4</v>
      </c>
      <c r="F188" s="352" t="e">
        <f t="shared" si="35"/>
        <v>#NAME?</v>
      </c>
      <c r="G188" s="10">
        <v>806</v>
      </c>
      <c r="H188" s="10">
        <v>318</v>
      </c>
      <c r="I188" s="10">
        <v>379</v>
      </c>
      <c r="J188" s="10">
        <v>303</v>
      </c>
      <c r="K188" s="10">
        <v>273</v>
      </c>
      <c r="L188" s="10">
        <v>212</v>
      </c>
      <c r="M188" s="10">
        <v>666</v>
      </c>
      <c r="N188" s="10">
        <v>606</v>
      </c>
      <c r="O188" s="132">
        <f t="shared" si="36"/>
        <v>606</v>
      </c>
      <c r="P188" s="132">
        <f t="shared" si="37"/>
        <v>318</v>
      </c>
      <c r="Q188" s="132">
        <f t="shared" si="38"/>
        <v>379</v>
      </c>
      <c r="R188" s="132">
        <f t="shared" si="39"/>
        <v>379</v>
      </c>
      <c r="S188" s="132">
        <f t="shared" si="40"/>
        <v>379</v>
      </c>
      <c r="T188" s="132">
        <f t="shared" si="41"/>
        <v>379</v>
      </c>
    </row>
    <row r="189" spans="1:20" ht="15.75" hidden="1">
      <c r="A189">
        <v>3</v>
      </c>
      <c r="E189" s="120">
        <v>0.5</v>
      </c>
      <c r="F189" s="352" t="e">
        <f t="shared" si="35"/>
        <v>#NAME?</v>
      </c>
      <c r="G189" s="10">
        <v>702</v>
      </c>
      <c r="H189" s="10">
        <v>349</v>
      </c>
      <c r="I189" s="10">
        <v>379</v>
      </c>
      <c r="J189" s="10">
        <v>303</v>
      </c>
      <c r="K189" s="10">
        <v>273</v>
      </c>
      <c r="L189" s="10">
        <v>212</v>
      </c>
      <c r="M189" s="10">
        <v>720</v>
      </c>
      <c r="N189" s="10">
        <v>659</v>
      </c>
      <c r="O189" s="132">
        <f t="shared" si="36"/>
        <v>659</v>
      </c>
      <c r="P189" s="132">
        <f t="shared" si="37"/>
        <v>349</v>
      </c>
      <c r="Q189" s="132">
        <f t="shared" si="38"/>
        <v>379</v>
      </c>
      <c r="R189" s="132">
        <f t="shared" si="39"/>
        <v>379</v>
      </c>
      <c r="S189" s="132">
        <f t="shared" si="40"/>
        <v>379</v>
      </c>
      <c r="T189" s="132">
        <f t="shared" si="41"/>
        <v>379</v>
      </c>
    </row>
    <row r="190" spans="1:20" ht="15.75" hidden="1">
      <c r="A190">
        <v>3</v>
      </c>
      <c r="E190" s="120">
        <v>0.6</v>
      </c>
      <c r="F190" s="352" t="e">
        <f t="shared" si="35"/>
        <v>#NAME?</v>
      </c>
      <c r="G190" s="10">
        <v>705</v>
      </c>
      <c r="H190" s="10">
        <v>394</v>
      </c>
      <c r="I190" s="10">
        <v>394</v>
      </c>
      <c r="J190" s="10">
        <v>307</v>
      </c>
      <c r="K190" s="10">
        <v>288</v>
      </c>
      <c r="L190" s="10">
        <v>243</v>
      </c>
      <c r="M190" s="10">
        <v>772</v>
      </c>
      <c r="N190" s="10">
        <v>682</v>
      </c>
      <c r="O190" s="132">
        <f t="shared" si="36"/>
        <v>682</v>
      </c>
      <c r="P190" s="132">
        <f t="shared" si="37"/>
        <v>394</v>
      </c>
      <c r="Q190" s="132">
        <f t="shared" si="38"/>
        <v>394</v>
      </c>
      <c r="R190" s="132">
        <f t="shared" si="39"/>
        <v>394</v>
      </c>
      <c r="S190" s="132">
        <f t="shared" si="40"/>
        <v>394</v>
      </c>
      <c r="T190" s="132">
        <f t="shared" si="41"/>
        <v>394</v>
      </c>
    </row>
    <row r="191" spans="1:20" ht="15.75" hidden="1">
      <c r="A191">
        <v>3</v>
      </c>
      <c r="E191" s="120">
        <v>0.7</v>
      </c>
      <c r="F191" s="352" t="e">
        <f t="shared" si="35"/>
        <v>#NAME?</v>
      </c>
      <c r="G191" s="10">
        <v>675</v>
      </c>
      <c r="H191" s="10">
        <v>432</v>
      </c>
      <c r="I191" s="10">
        <v>553</v>
      </c>
      <c r="J191" s="10">
        <v>349</v>
      </c>
      <c r="K191" s="10">
        <v>288</v>
      </c>
      <c r="L191" s="10">
        <v>243</v>
      </c>
      <c r="M191" s="10">
        <v>795</v>
      </c>
      <c r="N191" s="10">
        <v>705</v>
      </c>
      <c r="O191" s="132">
        <f t="shared" si="36"/>
        <v>705</v>
      </c>
      <c r="P191" s="132">
        <f t="shared" si="37"/>
        <v>432</v>
      </c>
      <c r="Q191" s="132">
        <f t="shared" si="38"/>
        <v>553</v>
      </c>
      <c r="R191" s="132">
        <f t="shared" si="39"/>
        <v>553</v>
      </c>
      <c r="S191" s="132">
        <f t="shared" si="40"/>
        <v>553</v>
      </c>
      <c r="T191" s="132">
        <f t="shared" si="41"/>
        <v>553</v>
      </c>
    </row>
    <row r="192" spans="1:20" ht="15.75" hidden="1">
      <c r="A192">
        <v>3</v>
      </c>
      <c r="E192" s="120">
        <v>0.8</v>
      </c>
      <c r="F192" s="352" t="e">
        <f t="shared" si="35"/>
        <v>#NAME?</v>
      </c>
      <c r="G192" s="10">
        <v>810</v>
      </c>
      <c r="H192" s="10">
        <v>522</v>
      </c>
      <c r="I192" s="10">
        <v>599</v>
      </c>
      <c r="J192" s="10">
        <v>515</v>
      </c>
      <c r="K192" s="10">
        <v>425</v>
      </c>
      <c r="L192" s="10">
        <v>273</v>
      </c>
      <c r="M192" s="10">
        <v>841</v>
      </c>
      <c r="N192" s="10">
        <v>720</v>
      </c>
      <c r="O192" s="132">
        <f t="shared" si="36"/>
        <v>720</v>
      </c>
      <c r="P192" s="132">
        <f t="shared" si="37"/>
        <v>522</v>
      </c>
      <c r="Q192" s="132">
        <f t="shared" si="38"/>
        <v>599</v>
      </c>
      <c r="R192" s="132">
        <f t="shared" si="39"/>
        <v>599</v>
      </c>
      <c r="S192" s="132">
        <f t="shared" si="40"/>
        <v>599</v>
      </c>
      <c r="T192" s="132">
        <f t="shared" si="41"/>
        <v>599</v>
      </c>
    </row>
    <row r="193" spans="1:20" ht="15.75" hidden="1">
      <c r="A193">
        <v>3</v>
      </c>
      <c r="E193" s="120">
        <v>1</v>
      </c>
      <c r="F193" s="352" t="e">
        <f t="shared" si="35"/>
        <v>#NAME?</v>
      </c>
      <c r="G193" s="10">
        <v>1008</v>
      </c>
      <c r="H193" s="10">
        <v>659</v>
      </c>
      <c r="I193" s="10">
        <v>621</v>
      </c>
      <c r="J193" s="10">
        <v>500</v>
      </c>
      <c r="K193" s="10">
        <v>470</v>
      </c>
      <c r="L193" s="10">
        <v>273</v>
      </c>
      <c r="M193" s="10">
        <v>894</v>
      </c>
      <c r="N193" s="10">
        <v>743</v>
      </c>
      <c r="O193" s="132">
        <f t="shared" si="36"/>
        <v>743</v>
      </c>
      <c r="P193" s="132">
        <f t="shared" si="37"/>
        <v>659</v>
      </c>
      <c r="Q193" s="132">
        <f t="shared" si="38"/>
        <v>621</v>
      </c>
      <c r="R193" s="132">
        <f t="shared" si="39"/>
        <v>621</v>
      </c>
      <c r="S193" s="132">
        <f t="shared" si="40"/>
        <v>621</v>
      </c>
      <c r="T193" s="132">
        <f t="shared" si="41"/>
        <v>621</v>
      </c>
    </row>
    <row r="194" spans="1:20" ht="15.75" hidden="1">
      <c r="A194">
        <v>3</v>
      </c>
      <c r="E194" s="120">
        <v>1.1</v>
      </c>
      <c r="F194" s="352" t="e">
        <f t="shared" si="35"/>
        <v>#NAME?</v>
      </c>
      <c r="G194" s="381">
        <v>1129</v>
      </c>
      <c r="H194" s="382">
        <v>750</v>
      </c>
      <c r="I194" s="10">
        <v>651</v>
      </c>
      <c r="J194" s="10">
        <v>500</v>
      </c>
      <c r="K194" s="10">
        <v>484</v>
      </c>
      <c r="L194" s="10">
        <v>288</v>
      </c>
      <c r="M194" s="10">
        <v>932</v>
      </c>
      <c r="N194" s="10">
        <v>765</v>
      </c>
      <c r="O194" s="132">
        <f t="shared" si="36"/>
        <v>765</v>
      </c>
      <c r="P194" s="132">
        <f t="shared" si="37"/>
        <v>750</v>
      </c>
      <c r="Q194" s="132">
        <f t="shared" si="38"/>
        <v>651</v>
      </c>
      <c r="R194" s="132">
        <f t="shared" si="39"/>
        <v>651</v>
      </c>
      <c r="S194" s="132">
        <f t="shared" si="40"/>
        <v>651</v>
      </c>
      <c r="T194" s="132">
        <f t="shared" si="41"/>
        <v>651</v>
      </c>
    </row>
    <row r="195" spans="1:20" ht="16.5" hidden="1" thickBot="1">
      <c r="A195">
        <v>3</v>
      </c>
      <c r="E195" s="121">
        <v>1.2</v>
      </c>
      <c r="F195" s="352" t="e">
        <f t="shared" si="35"/>
        <v>#NAME?</v>
      </c>
      <c r="G195" s="10">
        <v>1166</v>
      </c>
      <c r="H195" s="10">
        <v>772</v>
      </c>
      <c r="I195" s="10">
        <v>727</v>
      </c>
      <c r="J195" s="10">
        <v>508</v>
      </c>
      <c r="K195" s="10">
        <v>500</v>
      </c>
      <c r="L195" s="10">
        <v>288</v>
      </c>
      <c r="M195" s="10">
        <v>939</v>
      </c>
      <c r="N195" s="10">
        <v>772</v>
      </c>
      <c r="O195" s="132">
        <f t="shared" si="36"/>
        <v>772</v>
      </c>
      <c r="P195" s="132">
        <f t="shared" si="37"/>
        <v>772</v>
      </c>
      <c r="Q195" s="132">
        <f t="shared" si="38"/>
        <v>727</v>
      </c>
      <c r="R195" s="132">
        <f t="shared" si="39"/>
        <v>727</v>
      </c>
      <c r="S195" s="132">
        <f>IF(punbasjubvarios1&lt;1943,R195,K195)</f>
        <v>727</v>
      </c>
      <c r="T195" s="132">
        <f t="shared" si="41"/>
        <v>727</v>
      </c>
    </row>
    <row r="196" spans="1:20" s="216" customFormat="1" ht="15.75" hidden="1">
      <c r="A196">
        <v>3</v>
      </c>
      <c r="E196" s="217"/>
      <c r="F196" s="140"/>
      <c r="G196" s="140"/>
      <c r="H196" s="218"/>
      <c r="I196" s="219"/>
      <c r="J196" s="219"/>
      <c r="K196" s="140"/>
      <c r="L196" s="11"/>
      <c r="M196" s="128"/>
      <c r="N196" s="128"/>
      <c r="O196" s="128"/>
      <c r="P196" s="128"/>
      <c r="Q196" s="128"/>
      <c r="R196" s="128"/>
      <c r="S196" s="128"/>
      <c r="T196" s="128"/>
    </row>
    <row r="197" spans="1:20" s="216" customFormat="1" ht="15.75" hidden="1">
      <c r="A197">
        <v>3</v>
      </c>
      <c r="E197" s="217"/>
      <c r="F197" s="140" t="s">
        <v>420</v>
      </c>
      <c r="G197" s="140" t="e">
        <f>LOOKUP(F213,porantvar3,cod06cargosvar3mar11)</f>
        <v>#NAME?</v>
      </c>
      <c r="H197" s="218"/>
      <c r="I197" s="219"/>
      <c r="J197" s="219"/>
      <c r="K197" s="140"/>
      <c r="L197" s="11"/>
      <c r="M197" s="128"/>
      <c r="N197" s="128"/>
      <c r="O197" s="128"/>
      <c r="P197" s="128"/>
      <c r="Q197" s="128"/>
      <c r="R197" s="128"/>
      <c r="S197" s="128"/>
      <c r="T197" s="128"/>
    </row>
    <row r="198" spans="1:20" s="216" customFormat="1" ht="15.75" hidden="1">
      <c r="A198"/>
      <c r="E198" s="217"/>
      <c r="F198" s="140"/>
      <c r="G198" s="140"/>
      <c r="H198" s="218"/>
      <c r="I198" s="219"/>
      <c r="J198" s="219"/>
      <c r="K198" s="140"/>
      <c r="L198" s="11"/>
      <c r="M198" s="128"/>
      <c r="N198" s="128"/>
      <c r="O198" s="128"/>
      <c r="P198" s="128"/>
      <c r="Q198" s="128"/>
      <c r="R198" s="128"/>
      <c r="S198" s="128"/>
      <c r="T198" s="128"/>
    </row>
    <row r="199" s="221" customFormat="1" ht="12.75" hidden="1">
      <c r="A199">
        <v>3</v>
      </c>
    </row>
    <row r="200" ht="12.75" hidden="1">
      <c r="A200">
        <v>3</v>
      </c>
    </row>
    <row r="201" spans="1:15" ht="12.75">
      <c r="A201" s="244">
        <v>3</v>
      </c>
      <c r="B201" s="244"/>
      <c r="C201" s="244"/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</row>
    <row r="202" spans="1:17" ht="20.25">
      <c r="A202" s="244">
        <v>3</v>
      </c>
      <c r="B202" s="163"/>
      <c r="C202" s="54"/>
      <c r="D202" s="54"/>
      <c r="E202" s="75" t="s">
        <v>365</v>
      </c>
      <c r="F202" s="10"/>
      <c r="G202" s="10"/>
      <c r="H202" s="54"/>
      <c r="I202" s="54"/>
      <c r="J202" s="54"/>
      <c r="K202" s="54"/>
      <c r="L202" s="54"/>
      <c r="M202" s="54"/>
      <c r="N202" s="162"/>
      <c r="O202" s="252"/>
      <c r="P202" s="140"/>
      <c r="Q202" s="140"/>
    </row>
    <row r="203" spans="1:17" ht="12.75">
      <c r="A203" s="244">
        <v>3</v>
      </c>
      <c r="B203" s="163"/>
      <c r="C203" s="163"/>
      <c r="D203" s="163"/>
      <c r="E203" s="163"/>
      <c r="F203" s="163"/>
      <c r="G203" s="163"/>
      <c r="H203" s="246"/>
      <c r="I203" s="163"/>
      <c r="J203" s="163"/>
      <c r="K203" s="163"/>
      <c r="L203" s="163"/>
      <c r="M203" s="163"/>
      <c r="N203" s="162"/>
      <c r="O203" s="252"/>
      <c r="P203" s="140"/>
      <c r="Q203" s="140"/>
    </row>
    <row r="204" spans="1:17" ht="12.75">
      <c r="A204" s="244">
        <v>3</v>
      </c>
      <c r="B204" s="244"/>
      <c r="C204" s="244"/>
      <c r="D204" s="39" t="s">
        <v>36</v>
      </c>
      <c r="E204" s="39" t="s">
        <v>333</v>
      </c>
      <c r="F204" s="39" t="s">
        <v>334</v>
      </c>
      <c r="G204" s="39" t="s">
        <v>335</v>
      </c>
      <c r="H204" s="39" t="s">
        <v>336</v>
      </c>
      <c r="I204" s="95" t="s">
        <v>382</v>
      </c>
      <c r="J204" s="415" t="s">
        <v>423</v>
      </c>
      <c r="K204" s="163"/>
      <c r="L204" s="163"/>
      <c r="M204" s="163"/>
      <c r="N204" s="162"/>
      <c r="O204" s="252"/>
      <c r="P204" s="140"/>
      <c r="Q204" s="140"/>
    </row>
    <row r="205" spans="1:17" ht="16.5" thickBot="1">
      <c r="A205" s="244">
        <v>3</v>
      </c>
      <c r="B205" s="244"/>
      <c r="C205" s="244"/>
      <c r="D205" s="112">
        <v>741</v>
      </c>
      <c r="E205" s="76">
        <f>LOOKUP(D205,[0]!numerocargo,[0]!puntosbasicoscargo)</f>
        <v>1300</v>
      </c>
      <c r="F205" s="76" t="e">
        <f>LOOKUP(D205,[0]!numerocargo,[0]!tardifcargo)</f>
        <v>#NAME?</v>
      </c>
      <c r="G205" s="76">
        <f>LOOKUP(D205,[0]!numerocargo,[0]!proljorcargo)</f>
        <v>1427</v>
      </c>
      <c r="H205" s="76" t="e">
        <f>LOOKUP(D205,[0]!numerocargo,[0]!jorcomcargo)</f>
        <v>#NAME?</v>
      </c>
      <c r="I205" s="39">
        <f>LOOKUP(D205,Cargos!A3:A317,puntoscompbasico)</f>
        <v>127</v>
      </c>
      <c r="J205" s="414">
        <f>LOOKUP(D205,Cargos!A3:A317,puntosadicdir)</f>
        <v>0</v>
      </c>
      <c r="K205" s="163"/>
      <c r="L205" s="163"/>
      <c r="M205" s="163"/>
      <c r="N205" s="162"/>
      <c r="O205" s="252"/>
      <c r="P205" s="140"/>
      <c r="Q205" s="140"/>
    </row>
    <row r="206" spans="1:17" ht="13.5" thickBot="1">
      <c r="A206" s="244">
        <v>3</v>
      </c>
      <c r="B206" s="244"/>
      <c r="C206" s="244"/>
      <c r="D206" s="77" t="s">
        <v>37</v>
      </c>
      <c r="E206" s="78" t="str">
        <f>LOOKUP(D205,[0]!numerocargo,[0]!nombrecargo)</f>
        <v> SECRETARIO ESCUELA 2DA CATEGORIA</v>
      </c>
      <c r="F206" s="38"/>
      <c r="G206" s="38"/>
      <c r="H206" s="57"/>
      <c r="I206" s="163"/>
      <c r="J206" s="163"/>
      <c r="K206" s="163"/>
      <c r="L206" s="163"/>
      <c r="M206" s="163"/>
      <c r="N206" s="162"/>
      <c r="O206" s="252"/>
      <c r="P206" s="140"/>
      <c r="Q206" s="140"/>
    </row>
    <row r="207" spans="1:17" ht="13.5" thickBot="1">
      <c r="A207" s="244">
        <v>3</v>
      </c>
      <c r="B207" s="244"/>
      <c r="C207" s="244"/>
      <c r="D207" s="245"/>
      <c r="E207" s="246"/>
      <c r="F207" s="163"/>
      <c r="G207" s="163"/>
      <c r="H207" s="163"/>
      <c r="I207" s="123" t="s">
        <v>356</v>
      </c>
      <c r="J207" s="254"/>
      <c r="K207" s="254"/>
      <c r="L207" s="254"/>
      <c r="M207" s="163"/>
      <c r="N207" s="163"/>
      <c r="O207" s="163"/>
      <c r="P207" s="10"/>
      <c r="Q207" s="10"/>
    </row>
    <row r="208" spans="1:17" ht="19.5" thickBot="1" thickTop="1">
      <c r="A208" s="244">
        <v>3</v>
      </c>
      <c r="B208" s="244"/>
      <c r="C208" s="244"/>
      <c r="D208" s="141" t="s">
        <v>350</v>
      </c>
      <c r="E208" s="117"/>
      <c r="F208" s="117"/>
      <c r="G208" s="117"/>
      <c r="H208" s="142">
        <v>15</v>
      </c>
      <c r="I208" s="124">
        <f>H208/120</f>
        <v>0.125</v>
      </c>
      <c r="J208" s="246"/>
      <c r="K208" s="246"/>
      <c r="L208" s="246"/>
      <c r="M208" s="163"/>
      <c r="N208" s="163"/>
      <c r="O208" s="163"/>
      <c r="P208" s="10"/>
      <c r="Q208" s="10"/>
    </row>
    <row r="209" spans="1:17" ht="17.25" thickBot="1" thickTop="1">
      <c r="A209" s="244">
        <v>3</v>
      </c>
      <c r="B209" s="245"/>
      <c r="C209" s="246"/>
      <c r="D209" s="163"/>
      <c r="E209" s="163"/>
      <c r="F209" s="323"/>
      <c r="G209" s="163"/>
      <c r="H209" s="424"/>
      <c r="I209" s="163"/>
      <c r="J209" s="163"/>
      <c r="K209" s="163"/>
      <c r="L209" s="163"/>
      <c r="M209" s="163"/>
      <c r="N209" s="163"/>
      <c r="O209" s="163"/>
      <c r="P209" s="10"/>
      <c r="Q209" s="10"/>
    </row>
    <row r="210" spans="1:17" ht="17.25" thickBot="1" thickTop="1">
      <c r="A210" s="244">
        <v>3</v>
      </c>
      <c r="B210" s="245"/>
      <c r="C210" s="244"/>
      <c r="D210" s="115" t="s">
        <v>358</v>
      </c>
      <c r="E210" s="126">
        <v>0</v>
      </c>
      <c r="F210" s="323"/>
      <c r="G210" s="163"/>
      <c r="H210" s="246"/>
      <c r="I210" s="163"/>
      <c r="J210" s="163"/>
      <c r="K210" s="163"/>
      <c r="L210" s="163"/>
      <c r="M210" s="163"/>
      <c r="N210" s="163"/>
      <c r="O210" s="163"/>
      <c r="P210" s="10"/>
      <c r="Q210" s="10"/>
    </row>
    <row r="211" spans="1:17" ht="14.25" thickBot="1" thickTop="1">
      <c r="A211" s="244">
        <v>3</v>
      </c>
      <c r="B211" s="245"/>
      <c r="C211" s="246"/>
      <c r="D211" s="163"/>
      <c r="E211" s="425"/>
      <c r="F211" s="163"/>
      <c r="G211" s="163"/>
      <c r="H211" s="246"/>
      <c r="I211" s="163"/>
      <c r="J211" s="163"/>
      <c r="K211" s="163"/>
      <c r="L211" s="163"/>
      <c r="M211" s="163"/>
      <c r="N211" s="163"/>
      <c r="O211" s="163"/>
      <c r="P211" s="10"/>
      <c r="Q211" s="10"/>
    </row>
    <row r="212" spans="1:17" ht="16.5" thickBot="1">
      <c r="A212" s="244">
        <v>3</v>
      </c>
      <c r="B212" s="163"/>
      <c r="C212" s="54"/>
      <c r="D212" s="79" t="s">
        <v>13</v>
      </c>
      <c r="E212" s="38"/>
      <c r="F212" s="80" t="e">
        <f>E205*indicesep2010</f>
        <v>#NAME?</v>
      </c>
      <c r="G212" s="54"/>
      <c r="H212" s="54"/>
      <c r="I212" s="54"/>
      <c r="J212" s="54"/>
      <c r="K212" s="54"/>
      <c r="L212" s="54"/>
      <c r="M212" s="164"/>
      <c r="N212" s="164"/>
      <c r="O212" s="54"/>
      <c r="P212" s="10"/>
      <c r="Q212" s="10"/>
    </row>
    <row r="213" spans="1:17" ht="16.5" thickBot="1">
      <c r="A213" s="244">
        <v>3</v>
      </c>
      <c r="B213" s="163"/>
      <c r="C213" s="54"/>
      <c r="D213" s="79" t="s">
        <v>14</v>
      </c>
      <c r="E213" s="38"/>
      <c r="F213" s="114">
        <v>1.2</v>
      </c>
      <c r="G213" s="10" t="s">
        <v>15</v>
      </c>
      <c r="H213" s="10"/>
      <c r="I213" s="54"/>
      <c r="J213" s="54"/>
      <c r="K213" s="54"/>
      <c r="L213" s="54"/>
      <c r="M213" s="54"/>
      <c r="N213" s="164"/>
      <c r="O213" s="54"/>
      <c r="P213" s="10"/>
      <c r="Q213" s="10"/>
    </row>
    <row r="214" spans="1:17" ht="15.75">
      <c r="A214" s="244">
        <v>3</v>
      </c>
      <c r="B214" s="163"/>
      <c r="C214" s="54"/>
      <c r="D214" s="163"/>
      <c r="E214" s="163"/>
      <c r="F214" s="165"/>
      <c r="G214" s="54"/>
      <c r="H214" s="54"/>
      <c r="I214" s="54"/>
      <c r="J214" s="54"/>
      <c r="K214" s="54"/>
      <c r="L214" s="54"/>
      <c r="M214" s="54"/>
      <c r="N214" s="166"/>
      <c r="O214" s="54"/>
      <c r="P214" s="10"/>
      <c r="Q214" s="10"/>
    </row>
    <row r="215" spans="1:17" ht="18.75" hidden="1" thickBot="1">
      <c r="A215" s="244">
        <v>3</v>
      </c>
      <c r="B215" s="163"/>
      <c r="C215" s="54"/>
      <c r="D215" s="82" t="s">
        <v>16</v>
      </c>
      <c r="E215" s="82"/>
      <c r="F215" s="83">
        <f>E205</f>
        <v>1300</v>
      </c>
      <c r="G215" s="10" t="s">
        <v>17</v>
      </c>
      <c r="H215" s="54"/>
      <c r="I215" s="81" t="e">
        <f>H205+G205</f>
        <v>#NAME?</v>
      </c>
      <c r="J215" s="164"/>
      <c r="K215" s="164"/>
      <c r="L215" s="164"/>
      <c r="M215" s="163"/>
      <c r="N215" s="54"/>
      <c r="O215" s="54"/>
      <c r="P215" s="10"/>
      <c r="Q215" s="10"/>
    </row>
    <row r="216" spans="1:17" ht="15.75" hidden="1">
      <c r="A216" s="244">
        <v>3</v>
      </c>
      <c r="B216" s="163"/>
      <c r="C216" s="54"/>
      <c r="D216" s="163"/>
      <c r="E216" s="163"/>
      <c r="F216" s="165"/>
      <c r="G216" s="54"/>
      <c r="H216" s="54"/>
      <c r="I216" s="163"/>
      <c r="J216" s="163"/>
      <c r="K216" s="163"/>
      <c r="L216" s="163"/>
      <c r="M216" s="324"/>
      <c r="N216" s="54"/>
      <c r="O216" s="54"/>
      <c r="P216" s="10"/>
      <c r="Q216" s="10"/>
    </row>
    <row r="217" spans="1:15" ht="15.75" hidden="1">
      <c r="A217" s="244">
        <v>3</v>
      </c>
      <c r="B217" s="163"/>
      <c r="C217" s="54"/>
      <c r="D217" s="10"/>
      <c r="E217" s="133" t="s">
        <v>413</v>
      </c>
      <c r="F217" s="10"/>
      <c r="G217" s="138"/>
      <c r="H217" s="10"/>
      <c r="I217" s="133" t="s">
        <v>414</v>
      </c>
      <c r="J217" s="10"/>
      <c r="K217" s="244"/>
      <c r="L217" s="11"/>
      <c r="M217" s="397"/>
      <c r="N217" s="11"/>
      <c r="O217" s="244"/>
    </row>
    <row r="218" spans="1:15" ht="12.75" hidden="1">
      <c r="A218" s="244">
        <v>3</v>
      </c>
      <c r="B218" s="163"/>
      <c r="C218" s="244"/>
      <c r="D218" s="17">
        <v>400</v>
      </c>
      <c r="E218" s="17" t="s">
        <v>18</v>
      </c>
      <c r="F218" s="84" t="e">
        <f>punbasjubvarios3*indicesep2010*porjubvarcar*frac3</f>
        <v>#NAME?</v>
      </c>
      <c r="G218" s="244"/>
      <c r="H218" s="17">
        <v>400</v>
      </c>
      <c r="I218" s="17" t="s">
        <v>18</v>
      </c>
      <c r="J218" s="84" t="e">
        <f>punbasjubvarios3*indicemar2011*porjubvarcar*frac3</f>
        <v>#NAME?</v>
      </c>
      <c r="K218" s="244"/>
      <c r="L218" s="11"/>
      <c r="M218" s="11"/>
      <c r="N218" s="398"/>
      <c r="O218" s="244"/>
    </row>
    <row r="219" spans="1:15" ht="12.75" hidden="1">
      <c r="A219" s="244">
        <v>3</v>
      </c>
      <c r="B219" s="163"/>
      <c r="C219" s="244"/>
      <c r="D219" s="17">
        <v>542</v>
      </c>
      <c r="E219" s="17" t="s">
        <v>390</v>
      </c>
      <c r="F219" s="203" t="e">
        <f>compbasicovarios3*indicesep2010*porjubvarcar*frac3</f>
        <v>#NAME?</v>
      </c>
      <c r="G219" s="244"/>
      <c r="H219" s="17">
        <v>542</v>
      </c>
      <c r="I219" s="17" t="s">
        <v>390</v>
      </c>
      <c r="J219" s="203" t="e">
        <f>compbasicovarios3*indicemar2011*porjubvarcar*frac3</f>
        <v>#NAME?</v>
      </c>
      <c r="K219" s="244"/>
      <c r="L219" s="11"/>
      <c r="M219" s="11"/>
      <c r="N219" s="398"/>
      <c r="O219" s="244"/>
    </row>
    <row r="220" spans="1:15" ht="12.75" hidden="1">
      <c r="A220" s="244"/>
      <c r="B220" s="163"/>
      <c r="C220" s="244"/>
      <c r="D220" s="383"/>
      <c r="E220" s="383"/>
      <c r="F220" s="416"/>
      <c r="G220" s="244"/>
      <c r="H220" s="388" t="s">
        <v>411</v>
      </c>
      <c r="I220" s="389" t="s">
        <v>407</v>
      </c>
      <c r="J220" s="413" t="e">
        <f>adicdirvarios3*indicemar2011*porjubvarcar*frac3</f>
        <v>#NAME?</v>
      </c>
      <c r="K220" s="244"/>
      <c r="L220" s="11"/>
      <c r="M220" s="11"/>
      <c r="N220" s="398"/>
      <c r="O220" s="244"/>
    </row>
    <row r="221" spans="1:14" ht="12.75" hidden="1">
      <c r="A221" s="244">
        <v>3</v>
      </c>
      <c r="B221" s="163"/>
      <c r="C221" s="244"/>
      <c r="D221" s="17">
        <v>404</v>
      </c>
      <c r="E221" s="17" t="s">
        <v>338</v>
      </c>
      <c r="F221" s="84" t="e">
        <f>puntardifvar3*indicesep2010*porjubvarcar*frac3</f>
        <v>#NAME?</v>
      </c>
      <c r="G221" s="244"/>
      <c r="H221" s="17">
        <v>404</v>
      </c>
      <c r="I221" s="17" t="s">
        <v>338</v>
      </c>
      <c r="J221" s="84" t="e">
        <f>puntardifvar3*indicemar2011*porjubvarcar*frac3</f>
        <v>#NAME?</v>
      </c>
      <c r="L221" s="11"/>
      <c r="M221" s="11"/>
      <c r="N221" s="398"/>
    </row>
    <row r="222" spans="1:14" ht="12.75" hidden="1">
      <c r="A222" s="244">
        <v>3</v>
      </c>
      <c r="B222" s="163"/>
      <c r="C222" s="244"/>
      <c r="D222" s="17">
        <v>406</v>
      </c>
      <c r="E222" s="17" t="s">
        <v>19</v>
      </c>
      <c r="F222" s="84" t="e">
        <f>(F218+F219+F221+F224)*F213</f>
        <v>#NAME?</v>
      </c>
      <c r="G222" s="244"/>
      <c r="H222" s="17">
        <v>406</v>
      </c>
      <c r="I222" s="17" t="s">
        <v>19</v>
      </c>
      <c r="J222" s="84" t="e">
        <f>(J218+J219+J221+J224)*F213</f>
        <v>#NAME?</v>
      </c>
      <c r="L222" s="11"/>
      <c r="M222" s="11"/>
      <c r="N222" s="398"/>
    </row>
    <row r="223" spans="1:14" ht="12.75" hidden="1">
      <c r="A223" s="244">
        <v>3</v>
      </c>
      <c r="B223" s="163"/>
      <c r="C223" s="244"/>
      <c r="D223" s="17">
        <v>408</v>
      </c>
      <c r="E223" s="17" t="s">
        <v>357</v>
      </c>
      <c r="F223" s="84" t="e">
        <f>(F218+F219+F221+F224)*E210</f>
        <v>#NAME?</v>
      </c>
      <c r="G223" s="244"/>
      <c r="H223" s="17">
        <v>408</v>
      </c>
      <c r="I223" s="17" t="s">
        <v>357</v>
      </c>
      <c r="J223" s="84" t="e">
        <f>(J218+J219+J221+J224)*E210</f>
        <v>#NAME?</v>
      </c>
      <c r="L223" s="11"/>
      <c r="M223" s="11"/>
      <c r="N223" s="398"/>
    </row>
    <row r="224" spans="1:14" ht="12.75" hidden="1">
      <c r="A224" s="244">
        <v>3</v>
      </c>
      <c r="B224" s="163"/>
      <c r="C224" s="244"/>
      <c r="D224" s="17">
        <v>416</v>
      </c>
      <c r="E224" s="85" t="s">
        <v>339</v>
      </c>
      <c r="F224" s="84" t="e">
        <f>puntosproljorvarios3*proljorsep2010*porjubvarcar*frac3</f>
        <v>#NAME?</v>
      </c>
      <c r="G224" s="244"/>
      <c r="H224" s="17">
        <v>416</v>
      </c>
      <c r="I224" s="85" t="s">
        <v>339</v>
      </c>
      <c r="J224" s="84" t="e">
        <f>puntosproljorvarios3*proljormar2011*porjubvarcar*frac3</f>
        <v>#NAME?</v>
      </c>
      <c r="L224" s="11"/>
      <c r="M224" s="412"/>
      <c r="N224" s="398"/>
    </row>
    <row r="225" spans="1:14" ht="12.75" hidden="1">
      <c r="A225" s="244">
        <v>3</v>
      </c>
      <c r="B225" s="163"/>
      <c r="C225" s="244"/>
      <c r="D225" s="17">
        <v>432</v>
      </c>
      <c r="E225" s="17" t="s">
        <v>355</v>
      </c>
      <c r="F225" s="84" t="e">
        <f>cod06feb11varios3*porjubvarcar*frac3</f>
        <v>#NAME?</v>
      </c>
      <c r="G225" s="244"/>
      <c r="H225" s="17">
        <v>432</v>
      </c>
      <c r="I225" s="17" t="s">
        <v>355</v>
      </c>
      <c r="J225" s="84" t="e">
        <f>cod06mar11varios3*porjubvarcar*frac3</f>
        <v>#NAME?</v>
      </c>
      <c r="L225" s="11"/>
      <c r="M225" s="11"/>
      <c r="N225" s="398"/>
    </row>
    <row r="226" spans="1:14" ht="12.75" hidden="1">
      <c r="A226" s="244">
        <v>3</v>
      </c>
      <c r="B226" s="163"/>
      <c r="C226" s="244"/>
      <c r="D226" s="17">
        <v>434</v>
      </c>
      <c r="E226" s="17" t="s">
        <v>337</v>
      </c>
      <c r="F226" s="84" t="e">
        <f>(F218+F219+F221+F222+F224+F225+F223)*0.07*0.95</f>
        <v>#NAME?</v>
      </c>
      <c r="G226" s="244"/>
      <c r="H226" s="17">
        <v>434</v>
      </c>
      <c r="I226" s="17" t="s">
        <v>337</v>
      </c>
      <c r="J226" s="84" t="e">
        <f>(J218+J219+J221+J222+J224+J225+J223)*0.07*0.95</f>
        <v>#NAME?</v>
      </c>
      <c r="L226" s="11"/>
      <c r="M226" s="11"/>
      <c r="N226" s="398"/>
    </row>
    <row r="227" spans="1:14" ht="12.75" hidden="1">
      <c r="A227" s="244">
        <v>3</v>
      </c>
      <c r="B227" s="163"/>
      <c r="C227" s="244"/>
      <c r="D227" s="17"/>
      <c r="E227" s="86"/>
      <c r="F227" s="146"/>
      <c r="G227" s="244"/>
      <c r="H227" s="17"/>
      <c r="I227" s="86"/>
      <c r="J227" s="146"/>
      <c r="L227" s="11"/>
      <c r="M227" s="11"/>
      <c r="N227" s="398"/>
    </row>
    <row r="228" spans="1:14" ht="13.5" hidden="1" thickBot="1">
      <c r="A228" s="244">
        <v>3</v>
      </c>
      <c r="B228" s="163"/>
      <c r="C228" s="244"/>
      <c r="D228" s="17"/>
      <c r="E228" s="86" t="s">
        <v>353</v>
      </c>
      <c r="F228" s="113">
        <v>0</v>
      </c>
      <c r="G228" s="244"/>
      <c r="H228" s="17"/>
      <c r="I228" s="86" t="s">
        <v>353</v>
      </c>
      <c r="J228" s="113">
        <v>0</v>
      </c>
      <c r="L228" s="11"/>
      <c r="M228" s="11"/>
      <c r="N228" s="408"/>
    </row>
    <row r="229" spans="1:14" ht="16.5" hidden="1" thickBot="1">
      <c r="A229" s="244">
        <v>3</v>
      </c>
      <c r="B229" s="163"/>
      <c r="C229" s="244"/>
      <c r="D229" s="87"/>
      <c r="E229" s="88" t="s">
        <v>20</v>
      </c>
      <c r="F229" s="89" t="e">
        <f>SUM(F218:F228)</f>
        <v>#NAME?</v>
      </c>
      <c r="G229" s="244"/>
      <c r="H229" s="87"/>
      <c r="I229" s="88" t="s">
        <v>20</v>
      </c>
      <c r="J229" s="89" t="e">
        <f>SUM(J218:J228)</f>
        <v>#NAME?</v>
      </c>
      <c r="L229" s="11"/>
      <c r="M229" s="70"/>
      <c r="N229" s="406"/>
    </row>
    <row r="230" spans="1:14" ht="12.75" hidden="1">
      <c r="A230" s="244">
        <v>3</v>
      </c>
      <c r="B230" s="163"/>
      <c r="C230" s="244"/>
      <c r="D230" s="17">
        <v>703</v>
      </c>
      <c r="E230" s="90" t="s">
        <v>340</v>
      </c>
      <c r="F230" s="91" t="e">
        <f>(F229-F228)*0.0025</f>
        <v>#NAME?</v>
      </c>
      <c r="G230" s="244"/>
      <c r="H230" s="17">
        <v>703</v>
      </c>
      <c r="I230" s="90" t="s">
        <v>340</v>
      </c>
      <c r="J230" s="91" t="e">
        <f>(J229-J228)*0.0025</f>
        <v>#NAME?</v>
      </c>
      <c r="L230" s="11"/>
      <c r="M230" s="401"/>
      <c r="N230" s="402"/>
    </row>
    <row r="231" spans="1:14" ht="12.75" hidden="1">
      <c r="A231" s="244">
        <v>3</v>
      </c>
      <c r="B231" s="163"/>
      <c r="C231" s="244"/>
      <c r="D231" s="18">
        <v>707</v>
      </c>
      <c r="E231" s="92" t="s">
        <v>22</v>
      </c>
      <c r="F231" s="16" t="e">
        <f>(F229-F228)*0.03</f>
        <v>#NAME?</v>
      </c>
      <c r="G231" s="244"/>
      <c r="H231" s="18">
        <v>707</v>
      </c>
      <c r="I231" s="92" t="s">
        <v>22</v>
      </c>
      <c r="J231" s="16" t="e">
        <f>(J229-J228)*0.03</f>
        <v>#NAME?</v>
      </c>
      <c r="L231" s="11"/>
      <c r="M231" s="395"/>
      <c r="N231" s="402"/>
    </row>
    <row r="232" spans="1:14" ht="12.75" hidden="1">
      <c r="A232" s="244">
        <v>3</v>
      </c>
      <c r="B232" s="163"/>
      <c r="C232" s="244"/>
      <c r="D232" s="18">
        <v>709</v>
      </c>
      <c r="E232" s="92" t="s">
        <v>23</v>
      </c>
      <c r="F232" s="16" t="e">
        <f>(F229-F228)*0.0213</f>
        <v>#NAME?</v>
      </c>
      <c r="G232" s="244"/>
      <c r="H232" s="18">
        <v>709</v>
      </c>
      <c r="I232" s="92" t="s">
        <v>23</v>
      </c>
      <c r="J232" s="16" t="e">
        <f>(J229-J228)*0.0213</f>
        <v>#NAME?</v>
      </c>
      <c r="L232" s="11"/>
      <c r="M232" s="395"/>
      <c r="N232" s="402"/>
    </row>
    <row r="233" spans="1:14" ht="12.75" hidden="1">
      <c r="A233" s="244">
        <v>3</v>
      </c>
      <c r="B233" s="163"/>
      <c r="C233" s="244"/>
      <c r="D233" s="15">
        <v>710</v>
      </c>
      <c r="E233" s="92" t="s">
        <v>24</v>
      </c>
      <c r="F233" s="16" t="e">
        <f>(F229-F228)*0.00754</f>
        <v>#NAME?</v>
      </c>
      <c r="G233" s="244"/>
      <c r="H233" s="15">
        <v>710</v>
      </c>
      <c r="I233" s="92" t="s">
        <v>24</v>
      </c>
      <c r="J233" s="16" t="e">
        <f>(J229-J228)*0.00754</f>
        <v>#NAME?</v>
      </c>
      <c r="L233" s="395"/>
      <c r="M233" s="395"/>
      <c r="N233" s="402"/>
    </row>
    <row r="234" spans="1:14" ht="12.75" hidden="1">
      <c r="A234" s="244">
        <v>3</v>
      </c>
      <c r="B234" s="163"/>
      <c r="C234" s="244"/>
      <c r="D234" s="15">
        <v>713</v>
      </c>
      <c r="E234" s="92" t="s">
        <v>25</v>
      </c>
      <c r="F234" s="16" t="e">
        <f>(F229-F228)*0.007</f>
        <v>#NAME?</v>
      </c>
      <c r="G234" s="244"/>
      <c r="H234" s="15">
        <v>713</v>
      </c>
      <c r="I234" s="92" t="s">
        <v>25</v>
      </c>
      <c r="J234" s="16" t="e">
        <f>(J229-J228)*0.007</f>
        <v>#NAME?</v>
      </c>
      <c r="L234" s="395"/>
      <c r="M234" s="395"/>
      <c r="N234" s="402"/>
    </row>
    <row r="235" spans="1:14" ht="13.5" hidden="1" thickBot="1">
      <c r="A235" s="244">
        <v>3</v>
      </c>
      <c r="B235" s="163"/>
      <c r="C235" s="244"/>
      <c r="D235" s="15"/>
      <c r="E235" s="93" t="s">
        <v>26</v>
      </c>
      <c r="F235" s="43">
        <v>0</v>
      </c>
      <c r="G235" s="244"/>
      <c r="H235" s="15"/>
      <c r="I235" s="93" t="s">
        <v>26</v>
      </c>
      <c r="J235" s="43">
        <v>0</v>
      </c>
      <c r="L235" s="395"/>
      <c r="M235" s="395"/>
      <c r="N235" s="409"/>
    </row>
    <row r="236" spans="1:14" ht="16.5" hidden="1" thickBot="1">
      <c r="A236" s="244">
        <v>3</v>
      </c>
      <c r="B236" s="163"/>
      <c r="C236" s="244"/>
      <c r="D236" s="94"/>
      <c r="E236" s="88" t="s">
        <v>27</v>
      </c>
      <c r="F236" s="89" t="e">
        <f>SUM(F230:F235)</f>
        <v>#NAME?</v>
      </c>
      <c r="G236" s="244"/>
      <c r="H236" s="94"/>
      <c r="I236" s="88" t="s">
        <v>27</v>
      </c>
      <c r="J236" s="89" t="e">
        <f>SUM(J230:J235)</f>
        <v>#NAME?</v>
      </c>
      <c r="L236" s="11"/>
      <c r="M236" s="70"/>
      <c r="N236" s="406"/>
    </row>
    <row r="237" spans="1:14" ht="13.5" hidden="1" thickBot="1">
      <c r="A237" s="244">
        <v>3</v>
      </c>
      <c r="B237" s="163"/>
      <c r="C237" s="244"/>
      <c r="D237" s="95"/>
      <c r="E237" s="96"/>
      <c r="F237" s="97"/>
      <c r="G237" s="244"/>
      <c r="H237" s="95"/>
      <c r="I237" s="96"/>
      <c r="J237" s="97"/>
      <c r="L237" s="70"/>
      <c r="M237" s="11"/>
      <c r="N237" s="410"/>
    </row>
    <row r="238" spans="1:14" ht="16.5" hidden="1" thickBot="1">
      <c r="A238" s="244">
        <v>3</v>
      </c>
      <c r="B238" s="54"/>
      <c r="C238" s="244"/>
      <c r="D238" s="98"/>
      <c r="E238" s="99" t="s">
        <v>28</v>
      </c>
      <c r="F238" s="100" t="e">
        <f>F229-F236</f>
        <v>#NAME?</v>
      </c>
      <c r="G238" s="244"/>
      <c r="H238" s="98"/>
      <c r="I238" s="99" t="s">
        <v>28</v>
      </c>
      <c r="J238" s="100" t="e">
        <f>J229-J236</f>
        <v>#NAME?</v>
      </c>
      <c r="L238" s="225"/>
      <c r="M238" s="405"/>
      <c r="N238" s="411"/>
    </row>
    <row r="239" spans="1:7" s="221" customFormat="1" ht="12.75" hidden="1">
      <c r="A239" s="244">
        <v>3</v>
      </c>
      <c r="B239" s="163"/>
      <c r="C239" s="247"/>
      <c r="G239" s="253"/>
    </row>
    <row r="240" spans="1:17" ht="15.75" hidden="1">
      <c r="A240" s="244">
        <v>3</v>
      </c>
      <c r="B240" s="54"/>
      <c r="C240" s="54"/>
      <c r="D240" s="4"/>
      <c r="E240" s="179"/>
      <c r="F240" s="181"/>
      <c r="G240" s="10"/>
      <c r="H240" s="4"/>
      <c r="I240" s="179"/>
      <c r="J240" s="181"/>
      <c r="L240" s="4"/>
      <c r="M240" s="179"/>
      <c r="N240" s="181"/>
      <c r="Q240" s="244"/>
    </row>
    <row r="241" spans="1:17" ht="15.75" hidden="1">
      <c r="A241" s="244">
        <v>3</v>
      </c>
      <c r="B241" s="54"/>
      <c r="C241" s="54"/>
      <c r="D241" s="248"/>
      <c r="E241" s="249"/>
      <c r="F241" s="250"/>
      <c r="G241" s="54"/>
      <c r="H241" s="248"/>
      <c r="I241" s="249"/>
      <c r="J241" s="250"/>
      <c r="K241" s="244"/>
      <c r="L241" s="244"/>
      <c r="M241" s="244"/>
      <c r="N241" s="244"/>
      <c r="O241" s="244"/>
      <c r="P241" s="216"/>
      <c r="Q241" s="216"/>
    </row>
    <row r="242" spans="1:17" ht="15.75" hidden="1">
      <c r="A242" s="244">
        <v>3</v>
      </c>
      <c r="B242" s="54"/>
      <c r="C242" s="54"/>
      <c r="D242" s="248"/>
      <c r="E242" s="249"/>
      <c r="F242" s="250"/>
      <c r="G242" s="54"/>
      <c r="H242" s="248"/>
      <c r="I242" s="249"/>
      <c r="J242" s="251"/>
      <c r="K242" s="244"/>
      <c r="L242" s="244"/>
      <c r="M242" s="244"/>
      <c r="N242" s="244"/>
      <c r="O242" s="244"/>
      <c r="P242" s="216"/>
      <c r="Q242" s="216"/>
    </row>
    <row r="243" ht="12.75" hidden="1"/>
    <row r="244" s="221" customFormat="1" ht="12.75" hidden="1"/>
    <row r="245" spans="1:20" ht="16.5" hidden="1" thickBot="1">
      <c r="A245" s="221">
        <v>4</v>
      </c>
      <c r="F245" t="s">
        <v>371</v>
      </c>
      <c r="G245" s="10" t="s">
        <v>373</v>
      </c>
      <c r="H245" s="10" t="s">
        <v>374</v>
      </c>
      <c r="I245" s="127" t="s">
        <v>375</v>
      </c>
      <c r="J245" s="127" t="s">
        <v>376</v>
      </c>
      <c r="K245" s="127" t="s">
        <v>377</v>
      </c>
      <c r="L245" s="127" t="s">
        <v>378</v>
      </c>
      <c r="M245" s="127" t="s">
        <v>379</v>
      </c>
      <c r="N245" s="127" t="s">
        <v>380</v>
      </c>
      <c r="O245" s="131" t="s">
        <v>381</v>
      </c>
      <c r="P245" s="131">
        <v>1</v>
      </c>
      <c r="Q245" s="131">
        <v>2</v>
      </c>
      <c r="R245" s="131">
        <v>3</v>
      </c>
      <c r="S245" s="131">
        <v>4</v>
      </c>
      <c r="T245" s="131">
        <v>5</v>
      </c>
    </row>
    <row r="246" spans="1:20" ht="15.75" hidden="1">
      <c r="A246" s="221">
        <v>4</v>
      </c>
      <c r="E246" s="118">
        <v>0</v>
      </c>
      <c r="F246" s="352" t="e">
        <f aca="true" t="shared" si="42" ref="F246:F257">IF(puntosproljorvarios4&lt;620,T246,O246)</f>
        <v>#NAME?</v>
      </c>
      <c r="G246" s="346">
        <v>409</v>
      </c>
      <c r="H246" s="346">
        <v>99</v>
      </c>
      <c r="I246" s="346">
        <v>0</v>
      </c>
      <c r="J246" s="346">
        <v>0</v>
      </c>
      <c r="K246" s="346">
        <v>0</v>
      </c>
      <c r="L246" s="346">
        <v>0</v>
      </c>
      <c r="M246" s="346">
        <v>99</v>
      </c>
      <c r="N246" s="346">
        <v>99</v>
      </c>
      <c r="O246" s="132">
        <f aca="true" t="shared" si="43" ref="O246:O257">IF(punbasjubvarios4&gt;971,N246,M246)</f>
        <v>99</v>
      </c>
      <c r="P246" s="132">
        <f aca="true" t="shared" si="44" ref="P246:P257">IF(punbasjubvarios4&lt;972,G246,H246)</f>
        <v>99</v>
      </c>
      <c r="Q246" s="132">
        <f aca="true" t="shared" si="45" ref="Q246:Q257">IF(punbasjubvarios4&lt;1170,P246,I246)</f>
        <v>0</v>
      </c>
      <c r="R246" s="132">
        <f aca="true" t="shared" si="46" ref="R246:R257">IF(punbasjubvarios4&lt;1401,Q246,J246)</f>
        <v>0</v>
      </c>
      <c r="S246" s="132">
        <f aca="true" t="shared" si="47" ref="S246:S257">IF(punbasjubvarios4&lt;1943,R246,K246)</f>
        <v>0</v>
      </c>
      <c r="T246" s="132">
        <f aca="true" t="shared" si="48" ref="T246:T257">IF(punbasjubvarios4&lt;=2220,S246,L246)</f>
        <v>0</v>
      </c>
    </row>
    <row r="247" spans="1:20" ht="15.75" hidden="1">
      <c r="A247" s="221">
        <v>4</v>
      </c>
      <c r="E247" s="119">
        <v>0.1</v>
      </c>
      <c r="F247" s="352" t="e">
        <f t="shared" si="42"/>
        <v>#NAME?</v>
      </c>
      <c r="G247" s="346">
        <v>581</v>
      </c>
      <c r="H247" s="346">
        <v>112</v>
      </c>
      <c r="I247" s="346">
        <v>0</v>
      </c>
      <c r="J247" s="346">
        <v>0</v>
      </c>
      <c r="K247" s="346">
        <v>0</v>
      </c>
      <c r="L247" s="346">
        <v>0</v>
      </c>
      <c r="M247" s="346">
        <v>112</v>
      </c>
      <c r="N247" s="346">
        <v>112</v>
      </c>
      <c r="O247" s="132">
        <f t="shared" si="43"/>
        <v>112</v>
      </c>
      <c r="P247" s="132">
        <f t="shared" si="44"/>
        <v>112</v>
      </c>
      <c r="Q247" s="132">
        <f t="shared" si="45"/>
        <v>0</v>
      </c>
      <c r="R247" s="132">
        <f t="shared" si="46"/>
        <v>0</v>
      </c>
      <c r="S247" s="132">
        <f t="shared" si="47"/>
        <v>0</v>
      </c>
      <c r="T247" s="132">
        <f t="shared" si="48"/>
        <v>0</v>
      </c>
    </row>
    <row r="248" spans="1:20" ht="15.75" hidden="1">
      <c r="A248" s="221">
        <v>4</v>
      </c>
      <c r="E248" s="120">
        <v>0.15</v>
      </c>
      <c r="F248" s="352" t="e">
        <f t="shared" si="42"/>
        <v>#NAME?</v>
      </c>
      <c r="G248" s="346">
        <v>705</v>
      </c>
      <c r="H248" s="346">
        <v>224</v>
      </c>
      <c r="I248" s="346">
        <v>298</v>
      </c>
      <c r="J248" s="346">
        <v>240</v>
      </c>
      <c r="K248" s="346">
        <v>224</v>
      </c>
      <c r="L248" s="346">
        <v>0</v>
      </c>
      <c r="M248" s="346">
        <v>273</v>
      </c>
      <c r="N248" s="346">
        <v>273</v>
      </c>
      <c r="O248" s="132">
        <f t="shared" si="43"/>
        <v>273</v>
      </c>
      <c r="P248" s="132">
        <f t="shared" si="44"/>
        <v>224</v>
      </c>
      <c r="Q248" s="132">
        <f t="shared" si="45"/>
        <v>298</v>
      </c>
      <c r="R248" s="132">
        <f t="shared" si="46"/>
        <v>240</v>
      </c>
      <c r="S248" s="132">
        <f t="shared" si="47"/>
        <v>240</v>
      </c>
      <c r="T248" s="132">
        <f t="shared" si="48"/>
        <v>240</v>
      </c>
    </row>
    <row r="249" spans="1:20" ht="15.75" hidden="1">
      <c r="A249" s="221">
        <v>4</v>
      </c>
      <c r="E249" s="120">
        <v>0.3</v>
      </c>
      <c r="F249" s="352" t="e">
        <f t="shared" si="42"/>
        <v>#NAME?</v>
      </c>
      <c r="G249" s="346">
        <v>733</v>
      </c>
      <c r="H249" s="346">
        <v>242</v>
      </c>
      <c r="I249" s="346">
        <v>298</v>
      </c>
      <c r="J249" s="346">
        <v>240</v>
      </c>
      <c r="K249" s="346">
        <v>224</v>
      </c>
      <c r="L249" s="346">
        <v>0</v>
      </c>
      <c r="M249" s="346">
        <v>472</v>
      </c>
      <c r="N249" s="346">
        <v>435</v>
      </c>
      <c r="O249" s="132">
        <f t="shared" si="43"/>
        <v>435</v>
      </c>
      <c r="P249" s="132">
        <f t="shared" si="44"/>
        <v>242</v>
      </c>
      <c r="Q249" s="132">
        <f t="shared" si="45"/>
        <v>298</v>
      </c>
      <c r="R249" s="132">
        <f t="shared" si="46"/>
        <v>240</v>
      </c>
      <c r="S249" s="132">
        <f t="shared" si="47"/>
        <v>240</v>
      </c>
      <c r="T249" s="132">
        <f t="shared" si="48"/>
        <v>240</v>
      </c>
    </row>
    <row r="250" spans="1:20" ht="15.75" hidden="1">
      <c r="A250" s="221">
        <v>4</v>
      </c>
      <c r="E250" s="120">
        <v>0.4</v>
      </c>
      <c r="F250" s="352" t="e">
        <f t="shared" si="42"/>
        <v>#NAME?</v>
      </c>
      <c r="G250" s="346">
        <v>796</v>
      </c>
      <c r="H250" s="346">
        <v>261</v>
      </c>
      <c r="I250" s="346">
        <v>311</v>
      </c>
      <c r="J250" s="346">
        <v>248</v>
      </c>
      <c r="K250" s="346">
        <v>224</v>
      </c>
      <c r="L250" s="346">
        <v>174</v>
      </c>
      <c r="M250" s="346">
        <v>546</v>
      </c>
      <c r="N250" s="346">
        <v>497</v>
      </c>
      <c r="O250" s="132">
        <f t="shared" si="43"/>
        <v>497</v>
      </c>
      <c r="P250" s="132">
        <f t="shared" si="44"/>
        <v>261</v>
      </c>
      <c r="Q250" s="132">
        <f t="shared" si="45"/>
        <v>311</v>
      </c>
      <c r="R250" s="132">
        <f t="shared" si="46"/>
        <v>248</v>
      </c>
      <c r="S250" s="132">
        <f t="shared" si="47"/>
        <v>248</v>
      </c>
      <c r="T250" s="132">
        <f t="shared" si="48"/>
        <v>248</v>
      </c>
    </row>
    <row r="251" spans="1:20" ht="15.75" hidden="1">
      <c r="A251" s="221">
        <v>4</v>
      </c>
      <c r="E251" s="120">
        <v>0.5</v>
      </c>
      <c r="F251" s="352" t="e">
        <f t="shared" si="42"/>
        <v>#NAME?</v>
      </c>
      <c r="G251" s="346">
        <v>575</v>
      </c>
      <c r="H251" s="346">
        <v>286</v>
      </c>
      <c r="I251" s="346">
        <v>311</v>
      </c>
      <c r="J251" s="346">
        <v>248</v>
      </c>
      <c r="K251" s="346">
        <v>224</v>
      </c>
      <c r="L251" s="346">
        <v>174</v>
      </c>
      <c r="M251" s="346">
        <v>590</v>
      </c>
      <c r="N251" s="346">
        <v>540</v>
      </c>
      <c r="O251" s="132">
        <f t="shared" si="43"/>
        <v>540</v>
      </c>
      <c r="P251" s="132">
        <f t="shared" si="44"/>
        <v>286</v>
      </c>
      <c r="Q251" s="132">
        <f t="shared" si="45"/>
        <v>311</v>
      </c>
      <c r="R251" s="132">
        <f t="shared" si="46"/>
        <v>248</v>
      </c>
      <c r="S251" s="132">
        <f t="shared" si="47"/>
        <v>248</v>
      </c>
      <c r="T251" s="132">
        <f t="shared" si="48"/>
        <v>248</v>
      </c>
    </row>
    <row r="252" spans="1:20" ht="15.75" hidden="1">
      <c r="A252" s="221">
        <v>4</v>
      </c>
      <c r="E252" s="120">
        <v>0.6</v>
      </c>
      <c r="F252" s="352" t="e">
        <f t="shared" si="42"/>
        <v>#NAME?</v>
      </c>
      <c r="G252" s="346">
        <v>578</v>
      </c>
      <c r="H252" s="346">
        <v>323</v>
      </c>
      <c r="I252" s="346">
        <v>323</v>
      </c>
      <c r="J252" s="346">
        <v>252</v>
      </c>
      <c r="K252" s="346">
        <v>236</v>
      </c>
      <c r="L252" s="346">
        <v>199</v>
      </c>
      <c r="M252" s="346">
        <v>633</v>
      </c>
      <c r="N252" s="346">
        <v>559</v>
      </c>
      <c r="O252" s="132">
        <f t="shared" si="43"/>
        <v>559</v>
      </c>
      <c r="P252" s="132">
        <f t="shared" si="44"/>
        <v>323</v>
      </c>
      <c r="Q252" s="132">
        <f t="shared" si="45"/>
        <v>323</v>
      </c>
      <c r="R252" s="132">
        <f t="shared" si="46"/>
        <v>252</v>
      </c>
      <c r="S252" s="132">
        <f t="shared" si="47"/>
        <v>252</v>
      </c>
      <c r="T252" s="132">
        <f t="shared" si="48"/>
        <v>252</v>
      </c>
    </row>
    <row r="253" spans="1:20" ht="15.75" hidden="1">
      <c r="A253" s="221">
        <v>4</v>
      </c>
      <c r="E253" s="120">
        <v>0.7</v>
      </c>
      <c r="F253" s="352" t="e">
        <f t="shared" si="42"/>
        <v>#NAME?</v>
      </c>
      <c r="G253" s="346">
        <v>553</v>
      </c>
      <c r="H253" s="346">
        <v>354</v>
      </c>
      <c r="I253" s="346">
        <v>453</v>
      </c>
      <c r="J253" s="346">
        <v>286</v>
      </c>
      <c r="K253" s="346">
        <v>236</v>
      </c>
      <c r="L253" s="346">
        <v>199</v>
      </c>
      <c r="M253" s="346">
        <v>652</v>
      </c>
      <c r="N253" s="346">
        <v>578</v>
      </c>
      <c r="O253" s="132">
        <f t="shared" si="43"/>
        <v>578</v>
      </c>
      <c r="P253" s="132">
        <f t="shared" si="44"/>
        <v>354</v>
      </c>
      <c r="Q253" s="132">
        <f t="shared" si="45"/>
        <v>453</v>
      </c>
      <c r="R253" s="132">
        <f t="shared" si="46"/>
        <v>286</v>
      </c>
      <c r="S253" s="132">
        <f t="shared" si="47"/>
        <v>286</v>
      </c>
      <c r="T253" s="132">
        <f t="shared" si="48"/>
        <v>286</v>
      </c>
    </row>
    <row r="254" spans="1:20" ht="15.75" hidden="1">
      <c r="A254" s="221">
        <v>4</v>
      </c>
      <c r="E254" s="120">
        <v>0.8</v>
      </c>
      <c r="F254" s="352" t="e">
        <f t="shared" si="42"/>
        <v>#NAME?</v>
      </c>
      <c r="G254" s="346">
        <v>664</v>
      </c>
      <c r="H254" s="346">
        <v>428</v>
      </c>
      <c r="I254" s="346">
        <v>491</v>
      </c>
      <c r="J254" s="346">
        <v>422</v>
      </c>
      <c r="K254" s="346">
        <v>348</v>
      </c>
      <c r="L254" s="346">
        <v>224</v>
      </c>
      <c r="M254" s="346">
        <v>689</v>
      </c>
      <c r="N254" s="346">
        <v>590</v>
      </c>
      <c r="O254" s="132">
        <f t="shared" si="43"/>
        <v>590</v>
      </c>
      <c r="P254" s="132">
        <f t="shared" si="44"/>
        <v>428</v>
      </c>
      <c r="Q254" s="132">
        <f t="shared" si="45"/>
        <v>491</v>
      </c>
      <c r="R254" s="132">
        <f t="shared" si="46"/>
        <v>422</v>
      </c>
      <c r="S254" s="132">
        <f t="shared" si="47"/>
        <v>422</v>
      </c>
      <c r="T254" s="132">
        <f t="shared" si="48"/>
        <v>422</v>
      </c>
    </row>
    <row r="255" spans="1:20" ht="15.75" hidden="1">
      <c r="A255" s="221">
        <v>4</v>
      </c>
      <c r="E255" s="120">
        <v>1</v>
      </c>
      <c r="F255" s="352" t="e">
        <f t="shared" si="42"/>
        <v>#NAME?</v>
      </c>
      <c r="G255" s="346">
        <v>826</v>
      </c>
      <c r="H255" s="346">
        <v>540</v>
      </c>
      <c r="I255" s="346">
        <v>509</v>
      </c>
      <c r="J255" s="346">
        <v>410</v>
      </c>
      <c r="K255" s="346">
        <v>385</v>
      </c>
      <c r="L255" s="346">
        <v>224</v>
      </c>
      <c r="M255" s="346">
        <v>733</v>
      </c>
      <c r="N255" s="346">
        <v>609</v>
      </c>
      <c r="O255" s="132">
        <f t="shared" si="43"/>
        <v>609</v>
      </c>
      <c r="P255" s="132">
        <f t="shared" si="44"/>
        <v>540</v>
      </c>
      <c r="Q255" s="132">
        <f t="shared" si="45"/>
        <v>509</v>
      </c>
      <c r="R255" s="132">
        <f t="shared" si="46"/>
        <v>410</v>
      </c>
      <c r="S255" s="132">
        <f t="shared" si="47"/>
        <v>410</v>
      </c>
      <c r="T255" s="132">
        <f t="shared" si="48"/>
        <v>410</v>
      </c>
    </row>
    <row r="256" spans="1:20" ht="15.75" hidden="1">
      <c r="A256" s="221">
        <v>4</v>
      </c>
      <c r="E256" s="120">
        <v>1.1</v>
      </c>
      <c r="F256" s="352" t="e">
        <f t="shared" si="42"/>
        <v>#NAME?</v>
      </c>
      <c r="G256" s="346">
        <v>925</v>
      </c>
      <c r="H256" s="346">
        <v>615</v>
      </c>
      <c r="I256" s="346">
        <v>534</v>
      </c>
      <c r="J256" s="346">
        <v>410</v>
      </c>
      <c r="K256" s="346">
        <v>397</v>
      </c>
      <c r="L256" s="346">
        <v>236</v>
      </c>
      <c r="M256" s="346">
        <v>764</v>
      </c>
      <c r="N256" s="346">
        <v>627</v>
      </c>
      <c r="O256" s="132">
        <f t="shared" si="43"/>
        <v>627</v>
      </c>
      <c r="P256" s="132">
        <f t="shared" si="44"/>
        <v>615</v>
      </c>
      <c r="Q256" s="132">
        <f t="shared" si="45"/>
        <v>534</v>
      </c>
      <c r="R256" s="132">
        <f t="shared" si="46"/>
        <v>410</v>
      </c>
      <c r="S256" s="132">
        <f t="shared" si="47"/>
        <v>410</v>
      </c>
      <c r="T256" s="132">
        <f t="shared" si="48"/>
        <v>410</v>
      </c>
    </row>
    <row r="257" spans="1:20" ht="16.5" hidden="1" thickBot="1">
      <c r="A257" s="221">
        <v>4</v>
      </c>
      <c r="E257" s="121">
        <v>1.2</v>
      </c>
      <c r="F257" s="352" t="e">
        <f t="shared" si="42"/>
        <v>#NAME?</v>
      </c>
      <c r="G257" s="346">
        <v>956</v>
      </c>
      <c r="H257" s="346">
        <v>633</v>
      </c>
      <c r="I257" s="346">
        <v>596</v>
      </c>
      <c r="J257" s="346">
        <v>416</v>
      </c>
      <c r="K257" s="346">
        <v>410</v>
      </c>
      <c r="L257" s="346">
        <v>236</v>
      </c>
      <c r="M257" s="346">
        <v>770</v>
      </c>
      <c r="N257" s="346">
        <v>633</v>
      </c>
      <c r="O257" s="132">
        <f t="shared" si="43"/>
        <v>633</v>
      </c>
      <c r="P257" s="132">
        <f t="shared" si="44"/>
        <v>633</v>
      </c>
      <c r="Q257" s="132">
        <f t="shared" si="45"/>
        <v>596</v>
      </c>
      <c r="R257" s="132">
        <f t="shared" si="46"/>
        <v>416</v>
      </c>
      <c r="S257" s="132">
        <f t="shared" si="47"/>
        <v>416</v>
      </c>
      <c r="T257" s="132">
        <f t="shared" si="48"/>
        <v>416</v>
      </c>
    </row>
    <row r="258" spans="1:20" s="216" customFormat="1" ht="15.75" hidden="1">
      <c r="A258" s="221">
        <v>4</v>
      </c>
      <c r="E258" s="217"/>
      <c r="F258" s="140"/>
      <c r="G258" s="140"/>
      <c r="H258" s="218"/>
      <c r="I258" s="219"/>
      <c r="J258" s="219"/>
      <c r="K258" s="140"/>
      <c r="L258" s="11"/>
      <c r="M258" s="128"/>
      <c r="N258" s="128"/>
      <c r="O258" s="128"/>
      <c r="P258" s="128"/>
      <c r="Q258" s="128"/>
      <c r="R258" s="128"/>
      <c r="S258" s="128"/>
      <c r="T258" s="128"/>
    </row>
    <row r="259" spans="1:20" s="216" customFormat="1" ht="15.75" hidden="1">
      <c r="A259" s="221">
        <v>4</v>
      </c>
      <c r="E259" s="217"/>
      <c r="F259" s="140" t="s">
        <v>421</v>
      </c>
      <c r="G259" s="140" t="e">
        <f>LOOKUP(F292,porantvar4,cod06cargosvar4feb11)</f>
        <v>#NAME?</v>
      </c>
      <c r="H259" s="218"/>
      <c r="I259" s="219"/>
      <c r="J259" s="219"/>
      <c r="K259" s="140"/>
      <c r="L259" s="11"/>
      <c r="M259" s="128"/>
      <c r="N259" s="128"/>
      <c r="O259" s="128"/>
      <c r="P259" s="128"/>
      <c r="Q259" s="128"/>
      <c r="R259" s="128"/>
      <c r="S259" s="128"/>
      <c r="T259" s="128"/>
    </row>
    <row r="260" spans="1:20" s="216" customFormat="1" ht="15.75" hidden="1">
      <c r="A260" s="221"/>
      <c r="E260" s="217"/>
      <c r="F260" s="140"/>
      <c r="G260" s="140"/>
      <c r="H260" s="218"/>
      <c r="I260" s="219"/>
      <c r="J260" s="219"/>
      <c r="K260" s="140"/>
      <c r="L260" s="11"/>
      <c r="M260" s="128"/>
      <c r="N260" s="128"/>
      <c r="O260" s="128"/>
      <c r="P260" s="128"/>
      <c r="Q260" s="128"/>
      <c r="R260" s="128"/>
      <c r="S260" s="128"/>
      <c r="T260" s="128"/>
    </row>
    <row r="261" spans="1:20" ht="16.5" hidden="1" thickBot="1">
      <c r="A261" s="221">
        <v>4</v>
      </c>
      <c r="F261" t="s">
        <v>371</v>
      </c>
      <c r="G261" s="10" t="s">
        <v>373</v>
      </c>
      <c r="H261" s="10" t="s">
        <v>374</v>
      </c>
      <c r="I261" s="127" t="s">
        <v>375</v>
      </c>
      <c r="J261" s="127" t="s">
        <v>376</v>
      </c>
      <c r="K261" s="127" t="s">
        <v>377</v>
      </c>
      <c r="L261" s="127" t="s">
        <v>378</v>
      </c>
      <c r="M261" s="127" t="s">
        <v>379</v>
      </c>
      <c r="N261" s="127" t="s">
        <v>380</v>
      </c>
      <c r="O261" s="131" t="s">
        <v>381</v>
      </c>
      <c r="P261" s="131">
        <v>1</v>
      </c>
      <c r="Q261" s="131">
        <v>2</v>
      </c>
      <c r="R261" s="131">
        <v>3</v>
      </c>
      <c r="S261" s="131">
        <v>4</v>
      </c>
      <c r="T261" s="131">
        <v>5</v>
      </c>
    </row>
    <row r="262" spans="1:20" ht="15.75" hidden="1">
      <c r="A262" s="221">
        <v>4</v>
      </c>
      <c r="E262" s="118">
        <v>0</v>
      </c>
      <c r="F262" s="352" t="e">
        <f aca="true" t="shared" si="49" ref="F262:F273">IF(puntosproljorvarios4&lt;620,T262,O262)</f>
        <v>#NAME?</v>
      </c>
      <c r="G262" s="10">
        <v>499</v>
      </c>
      <c r="H262" s="10">
        <v>121</v>
      </c>
      <c r="I262" s="10">
        <v>0</v>
      </c>
      <c r="J262" s="10">
        <v>0</v>
      </c>
      <c r="K262" s="10">
        <v>0</v>
      </c>
      <c r="L262" s="10">
        <v>0</v>
      </c>
      <c r="M262" s="10">
        <v>121</v>
      </c>
      <c r="N262" s="10">
        <v>121</v>
      </c>
      <c r="O262" s="132">
        <f aca="true" t="shared" si="50" ref="O262:O273">IF(punbasjubvarios4&gt;971,N262,M262)</f>
        <v>121</v>
      </c>
      <c r="P262" s="132">
        <f aca="true" t="shared" si="51" ref="P262:P273">IF(punbasjubvarios4&lt;972,G262,H262)</f>
        <v>121</v>
      </c>
      <c r="Q262" s="132">
        <f aca="true" t="shared" si="52" ref="Q262:Q273">IF(punbasjubvarios4&lt;1170,P262,I262)</f>
        <v>0</v>
      </c>
      <c r="R262" s="132">
        <f aca="true" t="shared" si="53" ref="R262:R273">IF(punbasjubvarios4&lt;1401,Q262,J262)</f>
        <v>0</v>
      </c>
      <c r="S262" s="132">
        <f aca="true" t="shared" si="54" ref="S262:S273">IF(punbasjubvarios4&lt;1943,R262,K262)</f>
        <v>0</v>
      </c>
      <c r="T262" s="132">
        <f aca="true" t="shared" si="55" ref="T262:T273">IF(punbasjubvarios4&lt;=2220,S262,L262)</f>
        <v>0</v>
      </c>
    </row>
    <row r="263" spans="1:20" ht="15.75" hidden="1">
      <c r="A263" s="221">
        <v>4</v>
      </c>
      <c r="E263" s="119">
        <v>0.1</v>
      </c>
      <c r="F263" s="352" t="e">
        <f t="shared" si="49"/>
        <v>#NAME?</v>
      </c>
      <c r="G263" s="10">
        <v>709</v>
      </c>
      <c r="H263" s="10">
        <v>137</v>
      </c>
      <c r="I263" s="10">
        <v>0</v>
      </c>
      <c r="J263" s="10">
        <v>0</v>
      </c>
      <c r="K263" s="10">
        <v>0</v>
      </c>
      <c r="L263" s="10">
        <v>0</v>
      </c>
      <c r="M263" s="10">
        <v>137</v>
      </c>
      <c r="N263" s="10">
        <v>137</v>
      </c>
      <c r="O263" s="132">
        <f t="shared" si="50"/>
        <v>137</v>
      </c>
      <c r="P263" s="132">
        <f t="shared" si="51"/>
        <v>137</v>
      </c>
      <c r="Q263" s="132">
        <f t="shared" si="52"/>
        <v>0</v>
      </c>
      <c r="R263" s="132">
        <f t="shared" si="53"/>
        <v>0</v>
      </c>
      <c r="S263" s="132">
        <f t="shared" si="54"/>
        <v>0</v>
      </c>
      <c r="T263" s="132">
        <f t="shared" si="55"/>
        <v>0</v>
      </c>
    </row>
    <row r="264" spans="1:20" ht="15.75" hidden="1">
      <c r="A264" s="221">
        <v>4</v>
      </c>
      <c r="E264" s="120">
        <v>0.15</v>
      </c>
      <c r="F264" s="352" t="e">
        <f t="shared" si="49"/>
        <v>#NAME?</v>
      </c>
      <c r="G264" s="10">
        <v>860</v>
      </c>
      <c r="H264" s="10">
        <v>273</v>
      </c>
      <c r="I264" s="10">
        <v>364</v>
      </c>
      <c r="J264" s="10">
        <v>293</v>
      </c>
      <c r="K264" s="10">
        <v>273</v>
      </c>
      <c r="L264" s="10">
        <v>0</v>
      </c>
      <c r="M264" s="10">
        <v>333</v>
      </c>
      <c r="N264" s="10">
        <v>333</v>
      </c>
      <c r="O264" s="132">
        <f t="shared" si="50"/>
        <v>333</v>
      </c>
      <c r="P264" s="132">
        <f t="shared" si="51"/>
        <v>273</v>
      </c>
      <c r="Q264" s="132">
        <f t="shared" si="52"/>
        <v>364</v>
      </c>
      <c r="R264" s="132">
        <f t="shared" si="53"/>
        <v>293</v>
      </c>
      <c r="S264" s="132">
        <f t="shared" si="54"/>
        <v>293</v>
      </c>
      <c r="T264" s="132">
        <f t="shared" si="55"/>
        <v>293</v>
      </c>
    </row>
    <row r="265" spans="1:20" ht="15.75" hidden="1">
      <c r="A265" s="221">
        <v>4</v>
      </c>
      <c r="E265" s="120">
        <v>0.3</v>
      </c>
      <c r="F265" s="352" t="e">
        <f t="shared" si="49"/>
        <v>#NAME?</v>
      </c>
      <c r="G265" s="10">
        <v>894</v>
      </c>
      <c r="H265" s="10">
        <v>295</v>
      </c>
      <c r="I265" s="10">
        <v>364</v>
      </c>
      <c r="J265" s="10">
        <v>293</v>
      </c>
      <c r="K265" s="10">
        <v>273</v>
      </c>
      <c r="L265" s="10">
        <v>0</v>
      </c>
      <c r="M265" s="10">
        <v>576</v>
      </c>
      <c r="N265" s="10">
        <v>531</v>
      </c>
      <c r="O265" s="132">
        <f t="shared" si="50"/>
        <v>531</v>
      </c>
      <c r="P265" s="132">
        <f t="shared" si="51"/>
        <v>295</v>
      </c>
      <c r="Q265" s="132">
        <f t="shared" si="52"/>
        <v>364</v>
      </c>
      <c r="R265" s="132">
        <f t="shared" si="53"/>
        <v>293</v>
      </c>
      <c r="S265" s="132">
        <f t="shared" si="54"/>
        <v>293</v>
      </c>
      <c r="T265" s="132">
        <f t="shared" si="55"/>
        <v>293</v>
      </c>
    </row>
    <row r="266" spans="1:20" ht="15.75" hidden="1">
      <c r="A266" s="221">
        <v>4</v>
      </c>
      <c r="E266" s="120">
        <v>0.4</v>
      </c>
      <c r="F266" s="352" t="e">
        <f t="shared" si="49"/>
        <v>#NAME?</v>
      </c>
      <c r="G266" s="10">
        <v>806</v>
      </c>
      <c r="H266" s="10">
        <v>318</v>
      </c>
      <c r="I266" s="10">
        <v>379</v>
      </c>
      <c r="J266" s="10">
        <v>303</v>
      </c>
      <c r="K266" s="10">
        <v>273</v>
      </c>
      <c r="L266" s="10">
        <v>212</v>
      </c>
      <c r="M266" s="10">
        <v>666</v>
      </c>
      <c r="N266" s="10">
        <v>606</v>
      </c>
      <c r="O266" s="132">
        <f t="shared" si="50"/>
        <v>606</v>
      </c>
      <c r="P266" s="132">
        <f t="shared" si="51"/>
        <v>318</v>
      </c>
      <c r="Q266" s="132">
        <f t="shared" si="52"/>
        <v>379</v>
      </c>
      <c r="R266" s="132">
        <f t="shared" si="53"/>
        <v>303</v>
      </c>
      <c r="S266" s="132">
        <f t="shared" si="54"/>
        <v>303</v>
      </c>
      <c r="T266" s="132">
        <f t="shared" si="55"/>
        <v>303</v>
      </c>
    </row>
    <row r="267" spans="1:20" ht="15.75" hidden="1">
      <c r="A267" s="221">
        <v>4</v>
      </c>
      <c r="E267" s="120">
        <v>0.5</v>
      </c>
      <c r="F267" s="352" t="e">
        <f t="shared" si="49"/>
        <v>#NAME?</v>
      </c>
      <c r="G267" s="10">
        <v>702</v>
      </c>
      <c r="H267" s="10">
        <v>349</v>
      </c>
      <c r="I267" s="10">
        <v>379</v>
      </c>
      <c r="J267" s="10">
        <v>303</v>
      </c>
      <c r="K267" s="10">
        <v>273</v>
      </c>
      <c r="L267" s="10">
        <v>212</v>
      </c>
      <c r="M267" s="10">
        <v>720</v>
      </c>
      <c r="N267" s="10">
        <v>659</v>
      </c>
      <c r="O267" s="132">
        <f t="shared" si="50"/>
        <v>659</v>
      </c>
      <c r="P267" s="132">
        <f t="shared" si="51"/>
        <v>349</v>
      </c>
      <c r="Q267" s="132">
        <f t="shared" si="52"/>
        <v>379</v>
      </c>
      <c r="R267" s="132">
        <f t="shared" si="53"/>
        <v>303</v>
      </c>
      <c r="S267" s="132">
        <f t="shared" si="54"/>
        <v>303</v>
      </c>
      <c r="T267" s="132">
        <f t="shared" si="55"/>
        <v>303</v>
      </c>
    </row>
    <row r="268" spans="1:20" ht="15.75" hidden="1">
      <c r="A268" s="221">
        <v>4</v>
      </c>
      <c r="E268" s="120">
        <v>0.6</v>
      </c>
      <c r="F268" s="352" t="e">
        <f t="shared" si="49"/>
        <v>#NAME?</v>
      </c>
      <c r="G268" s="10">
        <v>705</v>
      </c>
      <c r="H268" s="10">
        <v>394</v>
      </c>
      <c r="I268" s="10">
        <v>394</v>
      </c>
      <c r="J268" s="10">
        <v>307</v>
      </c>
      <c r="K268" s="10">
        <v>288</v>
      </c>
      <c r="L268" s="10">
        <v>243</v>
      </c>
      <c r="M268" s="10">
        <v>772</v>
      </c>
      <c r="N268" s="10">
        <v>682</v>
      </c>
      <c r="O268" s="132">
        <f t="shared" si="50"/>
        <v>682</v>
      </c>
      <c r="P268" s="132">
        <f t="shared" si="51"/>
        <v>394</v>
      </c>
      <c r="Q268" s="132">
        <f t="shared" si="52"/>
        <v>394</v>
      </c>
      <c r="R268" s="132">
        <f t="shared" si="53"/>
        <v>307</v>
      </c>
      <c r="S268" s="132">
        <f t="shared" si="54"/>
        <v>307</v>
      </c>
      <c r="T268" s="132">
        <f t="shared" si="55"/>
        <v>307</v>
      </c>
    </row>
    <row r="269" spans="1:20" ht="15.75" hidden="1">
      <c r="A269" s="221">
        <v>4</v>
      </c>
      <c r="E269" s="120">
        <v>0.7</v>
      </c>
      <c r="F269" s="352" t="e">
        <f t="shared" si="49"/>
        <v>#NAME?</v>
      </c>
      <c r="G269" s="10">
        <v>675</v>
      </c>
      <c r="H269" s="10">
        <v>432</v>
      </c>
      <c r="I269" s="10">
        <v>553</v>
      </c>
      <c r="J269" s="10">
        <v>349</v>
      </c>
      <c r="K269" s="10">
        <v>288</v>
      </c>
      <c r="L269" s="10">
        <v>243</v>
      </c>
      <c r="M269" s="10">
        <v>795</v>
      </c>
      <c r="N269" s="10">
        <v>705</v>
      </c>
      <c r="O269" s="132">
        <f t="shared" si="50"/>
        <v>705</v>
      </c>
      <c r="P269" s="132">
        <f t="shared" si="51"/>
        <v>432</v>
      </c>
      <c r="Q269" s="132">
        <f t="shared" si="52"/>
        <v>553</v>
      </c>
      <c r="R269" s="132">
        <f t="shared" si="53"/>
        <v>349</v>
      </c>
      <c r="S269" s="132">
        <f t="shared" si="54"/>
        <v>349</v>
      </c>
      <c r="T269" s="132">
        <f t="shared" si="55"/>
        <v>349</v>
      </c>
    </row>
    <row r="270" spans="1:20" ht="15.75" hidden="1">
      <c r="A270" s="221">
        <v>4</v>
      </c>
      <c r="E270" s="120">
        <v>0.8</v>
      </c>
      <c r="F270" s="352" t="e">
        <f t="shared" si="49"/>
        <v>#NAME?</v>
      </c>
      <c r="G270" s="10">
        <v>810</v>
      </c>
      <c r="H270" s="10">
        <v>522</v>
      </c>
      <c r="I270" s="10">
        <v>599</v>
      </c>
      <c r="J270" s="10">
        <v>515</v>
      </c>
      <c r="K270" s="10">
        <v>425</v>
      </c>
      <c r="L270" s="10">
        <v>273</v>
      </c>
      <c r="M270" s="10">
        <v>841</v>
      </c>
      <c r="N270" s="10">
        <v>720</v>
      </c>
      <c r="O270" s="132">
        <f t="shared" si="50"/>
        <v>720</v>
      </c>
      <c r="P270" s="132">
        <f t="shared" si="51"/>
        <v>522</v>
      </c>
      <c r="Q270" s="132">
        <f t="shared" si="52"/>
        <v>599</v>
      </c>
      <c r="R270" s="132">
        <f t="shared" si="53"/>
        <v>515</v>
      </c>
      <c r="S270" s="132">
        <f t="shared" si="54"/>
        <v>515</v>
      </c>
      <c r="T270" s="132">
        <f t="shared" si="55"/>
        <v>515</v>
      </c>
    </row>
    <row r="271" spans="1:20" ht="15.75" hidden="1">
      <c r="A271" s="221">
        <v>4</v>
      </c>
      <c r="E271" s="120">
        <v>1</v>
      </c>
      <c r="F271" s="352" t="e">
        <f t="shared" si="49"/>
        <v>#NAME?</v>
      </c>
      <c r="G271" s="10">
        <v>1008</v>
      </c>
      <c r="H271" s="10">
        <v>659</v>
      </c>
      <c r="I271" s="10">
        <v>621</v>
      </c>
      <c r="J271" s="10">
        <v>500</v>
      </c>
      <c r="K271" s="10">
        <v>470</v>
      </c>
      <c r="L271" s="10">
        <v>273</v>
      </c>
      <c r="M271" s="10">
        <v>894</v>
      </c>
      <c r="N271" s="10">
        <v>743</v>
      </c>
      <c r="O271" s="132">
        <f t="shared" si="50"/>
        <v>743</v>
      </c>
      <c r="P271" s="132">
        <f t="shared" si="51"/>
        <v>659</v>
      </c>
      <c r="Q271" s="132">
        <f t="shared" si="52"/>
        <v>621</v>
      </c>
      <c r="R271" s="132">
        <f t="shared" si="53"/>
        <v>500</v>
      </c>
      <c r="S271" s="132">
        <f t="shared" si="54"/>
        <v>500</v>
      </c>
      <c r="T271" s="132">
        <f t="shared" si="55"/>
        <v>500</v>
      </c>
    </row>
    <row r="272" spans="1:20" ht="15.75" hidden="1">
      <c r="A272" s="221">
        <v>4</v>
      </c>
      <c r="E272" s="120">
        <v>1.1</v>
      </c>
      <c r="F272" s="352" t="e">
        <f t="shared" si="49"/>
        <v>#NAME?</v>
      </c>
      <c r="G272" s="381">
        <v>1129</v>
      </c>
      <c r="H272" s="382">
        <v>750</v>
      </c>
      <c r="I272" s="10">
        <v>651</v>
      </c>
      <c r="J272" s="10">
        <v>500</v>
      </c>
      <c r="K272" s="10">
        <v>484</v>
      </c>
      <c r="L272" s="10">
        <v>288</v>
      </c>
      <c r="M272" s="10">
        <v>932</v>
      </c>
      <c r="N272" s="10">
        <v>765</v>
      </c>
      <c r="O272" s="132">
        <f t="shared" si="50"/>
        <v>765</v>
      </c>
      <c r="P272" s="132">
        <f t="shared" si="51"/>
        <v>750</v>
      </c>
      <c r="Q272" s="132">
        <f t="shared" si="52"/>
        <v>651</v>
      </c>
      <c r="R272" s="132">
        <f t="shared" si="53"/>
        <v>500</v>
      </c>
      <c r="S272" s="132">
        <f t="shared" si="54"/>
        <v>500</v>
      </c>
      <c r="T272" s="132">
        <f t="shared" si="55"/>
        <v>500</v>
      </c>
    </row>
    <row r="273" spans="1:20" ht="16.5" hidden="1" thickBot="1">
      <c r="A273" s="221">
        <v>4</v>
      </c>
      <c r="E273" s="121">
        <v>1.2</v>
      </c>
      <c r="F273" s="352" t="e">
        <f t="shared" si="49"/>
        <v>#NAME?</v>
      </c>
      <c r="G273" s="10">
        <v>1166</v>
      </c>
      <c r="H273" s="10">
        <v>772</v>
      </c>
      <c r="I273" s="10">
        <v>727</v>
      </c>
      <c r="J273" s="10">
        <v>508</v>
      </c>
      <c r="K273" s="10">
        <v>500</v>
      </c>
      <c r="L273" s="10">
        <v>288</v>
      </c>
      <c r="M273" s="10">
        <v>939</v>
      </c>
      <c r="N273" s="10">
        <v>772</v>
      </c>
      <c r="O273" s="132">
        <f t="shared" si="50"/>
        <v>772</v>
      </c>
      <c r="P273" s="132">
        <f t="shared" si="51"/>
        <v>772</v>
      </c>
      <c r="Q273" s="132">
        <f t="shared" si="52"/>
        <v>727</v>
      </c>
      <c r="R273" s="132">
        <f t="shared" si="53"/>
        <v>508</v>
      </c>
      <c r="S273" s="132">
        <f t="shared" si="54"/>
        <v>508</v>
      </c>
      <c r="T273" s="132">
        <f t="shared" si="55"/>
        <v>508</v>
      </c>
    </row>
    <row r="274" spans="1:20" s="216" customFormat="1" ht="15.75" hidden="1">
      <c r="A274" s="221">
        <v>4</v>
      </c>
      <c r="E274" s="217"/>
      <c r="F274" s="140"/>
      <c r="G274" s="140"/>
      <c r="H274" s="218"/>
      <c r="I274" s="219"/>
      <c r="J274" s="219"/>
      <c r="K274" s="140"/>
      <c r="L274" s="11"/>
      <c r="M274" s="128"/>
      <c r="N274" s="128"/>
      <c r="O274" s="128"/>
      <c r="P274" s="128"/>
      <c r="Q274" s="128"/>
      <c r="R274" s="128"/>
      <c r="S274" s="128"/>
      <c r="T274" s="128"/>
    </row>
    <row r="275" spans="1:20" s="216" customFormat="1" ht="15.75" hidden="1">
      <c r="A275" s="221">
        <v>4</v>
      </c>
      <c r="E275" s="217"/>
      <c r="F275" s="140" t="s">
        <v>422</v>
      </c>
      <c r="G275" s="140" t="e">
        <f>LOOKUP(F292,porantvar4,cod06cargosvar4mar11)</f>
        <v>#NAME?</v>
      </c>
      <c r="H275" s="218"/>
      <c r="I275" s="219"/>
      <c r="J275" s="219"/>
      <c r="K275" s="140"/>
      <c r="L275" s="11"/>
      <c r="M275" s="128"/>
      <c r="N275" s="128"/>
      <c r="O275" s="128"/>
      <c r="P275" s="128"/>
      <c r="Q275" s="128"/>
      <c r="R275" s="128"/>
      <c r="S275" s="128"/>
      <c r="T275" s="128"/>
    </row>
    <row r="276" spans="1:20" s="216" customFormat="1" ht="15.75" hidden="1">
      <c r="A276" s="221"/>
      <c r="E276" s="217"/>
      <c r="F276" s="140"/>
      <c r="G276" s="140"/>
      <c r="H276" s="218"/>
      <c r="I276" s="219"/>
      <c r="J276" s="219"/>
      <c r="K276" s="140"/>
      <c r="L276" s="11"/>
      <c r="M276" s="128"/>
      <c r="N276" s="128"/>
      <c r="O276" s="128"/>
      <c r="P276" s="128"/>
      <c r="Q276" s="128"/>
      <c r="R276" s="128"/>
      <c r="S276" s="128"/>
      <c r="T276" s="128"/>
    </row>
    <row r="277" spans="1:20" s="216" customFormat="1" ht="15.75" hidden="1">
      <c r="A277" s="221"/>
      <c r="E277" s="217"/>
      <c r="F277" s="140"/>
      <c r="G277" s="140"/>
      <c r="H277" s="218"/>
      <c r="I277" s="219"/>
      <c r="J277" s="219"/>
      <c r="K277" s="140"/>
      <c r="L277" s="11"/>
      <c r="M277" s="128"/>
      <c r="N277" s="128"/>
      <c r="O277" s="128"/>
      <c r="P277" s="128"/>
      <c r="Q277" s="128"/>
      <c r="R277" s="128"/>
      <c r="S277" s="128"/>
      <c r="T277" s="128"/>
    </row>
    <row r="278" s="221" customFormat="1" ht="12.75" hidden="1">
      <c r="A278" s="221">
        <v>4</v>
      </c>
    </row>
    <row r="279" ht="12.75" hidden="1">
      <c r="A279" s="221">
        <v>4</v>
      </c>
    </row>
    <row r="280" spans="1:15" ht="12.75">
      <c r="A280" s="255">
        <v>4</v>
      </c>
      <c r="B280" s="256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</row>
    <row r="281" spans="1:17" ht="20.25">
      <c r="A281" s="255">
        <v>4</v>
      </c>
      <c r="B281" s="168"/>
      <c r="C281" s="169"/>
      <c r="D281" s="169"/>
      <c r="E281" s="75" t="s">
        <v>366</v>
      </c>
      <c r="F281" s="10"/>
      <c r="G281" s="10"/>
      <c r="H281" s="169"/>
      <c r="I281" s="169"/>
      <c r="J281" s="169"/>
      <c r="K281" s="169"/>
      <c r="L281" s="169"/>
      <c r="M281" s="169"/>
      <c r="N281" s="167"/>
      <c r="O281" s="263"/>
      <c r="P281" s="140"/>
      <c r="Q281" s="140"/>
    </row>
    <row r="282" spans="1:17" ht="12.75">
      <c r="A282" s="255">
        <v>4</v>
      </c>
      <c r="B282" s="168"/>
      <c r="C282" s="168"/>
      <c r="D282" s="168"/>
      <c r="E282" s="168"/>
      <c r="F282" s="168"/>
      <c r="G282" s="168"/>
      <c r="H282" s="258"/>
      <c r="I282" s="168"/>
      <c r="J282" s="168"/>
      <c r="K282" s="168"/>
      <c r="L282" s="168"/>
      <c r="M282" s="168"/>
      <c r="N282" s="167"/>
      <c r="O282" s="263"/>
      <c r="P282" s="140"/>
      <c r="Q282" s="140"/>
    </row>
    <row r="283" spans="1:17" ht="12.75">
      <c r="A283" s="255">
        <v>4</v>
      </c>
      <c r="B283" s="256"/>
      <c r="C283" s="256"/>
      <c r="D283" s="39" t="s">
        <v>36</v>
      </c>
      <c r="E283" s="39" t="s">
        <v>333</v>
      </c>
      <c r="F283" s="39" t="s">
        <v>334</v>
      </c>
      <c r="G283" s="39" t="s">
        <v>335</v>
      </c>
      <c r="H283" s="39" t="s">
        <v>336</v>
      </c>
      <c r="I283" s="95" t="s">
        <v>382</v>
      </c>
      <c r="J283" s="415" t="s">
        <v>423</v>
      </c>
      <c r="K283" s="168"/>
      <c r="L283" s="168"/>
      <c r="M283" s="168"/>
      <c r="N283" s="167"/>
      <c r="O283" s="263"/>
      <c r="P283" s="140"/>
      <c r="Q283" s="140"/>
    </row>
    <row r="284" spans="1:17" ht="16.5" thickBot="1">
      <c r="A284" s="255">
        <v>4</v>
      </c>
      <c r="B284" s="256"/>
      <c r="C284" s="256"/>
      <c r="D284" s="112">
        <v>727</v>
      </c>
      <c r="E284" s="76">
        <f>LOOKUP(D284,[0]!numerocargo,[0]!puntosbasicoscargo)</f>
        <v>1600</v>
      </c>
      <c r="F284" s="76" t="e">
        <f>LOOKUP(D284,[0]!numerocargo,[0]!tardifcargo)</f>
        <v>#NAME?</v>
      </c>
      <c r="G284" s="76">
        <f>LOOKUP(D284,[0]!numerocargo,[0]!proljorcargo)</f>
        <v>1688</v>
      </c>
      <c r="H284" s="76" t="e">
        <f>LOOKUP(D284,[0]!numerocargo,[0]!jorcomcargo)</f>
        <v>#NAME?</v>
      </c>
      <c r="I284" s="39">
        <f>LOOKUP(D284,Cargos!A3:A317,puntoscompbasico)</f>
        <v>88</v>
      </c>
      <c r="J284" s="414">
        <f>LOOKUP(D284,Cargos!A3:A317,puntosadicdir)</f>
        <v>0</v>
      </c>
      <c r="K284" s="168"/>
      <c r="L284" s="168"/>
      <c r="M284" s="168"/>
      <c r="N284" s="167"/>
      <c r="O284" s="263"/>
      <c r="P284" s="140"/>
      <c r="Q284" s="140"/>
    </row>
    <row r="285" spans="1:17" ht="13.5" thickBot="1">
      <c r="A285" s="255">
        <v>4</v>
      </c>
      <c r="B285" s="256"/>
      <c r="C285" s="256"/>
      <c r="D285" s="77" t="s">
        <v>37</v>
      </c>
      <c r="E285" s="78" t="str">
        <f>LOOKUP(D284,[0]!numerocargo,[0]!nombrecargo)</f>
        <v> VICEDIRECTOR ESCUELA 2DA CATEGORIA</v>
      </c>
      <c r="F285" s="38"/>
      <c r="G285" s="38"/>
      <c r="H285" s="57"/>
      <c r="I285" s="168"/>
      <c r="J285" s="168"/>
      <c r="K285" s="168"/>
      <c r="L285" s="168"/>
      <c r="M285" s="168"/>
      <c r="N285" s="167"/>
      <c r="O285" s="263"/>
      <c r="P285" s="140"/>
      <c r="Q285" s="140"/>
    </row>
    <row r="286" spans="1:17" ht="13.5" thickBot="1">
      <c r="A286" s="255">
        <v>4</v>
      </c>
      <c r="B286" s="256"/>
      <c r="C286" s="256"/>
      <c r="D286" s="257"/>
      <c r="E286" s="258"/>
      <c r="F286" s="168"/>
      <c r="G286" s="168"/>
      <c r="H286" s="168"/>
      <c r="I286" s="123" t="s">
        <v>356</v>
      </c>
      <c r="J286" s="264"/>
      <c r="K286" s="264"/>
      <c r="L286" s="264"/>
      <c r="M286" s="168"/>
      <c r="N286" s="168"/>
      <c r="O286" s="168"/>
      <c r="P286" s="10"/>
      <c r="Q286" s="10"/>
    </row>
    <row r="287" spans="1:17" ht="19.5" thickBot="1" thickTop="1">
      <c r="A287" s="255">
        <v>4</v>
      </c>
      <c r="B287" s="256"/>
      <c r="C287" s="256"/>
      <c r="D287" s="141" t="s">
        <v>350</v>
      </c>
      <c r="E287" s="117"/>
      <c r="F287" s="117"/>
      <c r="G287" s="117"/>
      <c r="H287" s="142">
        <v>10</v>
      </c>
      <c r="I287" s="124">
        <f>H287/120</f>
        <v>0.08333333333333333</v>
      </c>
      <c r="J287" s="258"/>
      <c r="K287" s="258"/>
      <c r="L287" s="258"/>
      <c r="M287" s="168"/>
      <c r="N287" s="168"/>
      <c r="O287" s="168"/>
      <c r="P287" s="10"/>
      <c r="Q287" s="10"/>
    </row>
    <row r="288" spans="1:17" ht="17.25" thickBot="1" thickTop="1">
      <c r="A288" s="255">
        <v>4</v>
      </c>
      <c r="B288" s="257"/>
      <c r="C288" s="258"/>
      <c r="D288" s="168"/>
      <c r="E288" s="168"/>
      <c r="F288" s="325"/>
      <c r="G288" s="168"/>
      <c r="H288" s="426"/>
      <c r="I288" s="168"/>
      <c r="J288" s="168"/>
      <c r="K288" s="168"/>
      <c r="L288" s="168"/>
      <c r="M288" s="168"/>
      <c r="N288" s="168"/>
      <c r="O288" s="168"/>
      <c r="P288" s="10"/>
      <c r="Q288" s="10"/>
    </row>
    <row r="289" spans="1:17" ht="17.25" thickBot="1" thickTop="1">
      <c r="A289" s="255">
        <v>4</v>
      </c>
      <c r="B289" s="257"/>
      <c r="C289" s="256"/>
      <c r="D289" s="115" t="s">
        <v>358</v>
      </c>
      <c r="E289" s="126">
        <v>0</v>
      </c>
      <c r="F289" s="325"/>
      <c r="G289" s="168"/>
      <c r="H289" s="258"/>
      <c r="I289" s="168"/>
      <c r="J289" s="168"/>
      <c r="K289" s="168"/>
      <c r="L289" s="168"/>
      <c r="M289" s="168"/>
      <c r="N289" s="168"/>
      <c r="O289" s="168"/>
      <c r="P289" s="10"/>
      <c r="Q289" s="10"/>
    </row>
    <row r="290" spans="1:17" ht="14.25" thickBot="1" thickTop="1">
      <c r="A290" s="255">
        <v>4</v>
      </c>
      <c r="B290" s="257"/>
      <c r="C290" s="258"/>
      <c r="D290" s="168"/>
      <c r="E290" s="168"/>
      <c r="F290" s="168"/>
      <c r="G290" s="168"/>
      <c r="H290" s="258"/>
      <c r="I290" s="168"/>
      <c r="J290" s="168"/>
      <c r="K290" s="168"/>
      <c r="L290" s="168"/>
      <c r="M290" s="168"/>
      <c r="N290" s="168"/>
      <c r="O290" s="168"/>
      <c r="P290" s="10"/>
      <c r="Q290" s="10"/>
    </row>
    <row r="291" spans="1:17" ht="16.5" thickBot="1">
      <c r="A291" s="255">
        <v>4</v>
      </c>
      <c r="B291" s="168"/>
      <c r="C291" s="169"/>
      <c r="D291" s="79" t="s">
        <v>13</v>
      </c>
      <c r="E291" s="38"/>
      <c r="F291" s="80" t="e">
        <f>E284*indicesep2010</f>
        <v>#NAME?</v>
      </c>
      <c r="G291" s="10"/>
      <c r="H291" s="10"/>
      <c r="I291" s="169"/>
      <c r="J291" s="169"/>
      <c r="K291" s="169"/>
      <c r="L291" s="169"/>
      <c r="M291" s="170"/>
      <c r="N291" s="170"/>
      <c r="O291" s="169"/>
      <c r="P291" s="10"/>
      <c r="Q291" s="10"/>
    </row>
    <row r="292" spans="1:17" ht="16.5" thickBot="1">
      <c r="A292" s="255">
        <v>4</v>
      </c>
      <c r="B292" s="168"/>
      <c r="C292" s="169"/>
      <c r="D292" s="79" t="s">
        <v>14</v>
      </c>
      <c r="E292" s="38"/>
      <c r="F292" s="114">
        <v>1.2</v>
      </c>
      <c r="G292" s="10" t="s">
        <v>15</v>
      </c>
      <c r="H292" s="10"/>
      <c r="I292" s="169"/>
      <c r="J292" s="169"/>
      <c r="K292" s="169"/>
      <c r="L292" s="169"/>
      <c r="M292" s="169"/>
      <c r="N292" s="170"/>
      <c r="O292" s="169"/>
      <c r="P292" s="10"/>
      <c r="Q292" s="10"/>
    </row>
    <row r="293" spans="1:17" ht="15.75">
      <c r="A293" s="255">
        <v>4</v>
      </c>
      <c r="B293" s="168"/>
      <c r="C293" s="169"/>
      <c r="D293" s="168"/>
      <c r="E293" s="168"/>
      <c r="F293" s="171"/>
      <c r="G293" s="169"/>
      <c r="H293" s="169"/>
      <c r="I293" s="169"/>
      <c r="J293" s="169"/>
      <c r="K293" s="169"/>
      <c r="L293" s="169"/>
      <c r="M293" s="169"/>
      <c r="N293" s="172"/>
      <c r="O293" s="169"/>
      <c r="P293" s="10"/>
      <c r="Q293" s="10"/>
    </row>
    <row r="294" spans="1:17" ht="18.75" hidden="1" thickBot="1">
      <c r="A294" s="255">
        <v>4</v>
      </c>
      <c r="B294" s="168"/>
      <c r="C294" s="169"/>
      <c r="D294" s="82" t="s">
        <v>16</v>
      </c>
      <c r="E294" s="82"/>
      <c r="F294" s="83">
        <f>E284</f>
        <v>1600</v>
      </c>
      <c r="G294" s="10" t="s">
        <v>17</v>
      </c>
      <c r="H294" s="169"/>
      <c r="I294" s="81" t="e">
        <f>H284+G284</f>
        <v>#NAME?</v>
      </c>
      <c r="J294" s="170"/>
      <c r="K294" s="170"/>
      <c r="L294" s="170"/>
      <c r="M294" s="168"/>
      <c r="N294" s="169"/>
      <c r="O294" s="169"/>
      <c r="P294" s="10"/>
      <c r="Q294" s="10"/>
    </row>
    <row r="295" spans="1:17" ht="15.75" hidden="1">
      <c r="A295" s="255">
        <v>4</v>
      </c>
      <c r="B295" s="168"/>
      <c r="C295" s="169"/>
      <c r="D295" s="168"/>
      <c r="E295" s="168"/>
      <c r="F295" s="171"/>
      <c r="G295" s="169"/>
      <c r="H295" s="169"/>
      <c r="I295" s="168"/>
      <c r="J295" s="168"/>
      <c r="K295" s="168"/>
      <c r="L295" s="168"/>
      <c r="M295" s="326"/>
      <c r="N295" s="169"/>
      <c r="O295" s="169"/>
      <c r="P295" s="10"/>
      <c r="Q295" s="10"/>
    </row>
    <row r="296" spans="1:15" ht="15.75" hidden="1">
      <c r="A296" s="255">
        <v>4</v>
      </c>
      <c r="B296" s="168"/>
      <c r="C296" s="169"/>
      <c r="D296" s="10"/>
      <c r="E296" s="133" t="s">
        <v>413</v>
      </c>
      <c r="F296" s="10"/>
      <c r="G296" s="138"/>
      <c r="H296" s="10"/>
      <c r="I296" s="133" t="s">
        <v>414</v>
      </c>
      <c r="J296" s="10"/>
      <c r="K296" s="256"/>
      <c r="L296" s="11"/>
      <c r="M296" s="397"/>
      <c r="N296" s="11"/>
      <c r="O296" s="256"/>
    </row>
    <row r="297" spans="1:15" ht="12.75" hidden="1">
      <c r="A297" s="255">
        <v>4</v>
      </c>
      <c r="B297" s="168"/>
      <c r="C297" s="256"/>
      <c r="D297" s="17">
        <v>400</v>
      </c>
      <c r="E297" s="17" t="s">
        <v>18</v>
      </c>
      <c r="F297" s="84" t="e">
        <f>punbasjubvarios4*indicesep2010*porjubvarcar*frac4</f>
        <v>#NAME?</v>
      </c>
      <c r="G297" s="256"/>
      <c r="H297" s="17">
        <v>400</v>
      </c>
      <c r="I297" s="17" t="s">
        <v>18</v>
      </c>
      <c r="J297" s="84" t="e">
        <f>punbasjubvarios4*indicemar2011*porjubvarcar*frac4</f>
        <v>#NAME?</v>
      </c>
      <c r="K297" s="256"/>
      <c r="L297" s="11"/>
      <c r="M297" s="11"/>
      <c r="N297" s="398"/>
      <c r="O297" s="256"/>
    </row>
    <row r="298" spans="1:15" ht="12.75" hidden="1">
      <c r="A298" s="255">
        <v>4</v>
      </c>
      <c r="B298" s="168"/>
      <c r="C298" s="256"/>
      <c r="D298" s="17">
        <v>542</v>
      </c>
      <c r="E298" s="17" t="s">
        <v>390</v>
      </c>
      <c r="F298" s="203" t="e">
        <f>compbasicovarios4*indicesep2010*porjubvarcar*frac4</f>
        <v>#NAME?</v>
      </c>
      <c r="G298" s="256"/>
      <c r="H298" s="17">
        <v>542</v>
      </c>
      <c r="I298" s="17" t="s">
        <v>390</v>
      </c>
      <c r="J298" s="203" t="e">
        <f>compbasicovarios4*indicemar2011*porjubvarcar*frac4</f>
        <v>#NAME?</v>
      </c>
      <c r="K298" s="256"/>
      <c r="L298" s="11"/>
      <c r="M298" s="11"/>
      <c r="N298" s="398"/>
      <c r="O298" s="256"/>
    </row>
    <row r="299" spans="1:15" ht="12.75" hidden="1">
      <c r="A299" s="255"/>
      <c r="B299" s="168"/>
      <c r="C299" s="256"/>
      <c r="D299" s="383"/>
      <c r="E299" s="383"/>
      <c r="F299" s="416"/>
      <c r="G299" s="256"/>
      <c r="H299" s="388" t="s">
        <v>411</v>
      </c>
      <c r="I299" s="389" t="s">
        <v>407</v>
      </c>
      <c r="J299" s="413" t="e">
        <f>adicdirvarios4*indicemar2011*porjubvarcar*frac4</f>
        <v>#NAME?</v>
      </c>
      <c r="K299" s="256"/>
      <c r="L299" s="11"/>
      <c r="M299" s="11"/>
      <c r="N299" s="398"/>
      <c r="O299" s="256"/>
    </row>
    <row r="300" spans="1:14" ht="12.75" hidden="1">
      <c r="A300" s="255">
        <v>4</v>
      </c>
      <c r="B300" s="168"/>
      <c r="C300" s="256"/>
      <c r="D300" s="17">
        <v>404</v>
      </c>
      <c r="E300" s="17" t="s">
        <v>338</v>
      </c>
      <c r="F300" s="84" t="e">
        <f>puntardifvar4*indicesep2010*porjubvarcar*frac4</f>
        <v>#NAME?</v>
      </c>
      <c r="G300" s="256"/>
      <c r="H300" s="17">
        <v>404</v>
      </c>
      <c r="I300" s="17" t="s">
        <v>338</v>
      </c>
      <c r="J300" s="84" t="e">
        <f>puntardifvar4*indicemar2011*porjubvarcar*frac4</f>
        <v>#NAME?</v>
      </c>
      <c r="L300" s="11"/>
      <c r="M300" s="11"/>
      <c r="N300" s="398"/>
    </row>
    <row r="301" spans="1:14" ht="12.75" hidden="1">
      <c r="A301" s="255">
        <v>4</v>
      </c>
      <c r="B301" s="168"/>
      <c r="C301" s="256"/>
      <c r="D301" s="17">
        <v>406</v>
      </c>
      <c r="E301" s="17" t="s">
        <v>19</v>
      </c>
      <c r="F301" s="84" t="e">
        <f>(F297+F298+F300+F303)*F292</f>
        <v>#NAME?</v>
      </c>
      <c r="G301" s="256"/>
      <c r="H301" s="17">
        <v>406</v>
      </c>
      <c r="I301" s="17" t="s">
        <v>19</v>
      </c>
      <c r="J301" s="84" t="e">
        <f>(J297+J298+J300+J303)*F292</f>
        <v>#NAME?</v>
      </c>
      <c r="L301" s="11"/>
      <c r="M301" s="11"/>
      <c r="N301" s="398"/>
    </row>
    <row r="302" spans="1:14" ht="12.75" hidden="1">
      <c r="A302" s="255">
        <v>4</v>
      </c>
      <c r="B302" s="168"/>
      <c r="C302" s="256"/>
      <c r="D302" s="17">
        <v>408</v>
      </c>
      <c r="E302" s="17" t="s">
        <v>357</v>
      </c>
      <c r="F302" s="84" t="e">
        <f>(F297+F298+F300+F303)*E289</f>
        <v>#NAME?</v>
      </c>
      <c r="G302" s="256"/>
      <c r="H302" s="17">
        <v>408</v>
      </c>
      <c r="I302" s="17" t="s">
        <v>357</v>
      </c>
      <c r="J302" s="84" t="e">
        <f>(J297+J298+J300+J303)*E289</f>
        <v>#NAME?</v>
      </c>
      <c r="L302" s="11"/>
      <c r="M302" s="11"/>
      <c r="N302" s="398"/>
    </row>
    <row r="303" spans="1:14" ht="12.75" hidden="1">
      <c r="A303" s="255">
        <v>4</v>
      </c>
      <c r="B303" s="168"/>
      <c r="C303" s="256"/>
      <c r="D303" s="17">
        <v>416</v>
      </c>
      <c r="E303" s="92" t="s">
        <v>339</v>
      </c>
      <c r="F303" s="84" t="e">
        <f>puntosproljorvarios4*proljorsep2010*porjubvarcar*frac4</f>
        <v>#NAME?</v>
      </c>
      <c r="G303" s="256"/>
      <c r="H303" s="17">
        <v>416</v>
      </c>
      <c r="I303" s="92" t="s">
        <v>339</v>
      </c>
      <c r="J303" s="84" t="e">
        <f>puntosproljorvarios4*proljormar2011*porjubvarcar*frac4</f>
        <v>#NAME?</v>
      </c>
      <c r="L303" s="11"/>
      <c r="M303" s="395"/>
      <c r="N303" s="398"/>
    </row>
    <row r="304" spans="1:14" ht="12.75" hidden="1">
      <c r="A304" s="255">
        <v>4</v>
      </c>
      <c r="B304" s="168"/>
      <c r="C304" s="256"/>
      <c r="D304" s="17">
        <v>432</v>
      </c>
      <c r="E304" s="17" t="s">
        <v>355</v>
      </c>
      <c r="F304" s="84" t="e">
        <f>cod06feb11varios4*porjubvarcar*frac4</f>
        <v>#NAME?</v>
      </c>
      <c r="G304" s="256"/>
      <c r="H304" s="17">
        <v>432</v>
      </c>
      <c r="I304" s="17" t="s">
        <v>355</v>
      </c>
      <c r="J304" s="84" t="e">
        <f>cod06mar11varios4*porjubvarcar*frac4</f>
        <v>#NAME?</v>
      </c>
      <c r="L304" s="11"/>
      <c r="M304" s="11"/>
      <c r="N304" s="398"/>
    </row>
    <row r="305" spans="1:14" ht="12.75" hidden="1">
      <c r="A305" s="255">
        <v>4</v>
      </c>
      <c r="B305" s="168"/>
      <c r="C305" s="256"/>
      <c r="D305" s="17">
        <v>434</v>
      </c>
      <c r="E305" s="17" t="s">
        <v>337</v>
      </c>
      <c r="F305" s="84" t="e">
        <f>(F297+F298+F300+F301+F303+F304+F302)*0.07*0.95</f>
        <v>#NAME?</v>
      </c>
      <c r="G305" s="256"/>
      <c r="H305" s="17">
        <v>434</v>
      </c>
      <c r="I305" s="17" t="s">
        <v>337</v>
      </c>
      <c r="J305" s="84" t="e">
        <f>(J297+J298+J300+J301+J303+J304+J302)*0.07*0.95</f>
        <v>#NAME?</v>
      </c>
      <c r="L305" s="11"/>
      <c r="M305" s="11"/>
      <c r="N305" s="398"/>
    </row>
    <row r="306" spans="1:14" ht="12.75" hidden="1">
      <c r="A306" s="255">
        <v>4</v>
      </c>
      <c r="B306" s="168"/>
      <c r="C306" s="256"/>
      <c r="D306" s="17"/>
      <c r="E306" s="86"/>
      <c r="F306" s="146"/>
      <c r="G306" s="256"/>
      <c r="H306" s="17"/>
      <c r="I306" s="86"/>
      <c r="J306" s="146"/>
      <c r="L306" s="11"/>
      <c r="M306" s="11"/>
      <c r="N306" s="398"/>
    </row>
    <row r="307" spans="1:14" ht="13.5" hidden="1" thickBot="1">
      <c r="A307" s="255">
        <v>4</v>
      </c>
      <c r="B307" s="168"/>
      <c r="C307" s="256"/>
      <c r="D307" s="17"/>
      <c r="E307" s="86" t="s">
        <v>353</v>
      </c>
      <c r="F307" s="113">
        <v>0</v>
      </c>
      <c r="G307" s="256"/>
      <c r="H307" s="17"/>
      <c r="I307" s="86" t="s">
        <v>353</v>
      </c>
      <c r="J307" s="113">
        <v>0</v>
      </c>
      <c r="L307" s="11"/>
      <c r="M307" s="11"/>
      <c r="N307" s="408"/>
    </row>
    <row r="308" spans="1:14" ht="16.5" hidden="1" thickBot="1">
      <c r="A308" s="255">
        <v>4</v>
      </c>
      <c r="B308" s="168"/>
      <c r="C308" s="256"/>
      <c r="D308" s="87"/>
      <c r="E308" s="88" t="s">
        <v>20</v>
      </c>
      <c r="F308" s="89" t="e">
        <f>SUM(F297:F307)</f>
        <v>#NAME?</v>
      </c>
      <c r="G308" s="256"/>
      <c r="H308" s="87"/>
      <c r="I308" s="88" t="s">
        <v>20</v>
      </c>
      <c r="J308" s="89" t="e">
        <f>SUM(J297:J307)</f>
        <v>#NAME?</v>
      </c>
      <c r="L308" s="11"/>
      <c r="M308" s="70"/>
      <c r="N308" s="406"/>
    </row>
    <row r="309" spans="1:14" ht="12.75" hidden="1">
      <c r="A309" s="255">
        <v>4</v>
      </c>
      <c r="B309" s="168"/>
      <c r="C309" s="256"/>
      <c r="D309" s="17">
        <v>703</v>
      </c>
      <c r="E309" s="90" t="s">
        <v>340</v>
      </c>
      <c r="F309" s="91" t="e">
        <f>(F308-F307)*0.0025</f>
        <v>#NAME?</v>
      </c>
      <c r="G309" s="256"/>
      <c r="H309" s="17">
        <v>703</v>
      </c>
      <c r="I309" s="90" t="s">
        <v>340</v>
      </c>
      <c r="J309" s="91" t="e">
        <f>(J308-J307)*0.0025</f>
        <v>#NAME?</v>
      </c>
      <c r="L309" s="11"/>
      <c r="M309" s="401"/>
      <c r="N309" s="402"/>
    </row>
    <row r="310" spans="1:14" ht="12.75" hidden="1">
      <c r="A310" s="255">
        <v>4</v>
      </c>
      <c r="B310" s="168"/>
      <c r="C310" s="256"/>
      <c r="D310" s="18">
        <v>707</v>
      </c>
      <c r="E310" s="92" t="s">
        <v>22</v>
      </c>
      <c r="F310" s="16" t="e">
        <f>(F308-F307)*0.03</f>
        <v>#NAME?</v>
      </c>
      <c r="G310" s="256"/>
      <c r="H310" s="18">
        <v>707</v>
      </c>
      <c r="I310" s="92" t="s">
        <v>22</v>
      </c>
      <c r="J310" s="16" t="e">
        <f>(J308-J307)*0.03</f>
        <v>#NAME?</v>
      </c>
      <c r="L310" s="11"/>
      <c r="M310" s="395"/>
      <c r="N310" s="402"/>
    </row>
    <row r="311" spans="1:14" ht="12.75" hidden="1">
      <c r="A311" s="255">
        <v>4</v>
      </c>
      <c r="B311" s="168"/>
      <c r="C311" s="256"/>
      <c r="D311" s="18">
        <v>709</v>
      </c>
      <c r="E311" s="92" t="s">
        <v>23</v>
      </c>
      <c r="F311" s="16" t="e">
        <f>(F308-F307)*0.0213</f>
        <v>#NAME?</v>
      </c>
      <c r="G311" s="256"/>
      <c r="H311" s="18">
        <v>709</v>
      </c>
      <c r="I311" s="92" t="s">
        <v>23</v>
      </c>
      <c r="J311" s="16" t="e">
        <f>(J308-J307)*0.0213</f>
        <v>#NAME?</v>
      </c>
      <c r="L311" s="11"/>
      <c r="M311" s="395"/>
      <c r="N311" s="402"/>
    </row>
    <row r="312" spans="1:14" ht="12.75" hidden="1">
      <c r="A312" s="255">
        <v>4</v>
      </c>
      <c r="B312" s="168"/>
      <c r="C312" s="256"/>
      <c r="D312" s="15">
        <v>710</v>
      </c>
      <c r="E312" s="92" t="s">
        <v>24</v>
      </c>
      <c r="F312" s="16" t="e">
        <f>(F308-F307)*0.00754</f>
        <v>#NAME?</v>
      </c>
      <c r="G312" s="256"/>
      <c r="H312" s="15">
        <v>710</v>
      </c>
      <c r="I312" s="92" t="s">
        <v>24</v>
      </c>
      <c r="J312" s="16" t="e">
        <f>(J308-J307)*0.00754</f>
        <v>#NAME?</v>
      </c>
      <c r="L312" s="395"/>
      <c r="M312" s="395"/>
      <c r="N312" s="402"/>
    </row>
    <row r="313" spans="1:14" ht="12.75" hidden="1">
      <c r="A313" s="255">
        <v>4</v>
      </c>
      <c r="B313" s="168"/>
      <c r="C313" s="256"/>
      <c r="D313" s="15">
        <v>713</v>
      </c>
      <c r="E313" s="92" t="s">
        <v>25</v>
      </c>
      <c r="F313" s="16" t="e">
        <f>(F308-F307)*0.007</f>
        <v>#NAME?</v>
      </c>
      <c r="G313" s="256"/>
      <c r="H313" s="15">
        <v>713</v>
      </c>
      <c r="I313" s="92" t="s">
        <v>25</v>
      </c>
      <c r="J313" s="16" t="e">
        <f>(J308-J307)*0.007</f>
        <v>#NAME?</v>
      </c>
      <c r="L313" s="395"/>
      <c r="M313" s="395"/>
      <c r="N313" s="402"/>
    </row>
    <row r="314" spans="1:14" ht="13.5" hidden="1" thickBot="1">
      <c r="A314" s="255">
        <v>4</v>
      </c>
      <c r="B314" s="168"/>
      <c r="C314" s="256"/>
      <c r="D314" s="15"/>
      <c r="E314" s="93" t="s">
        <v>26</v>
      </c>
      <c r="F314" s="43">
        <v>0</v>
      </c>
      <c r="G314" s="256"/>
      <c r="H314" s="15"/>
      <c r="I314" s="93" t="s">
        <v>26</v>
      </c>
      <c r="J314" s="43">
        <v>0</v>
      </c>
      <c r="L314" s="395"/>
      <c r="M314" s="395"/>
      <c r="N314" s="409"/>
    </row>
    <row r="315" spans="1:14" ht="16.5" hidden="1" thickBot="1">
      <c r="A315" s="255">
        <v>4</v>
      </c>
      <c r="B315" s="168"/>
      <c r="C315" s="256"/>
      <c r="D315" s="94"/>
      <c r="E315" s="88" t="s">
        <v>27</v>
      </c>
      <c r="F315" s="89" t="e">
        <f>SUM(F309:F314)</f>
        <v>#NAME?</v>
      </c>
      <c r="G315" s="256"/>
      <c r="H315" s="94"/>
      <c r="I315" s="88" t="s">
        <v>27</v>
      </c>
      <c r="J315" s="89" t="e">
        <f>SUM(J309:J314)</f>
        <v>#NAME?</v>
      </c>
      <c r="L315" s="11"/>
      <c r="M315" s="70"/>
      <c r="N315" s="406"/>
    </row>
    <row r="316" spans="1:14" ht="13.5" hidden="1" thickBot="1">
      <c r="A316" s="255">
        <v>4</v>
      </c>
      <c r="B316" s="168"/>
      <c r="C316" s="256"/>
      <c r="D316" s="95"/>
      <c r="E316" s="96"/>
      <c r="F316" s="97"/>
      <c r="G316" s="256"/>
      <c r="H316" s="95"/>
      <c r="I316" s="96"/>
      <c r="J316" s="97"/>
      <c r="L316" s="70"/>
      <c r="M316" s="11"/>
      <c r="N316" s="410"/>
    </row>
    <row r="317" spans="1:14" ht="16.5" hidden="1" thickBot="1">
      <c r="A317" s="255">
        <v>4</v>
      </c>
      <c r="B317" s="169"/>
      <c r="C317" s="256"/>
      <c r="D317" s="98"/>
      <c r="E317" s="99" t="s">
        <v>28</v>
      </c>
      <c r="F317" s="100" t="e">
        <f>F308-F315</f>
        <v>#NAME?</v>
      </c>
      <c r="G317" s="256"/>
      <c r="H317" s="98"/>
      <c r="I317" s="99" t="s">
        <v>28</v>
      </c>
      <c r="J317" s="100" t="e">
        <f>J308-J315</f>
        <v>#NAME?</v>
      </c>
      <c r="L317" s="225"/>
      <c r="M317" s="405"/>
      <c r="N317" s="411"/>
    </row>
    <row r="318" spans="1:7" s="221" customFormat="1" ht="12.75" hidden="1">
      <c r="A318" s="255">
        <v>4</v>
      </c>
      <c r="B318" s="168"/>
      <c r="C318" s="259"/>
      <c r="G318" s="255"/>
    </row>
    <row r="319" spans="1:15" ht="15.75" hidden="1">
      <c r="A319" s="255">
        <v>4</v>
      </c>
      <c r="B319" s="169"/>
      <c r="C319" s="169"/>
      <c r="D319" s="260"/>
      <c r="E319" s="261"/>
      <c r="F319" s="262"/>
      <c r="G319" s="169"/>
      <c r="H319" s="260"/>
      <c r="I319" s="261"/>
      <c r="J319" s="262"/>
      <c r="K319" s="256"/>
      <c r="L319" s="256"/>
      <c r="M319" s="256"/>
      <c r="N319" s="256"/>
      <c r="O319" s="256"/>
    </row>
    <row r="320" spans="1:17" ht="12.75">
      <c r="A320">
        <v>4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4"/>
      <c r="N320" s="11"/>
      <c r="O320" s="102"/>
      <c r="P320" s="10"/>
      <c r="Q320" s="10"/>
    </row>
    <row r="321" spans="2:17" ht="33.75">
      <c r="B321" s="10"/>
      <c r="C321" s="10"/>
      <c r="E321" s="10"/>
      <c r="F321" s="10"/>
      <c r="G321" s="309" t="s">
        <v>388</v>
      </c>
      <c r="H321" s="10"/>
      <c r="I321" s="10"/>
      <c r="J321" s="10"/>
      <c r="K321" s="10"/>
      <c r="L321" s="10"/>
      <c r="M321" s="14"/>
      <c r="N321" s="11"/>
      <c r="O321" s="102"/>
      <c r="P321" s="10"/>
      <c r="Q321" s="10"/>
    </row>
    <row r="322" spans="2:17" ht="13.5" thickBo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4"/>
      <c r="N322" s="11"/>
      <c r="O322" s="102"/>
      <c r="P322" s="10"/>
      <c r="Q322" s="10"/>
    </row>
    <row r="323" spans="5:11" ht="21" thickBot="1">
      <c r="E323" s="173" t="s">
        <v>362</v>
      </c>
      <c r="F323" s="174"/>
      <c r="G323" s="175"/>
      <c r="H323" s="176">
        <f>H51+H129+H208+H287</f>
        <v>120</v>
      </c>
      <c r="I323" s="177" t="s">
        <v>399</v>
      </c>
      <c r="J323" s="180"/>
      <c r="K323" s="180"/>
    </row>
    <row r="324" spans="5:11" ht="16.5" customHeight="1">
      <c r="E324" s="61"/>
      <c r="F324" s="339"/>
      <c r="G324" s="340"/>
      <c r="H324" s="427"/>
      <c r="I324" s="341"/>
      <c r="J324" s="61"/>
      <c r="K324" s="61"/>
    </row>
    <row r="325" spans="4:14" ht="15.75">
      <c r="D325" s="10"/>
      <c r="E325" s="133" t="s">
        <v>413</v>
      </c>
      <c r="F325" s="10"/>
      <c r="G325" s="138"/>
      <c r="H325" s="10"/>
      <c r="I325" s="133" t="s">
        <v>414</v>
      </c>
      <c r="J325" s="10"/>
      <c r="K325" s="216"/>
      <c r="L325" s="11"/>
      <c r="M325" s="397"/>
      <c r="N325" s="11"/>
    </row>
    <row r="326" spans="2:14" ht="12.75">
      <c r="B326" s="2"/>
      <c r="C326" s="10"/>
      <c r="D326" s="17">
        <v>400</v>
      </c>
      <c r="E326" s="17" t="s">
        <v>18</v>
      </c>
      <c r="F326" s="84" t="e">
        <f>F61+F139+F218+F297</f>
        <v>#NAME?</v>
      </c>
      <c r="G326" s="270"/>
      <c r="H326" s="17">
        <v>400</v>
      </c>
      <c r="I326" s="17" t="s">
        <v>18</v>
      </c>
      <c r="J326" s="84" t="e">
        <f aca="true" t="shared" si="56" ref="J326:J334">J61+J139+J218+J297</f>
        <v>#NAME?</v>
      </c>
      <c r="L326" s="11"/>
      <c r="M326" s="11"/>
      <c r="N326" s="398"/>
    </row>
    <row r="327" spans="2:14" ht="12.75">
      <c r="B327" s="2"/>
      <c r="C327" s="10"/>
      <c r="D327" s="17">
        <v>542</v>
      </c>
      <c r="E327" s="17" t="s">
        <v>390</v>
      </c>
      <c r="F327" s="84" t="e">
        <f>F62+F140+F219+F298</f>
        <v>#NAME?</v>
      </c>
      <c r="G327" s="270"/>
      <c r="H327" s="17">
        <v>542</v>
      </c>
      <c r="I327" s="17" t="s">
        <v>390</v>
      </c>
      <c r="J327" s="84" t="e">
        <f t="shared" si="56"/>
        <v>#NAME?</v>
      </c>
      <c r="L327" s="11"/>
      <c r="M327" s="11"/>
      <c r="N327" s="398"/>
    </row>
    <row r="328" spans="2:14" ht="12.75">
      <c r="B328" s="2"/>
      <c r="C328" s="10"/>
      <c r="D328" s="383"/>
      <c r="E328" s="383"/>
      <c r="F328" s="417"/>
      <c r="G328" s="270"/>
      <c r="H328" s="429" t="s">
        <v>425</v>
      </c>
      <c r="I328" s="429" t="s">
        <v>426</v>
      </c>
      <c r="J328" s="430" t="e">
        <f t="shared" si="56"/>
        <v>#NAME?</v>
      </c>
      <c r="L328" s="11"/>
      <c r="M328" s="11"/>
      <c r="N328" s="398"/>
    </row>
    <row r="329" spans="2:14" ht="12.75">
      <c r="B329" s="2"/>
      <c r="C329" s="10"/>
      <c r="D329" s="17">
        <v>404</v>
      </c>
      <c r="E329" s="17" t="s">
        <v>338</v>
      </c>
      <c r="F329" s="84" t="e">
        <f aca="true" t="shared" si="57" ref="F329:F334">F64+F142+F221+F300</f>
        <v>#NAME?</v>
      </c>
      <c r="G329" s="270"/>
      <c r="H329" s="17">
        <v>404</v>
      </c>
      <c r="I329" s="17" t="s">
        <v>338</v>
      </c>
      <c r="J329" s="84" t="e">
        <f t="shared" si="56"/>
        <v>#NAME?</v>
      </c>
      <c r="L329" s="11"/>
      <c r="M329" s="11"/>
      <c r="N329" s="398"/>
    </row>
    <row r="330" spans="2:14" ht="12.75">
      <c r="B330" s="2"/>
      <c r="C330" s="10"/>
      <c r="D330" s="17">
        <v>406</v>
      </c>
      <c r="E330" s="17" t="s">
        <v>19</v>
      </c>
      <c r="F330" s="84" t="e">
        <f t="shared" si="57"/>
        <v>#NAME?</v>
      </c>
      <c r="G330" s="270"/>
      <c r="H330" s="17">
        <v>406</v>
      </c>
      <c r="I330" s="17" t="s">
        <v>19</v>
      </c>
      <c r="J330" s="84" t="e">
        <f t="shared" si="56"/>
        <v>#NAME?</v>
      </c>
      <c r="L330" s="11"/>
      <c r="M330" s="11"/>
      <c r="N330" s="398"/>
    </row>
    <row r="331" spans="2:14" ht="12.75">
      <c r="B331" s="2"/>
      <c r="C331" s="10"/>
      <c r="D331" s="17">
        <v>408</v>
      </c>
      <c r="E331" s="17" t="s">
        <v>357</v>
      </c>
      <c r="F331" s="84" t="e">
        <f t="shared" si="57"/>
        <v>#NAME?</v>
      </c>
      <c r="G331" s="270"/>
      <c r="H331" s="17">
        <v>408</v>
      </c>
      <c r="I331" s="17" t="s">
        <v>357</v>
      </c>
      <c r="J331" s="84" t="e">
        <f t="shared" si="56"/>
        <v>#NAME?</v>
      </c>
      <c r="L331" s="11"/>
      <c r="M331" s="11"/>
      <c r="N331" s="398"/>
    </row>
    <row r="332" spans="2:14" ht="12.75">
      <c r="B332" s="2"/>
      <c r="C332" s="14"/>
      <c r="D332" s="17">
        <v>416</v>
      </c>
      <c r="E332" s="92" t="s">
        <v>339</v>
      </c>
      <c r="F332" s="84" t="e">
        <f t="shared" si="57"/>
        <v>#NAME?</v>
      </c>
      <c r="G332" s="270"/>
      <c r="H332" s="17">
        <v>416</v>
      </c>
      <c r="I332" s="92" t="s">
        <v>339</v>
      </c>
      <c r="J332" s="84" t="e">
        <f t="shared" si="56"/>
        <v>#NAME?</v>
      </c>
      <c r="L332" s="11"/>
      <c r="M332" s="395"/>
      <c r="N332" s="398"/>
    </row>
    <row r="333" spans="2:14" ht="12.75">
      <c r="B333" s="2"/>
      <c r="C333" s="14"/>
      <c r="D333" s="17">
        <v>432</v>
      </c>
      <c r="E333" s="17" t="s">
        <v>355</v>
      </c>
      <c r="F333" s="84" t="e">
        <f t="shared" si="57"/>
        <v>#NAME?</v>
      </c>
      <c r="G333" s="270"/>
      <c r="H333" s="17">
        <v>432</v>
      </c>
      <c r="I333" s="17" t="s">
        <v>355</v>
      </c>
      <c r="J333" s="84" t="e">
        <f t="shared" si="56"/>
        <v>#NAME?</v>
      </c>
      <c r="L333" s="11"/>
      <c r="M333" s="11"/>
      <c r="N333" s="398"/>
    </row>
    <row r="334" spans="2:14" ht="12.75">
      <c r="B334" s="2"/>
      <c r="C334" s="14"/>
      <c r="D334" s="17">
        <v>434</v>
      </c>
      <c r="E334" s="17" t="s">
        <v>337</v>
      </c>
      <c r="F334" s="84" t="e">
        <f t="shared" si="57"/>
        <v>#NAME?</v>
      </c>
      <c r="G334" s="270"/>
      <c r="H334" s="17">
        <v>434</v>
      </c>
      <c r="I334" s="17" t="s">
        <v>337</v>
      </c>
      <c r="J334" s="84" t="e">
        <f t="shared" si="56"/>
        <v>#NAME?</v>
      </c>
      <c r="L334" s="11"/>
      <c r="M334" s="11"/>
      <c r="N334" s="398"/>
    </row>
    <row r="335" spans="2:14" ht="13.5" thickBot="1">
      <c r="B335" s="2"/>
      <c r="C335" s="14"/>
      <c r="D335" s="17"/>
      <c r="E335" s="86" t="s">
        <v>353</v>
      </c>
      <c r="F335" s="308">
        <v>0</v>
      </c>
      <c r="G335" s="270"/>
      <c r="H335" s="17"/>
      <c r="I335" s="86" t="s">
        <v>353</v>
      </c>
      <c r="J335" s="308">
        <v>0</v>
      </c>
      <c r="L335" s="11"/>
      <c r="M335" s="11"/>
      <c r="N335" s="399"/>
    </row>
    <row r="336" spans="2:14" ht="13.5" thickBot="1">
      <c r="B336" s="2"/>
      <c r="C336" s="14"/>
      <c r="D336" s="87"/>
      <c r="E336" s="88" t="s">
        <v>20</v>
      </c>
      <c r="F336" s="227" t="e">
        <f>SUM(F326:F335)</f>
        <v>#NAME?</v>
      </c>
      <c r="G336" s="272"/>
      <c r="H336" s="87"/>
      <c r="I336" s="88" t="s">
        <v>20</v>
      </c>
      <c r="J336" s="227" t="e">
        <f>SUM(J326:J335)</f>
        <v>#NAME?</v>
      </c>
      <c r="L336" s="11"/>
      <c r="M336" s="70"/>
      <c r="N336" s="400"/>
    </row>
    <row r="337" spans="2:14" ht="12.75">
      <c r="B337" s="2"/>
      <c r="C337" s="14"/>
      <c r="D337" s="17">
        <v>703</v>
      </c>
      <c r="E337" s="90" t="s">
        <v>340</v>
      </c>
      <c r="F337" s="16" t="e">
        <f>F73+F151+F230+F309</f>
        <v>#NAME?</v>
      </c>
      <c r="G337" s="269"/>
      <c r="H337" s="17">
        <v>703</v>
      </c>
      <c r="I337" s="90" t="s">
        <v>340</v>
      </c>
      <c r="J337" s="16" t="e">
        <f>J73+J151+J230+J309</f>
        <v>#NAME?</v>
      </c>
      <c r="L337" s="11"/>
      <c r="M337" s="401"/>
      <c r="N337" s="402"/>
    </row>
    <row r="338" spans="2:14" ht="12.75">
      <c r="B338" s="2"/>
      <c r="C338" s="14"/>
      <c r="D338" s="18">
        <v>707</v>
      </c>
      <c r="E338" s="92" t="s">
        <v>22</v>
      </c>
      <c r="F338" s="16" t="e">
        <f>F74+F152+F231+F310</f>
        <v>#NAME?</v>
      </c>
      <c r="G338" s="269"/>
      <c r="H338" s="18">
        <v>707</v>
      </c>
      <c r="I338" s="92" t="s">
        <v>22</v>
      </c>
      <c r="J338" s="16" t="e">
        <f>J74+J152+J231+J310</f>
        <v>#NAME?</v>
      </c>
      <c r="L338" s="11"/>
      <c r="M338" s="395"/>
      <c r="N338" s="402"/>
    </row>
    <row r="339" spans="2:14" ht="12.75">
      <c r="B339" s="2"/>
      <c r="C339" s="14"/>
      <c r="D339" s="18">
        <v>709</v>
      </c>
      <c r="E339" s="92" t="s">
        <v>23</v>
      </c>
      <c r="F339" s="16" t="e">
        <f>F75+F153+F232+F311</f>
        <v>#NAME?</v>
      </c>
      <c r="G339" s="269"/>
      <c r="H339" s="18">
        <v>709</v>
      </c>
      <c r="I339" s="92" t="s">
        <v>23</v>
      </c>
      <c r="J339" s="16" t="e">
        <f>J75+J153+J232+J311</f>
        <v>#NAME?</v>
      </c>
      <c r="L339" s="11"/>
      <c r="M339" s="395"/>
      <c r="N339" s="402"/>
    </row>
    <row r="340" spans="2:14" ht="12.75">
      <c r="B340" s="2"/>
      <c r="C340" s="14"/>
      <c r="D340" s="15">
        <v>710</v>
      </c>
      <c r="E340" s="92" t="s">
        <v>24</v>
      </c>
      <c r="F340" s="16" t="e">
        <f>F76+F154+F233+F312</f>
        <v>#NAME?</v>
      </c>
      <c r="G340" s="269"/>
      <c r="H340" s="15">
        <v>710</v>
      </c>
      <c r="I340" s="92" t="s">
        <v>24</v>
      </c>
      <c r="J340" s="16" t="e">
        <f>J76+J154+J233+J312</f>
        <v>#NAME?</v>
      </c>
      <c r="L340" s="395"/>
      <c r="M340" s="395"/>
      <c r="N340" s="402"/>
    </row>
    <row r="341" spans="2:14" ht="12.75">
      <c r="B341" s="2"/>
      <c r="C341" s="10"/>
      <c r="D341" s="15">
        <v>713</v>
      </c>
      <c r="E341" s="92" t="s">
        <v>25</v>
      </c>
      <c r="F341" s="16" t="e">
        <f>F77+F155+F234+F313</f>
        <v>#NAME?</v>
      </c>
      <c r="G341" s="269"/>
      <c r="H341" s="15">
        <v>713</v>
      </c>
      <c r="I341" s="92" t="s">
        <v>25</v>
      </c>
      <c r="J341" s="16" t="e">
        <f>J77+J155+J234+J313</f>
        <v>#NAME?</v>
      </c>
      <c r="L341" s="395"/>
      <c r="M341" s="395"/>
      <c r="N341" s="402"/>
    </row>
    <row r="342" spans="2:14" ht="13.5" thickBot="1">
      <c r="B342" s="2"/>
      <c r="C342" s="147"/>
      <c r="D342" s="15"/>
      <c r="E342" s="93" t="s">
        <v>26</v>
      </c>
      <c r="F342" s="268">
        <v>0</v>
      </c>
      <c r="G342" s="269"/>
      <c r="H342" s="15"/>
      <c r="I342" s="93" t="s">
        <v>26</v>
      </c>
      <c r="J342" s="268">
        <v>0</v>
      </c>
      <c r="L342" s="395"/>
      <c r="M342" s="395"/>
      <c r="N342" s="403"/>
    </row>
    <row r="343" spans="2:14" ht="13.5" thickBot="1">
      <c r="B343" s="2"/>
      <c r="C343" s="147"/>
      <c r="D343" s="94"/>
      <c r="E343" s="88" t="s">
        <v>27</v>
      </c>
      <c r="F343" s="226" t="e">
        <f>SUM(F337:F342)</f>
        <v>#NAME?</v>
      </c>
      <c r="G343" s="269"/>
      <c r="H343" s="94"/>
      <c r="I343" s="88" t="s">
        <v>27</v>
      </c>
      <c r="J343" s="226" t="e">
        <f>SUM(J337:J342)</f>
        <v>#NAME?</v>
      </c>
      <c r="L343" s="11"/>
      <c r="M343" s="70"/>
      <c r="N343" s="404"/>
    </row>
    <row r="344" spans="2:14" ht="13.5" thickBot="1">
      <c r="B344" s="2"/>
      <c r="C344" s="147"/>
      <c r="D344" s="95"/>
      <c r="E344" s="96"/>
      <c r="F344" s="84"/>
      <c r="G344" s="269"/>
      <c r="H344" s="95"/>
      <c r="I344" s="96"/>
      <c r="J344" s="84"/>
      <c r="L344" s="70"/>
      <c r="M344" s="11"/>
      <c r="N344" s="398"/>
    </row>
    <row r="345" spans="2:14" ht="16.5" thickBot="1">
      <c r="B345" s="2"/>
      <c r="C345" s="148"/>
      <c r="D345" s="98"/>
      <c r="E345" s="99" t="s">
        <v>28</v>
      </c>
      <c r="F345" s="228" t="e">
        <f>F336-F343</f>
        <v>#NAME?</v>
      </c>
      <c r="G345" s="271"/>
      <c r="H345" s="98"/>
      <c r="I345" s="99" t="s">
        <v>28</v>
      </c>
      <c r="J345" s="228" t="e">
        <f>J336-J343</f>
        <v>#NAME?</v>
      </c>
      <c r="L345" s="225"/>
      <c r="M345" s="405"/>
      <c r="N345" s="406"/>
    </row>
    <row r="346" spans="2:14" ht="16.5" thickBot="1">
      <c r="B346" s="2"/>
      <c r="C346" s="148"/>
      <c r="D346" s="4"/>
      <c r="E346" s="179"/>
      <c r="F346" s="353"/>
      <c r="G346" s="271"/>
      <c r="H346" s="4"/>
      <c r="I346" s="179"/>
      <c r="J346" s="353"/>
      <c r="L346" s="225"/>
      <c r="M346" s="405"/>
      <c r="N346" s="406"/>
    </row>
    <row r="347" spans="2:14" ht="15.75">
      <c r="B347" s="2"/>
      <c r="C347" s="148"/>
      <c r="D347" s="4"/>
      <c r="E347" s="179"/>
      <c r="F347" s="353"/>
      <c r="G347" s="271"/>
      <c r="H347" s="4"/>
      <c r="I347" s="355" t="s">
        <v>394</v>
      </c>
      <c r="J347" s="356" t="e">
        <f>J345-F345</f>
        <v>#NAME?</v>
      </c>
      <c r="L347" s="225"/>
      <c r="M347" s="405"/>
      <c r="N347" s="406"/>
    </row>
    <row r="348" spans="2:14" ht="16.5" thickBot="1">
      <c r="B348" s="2"/>
      <c r="C348" s="148"/>
      <c r="D348" s="4"/>
      <c r="E348" s="179"/>
      <c r="F348" s="353"/>
      <c r="G348" s="271"/>
      <c r="H348" s="4"/>
      <c r="I348" s="357" t="s">
        <v>395</v>
      </c>
      <c r="J348" s="358" t="e">
        <f>J347/F345</f>
        <v>#NAME?</v>
      </c>
      <c r="L348" s="225"/>
      <c r="M348" s="405"/>
      <c r="N348" s="407"/>
    </row>
    <row r="349" spans="2:14" ht="15.75">
      <c r="B349" s="2"/>
      <c r="C349" s="148"/>
      <c r="D349" s="4"/>
      <c r="E349" s="179"/>
      <c r="F349" s="353"/>
      <c r="G349" s="271"/>
      <c r="H349" s="4"/>
      <c r="I349" s="179"/>
      <c r="J349" s="353"/>
      <c r="L349" s="225"/>
      <c r="M349" s="405"/>
      <c r="N349" s="407"/>
    </row>
    <row r="350" spans="2:14" ht="15.75">
      <c r="B350" s="2"/>
      <c r="C350" s="148"/>
      <c r="D350" s="4"/>
      <c r="E350" s="179"/>
      <c r="F350" s="353"/>
      <c r="G350" s="271"/>
      <c r="H350" s="428"/>
      <c r="I350" s="179"/>
      <c r="J350" s="354"/>
      <c r="L350" s="225"/>
      <c r="M350" s="405"/>
      <c r="N350" s="406"/>
    </row>
    <row r="351" spans="2:14" ht="15.75">
      <c r="B351" s="10"/>
      <c r="C351" s="10"/>
      <c r="L351" s="221"/>
      <c r="M351" s="405"/>
      <c r="N351" s="407"/>
    </row>
    <row r="352" spans="2:17" ht="15.75">
      <c r="B352" s="101"/>
      <c r="C352" s="313"/>
      <c r="D352" s="314"/>
      <c r="E352" s="315"/>
      <c r="F352" s="299"/>
      <c r="G352" s="313"/>
      <c r="H352" s="239"/>
      <c r="I352" s="240"/>
      <c r="J352" s="240"/>
      <c r="K352" s="240"/>
      <c r="L352" s="240"/>
      <c r="M352" s="10"/>
      <c r="N352" s="70"/>
      <c r="O352" s="11"/>
      <c r="P352" s="10"/>
      <c r="Q352" s="10"/>
    </row>
    <row r="353" spans="2:17" ht="15.75">
      <c r="B353" s="101"/>
      <c r="C353" s="236"/>
      <c r="D353" s="237"/>
      <c r="E353" s="238"/>
      <c r="F353" s="160"/>
      <c r="G353" s="236"/>
      <c r="H353" s="316"/>
      <c r="I353" s="317"/>
      <c r="J353" s="317"/>
      <c r="K353" s="317"/>
      <c r="L353" s="317"/>
      <c r="M353" s="10"/>
      <c r="N353" s="70"/>
      <c r="O353" s="11"/>
      <c r="P353" s="10"/>
      <c r="Q353" s="10"/>
    </row>
    <row r="354" ht="13.5" thickBot="1"/>
    <row r="355" ht="17.25" thickBot="1" thickTop="1">
      <c r="D355" s="319" t="s">
        <v>389</v>
      </c>
    </row>
    <row r="356" spans="4:6" ht="15.75" thickTop="1">
      <c r="D356" s="274" t="s">
        <v>11</v>
      </c>
      <c r="E356" s="273"/>
      <c r="F356" s="310"/>
    </row>
    <row r="357" spans="4:6" ht="15">
      <c r="D357" s="274" t="s">
        <v>12</v>
      </c>
      <c r="E357" s="275"/>
      <c r="F357" s="311"/>
    </row>
    <row r="358" spans="4:6" ht="15">
      <c r="D358" s="276" t="s">
        <v>361</v>
      </c>
      <c r="E358" s="275"/>
      <c r="F358" s="311"/>
    </row>
    <row r="359" spans="4:6" ht="15">
      <c r="D359" s="277" t="s">
        <v>352</v>
      </c>
      <c r="E359" s="275"/>
      <c r="F359" s="311"/>
    </row>
    <row r="360" spans="4:6" ht="15.75" thickBot="1">
      <c r="D360" s="318"/>
      <c r="E360" s="278"/>
      <c r="F360" s="312"/>
    </row>
    <row r="361" ht="13.5" thickTop="1"/>
  </sheetData>
  <sheetProtection selectLockedCells="1"/>
  <hyperlinks>
    <hyperlink ref="D359" r:id="rId1" display="www.agmeruruguay.com.ar"/>
    <hyperlink ref="D358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Alumno</cp:lastModifiedBy>
  <dcterms:created xsi:type="dcterms:W3CDTF">2006-03-31T13:19:38Z</dcterms:created>
  <dcterms:modified xsi:type="dcterms:W3CDTF">2013-12-12T20:30:57Z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