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5" yWindow="4305" windowWidth="15480" windowHeight="4050" tabRatio="599" activeTab="0"/>
  </bookViews>
  <sheets>
    <sheet name="recibo de sueldo" sheetId="1" r:id="rId1"/>
    <sheet name="Cargos" sheetId="2" r:id="rId2"/>
    <sheet name="Imp cargo" sheetId="3" state="hidden" r:id="rId3"/>
    <sheet name="Imp hs med" sheetId="4" state="hidden" r:id="rId4"/>
    <sheet name="Imp hs sup" sheetId="5" state="hidden" r:id="rId5"/>
  </sheets>
  <definedNames>
    <definedName name="adicdir">'Cargos'!$J$3:$J$336</definedName>
    <definedName name="adicdir2014">'Cargos'!$M$3:$M$336</definedName>
    <definedName name="adicdir2016">'Cargos'!$N$3:$N$336</definedName>
    <definedName name="adichsmedia">'recibo de sueldo'!$D$225</definedName>
    <definedName name="adicminimo">'recibo de sueldo'!#REF!</definedName>
    <definedName name="adicnina">'Cargos'!$S$3:$S$336</definedName>
    <definedName name="aumgeneral">'recibo de sueldo'!$K$156</definedName>
    <definedName name="canthor06med">'recibo de sueldo'!$D$223</definedName>
    <definedName name="canthor06sup">'recibo de sueldo'!$D$287</definedName>
    <definedName name="canthorincmed">'recibo de sueldo'!$D$224</definedName>
    <definedName name="canthorincsup">'recibo de sueldo'!$D$288</definedName>
    <definedName name="canthormed">'recibo de sueldo'!$D$219</definedName>
    <definedName name="canthorsup">'recibo de sueldo'!$D$283</definedName>
    <definedName name="cantkm">'recibo de sueldo'!$D$153</definedName>
    <definedName name="cantkmhm">'recibo de sueldo'!$D$226</definedName>
    <definedName name="cantkmhs">'recibo de sueldo'!$D$289</definedName>
    <definedName name="Cargos">'recibo de sueldo'!$C$143</definedName>
    <definedName name="CARGOS_Con_prolongación_de_jornada">'recibo de sueldo'!$C$143</definedName>
    <definedName name="CARGOS_de_ascenso">'recibo de sueldo'!#REF!</definedName>
    <definedName name="CARGOS_de_ingreso">'recibo de sueldo'!#REF!</definedName>
    <definedName name="caringresojub">#REF!</definedName>
    <definedName name="carproljorjub">#REF!</definedName>
    <definedName name="cod06cargos">'recibo de sueldo'!#REF!</definedName>
    <definedName name="cod06juloferta15_5">'recibo de sueldo'!#REF!</definedName>
    <definedName name="cod06med">'recibo de sueldo'!#REF!</definedName>
    <definedName name="cod06oferta15_5">'recibo de sueldo'!#REF!</definedName>
    <definedName name="cod06sup">'recibo de sueldo'!#REF!</definedName>
    <definedName name="codigo06cargosdic18">'recibo de sueldo'!$I$18:$I$29</definedName>
    <definedName name="codigo06cargosjul19">'recibo de sueldo'!$I$68:$I$79</definedName>
    <definedName name="codigo06cargosmar19">'recibo de sueldo'!$I$35:$I$46</definedName>
    <definedName name="codigo06cargosmay19">'recibo de sueldo'!$I$51:$I$62</definedName>
    <definedName name="codigo06cargosoct19">'recibo de sueldo'!$I$97:$I$108</definedName>
    <definedName name="compbas13">'Cargos'!$F$3:$F$336</definedName>
    <definedName name="compbas14">'Cargos'!$G$3:$G$336</definedName>
    <definedName name="compbas15">'Cargos'!$H$3:$H$336</definedName>
    <definedName name="compbas16">'Cargos'!$L$3:$L$336</definedName>
    <definedName name="compbas2014">'recibo de sueldo'!#REF!</definedName>
    <definedName name="compbas2015">'recibo de sueldo'!$F$146</definedName>
    <definedName name="compbas2016">'recibo de sueldo'!$F$148</definedName>
    <definedName name="compbasico">'recibo de sueldo'!#REF!</definedName>
    <definedName name="compdir13">'recibo de sueldo'!#REF!</definedName>
    <definedName name="compdir14">'recibo de sueldo'!$G$146</definedName>
    <definedName name="compdir16">'recibo de sueldo'!$G$148</definedName>
    <definedName name="escalaañosantig">'recibo de sueldo'!$D$18:$D$29</definedName>
    <definedName name="escalaporcantig">'recibo de sueldo'!$E$18:$E$29</definedName>
    <definedName name="HORAS_DE_NIVEL_MEDIO">'recibo de sueldo'!$C$217</definedName>
    <definedName name="HORAS_DE_NIVEL_Superior">'recibo de sueldo'!$C$282</definedName>
    <definedName name="horasmediajub">#REF!</definedName>
    <definedName name="horassuperiorjub">#REF!</definedName>
    <definedName name="indicedic18">'recibo de sueldo'!$C$129</definedName>
    <definedName name="indiceene20">'recibo de sueldo'!$M$129</definedName>
    <definedName name="indicejul19">'recibo de sueldo'!$I$129</definedName>
    <definedName name="indicemar19">'recibo de sueldo'!$E$129</definedName>
    <definedName name="indicemay19">'recibo de sueldo'!$G$129</definedName>
    <definedName name="indiceoct19">'recibo de sueldo'!$K$129</definedName>
    <definedName name="indiceproljordic18">'recibo de sueldo'!$C$130</definedName>
    <definedName name="indiceproljorene20">'recibo de sueldo'!$M$130</definedName>
    <definedName name="indiceproljorjul19">'recibo de sueldo'!$I$130</definedName>
    <definedName name="indiceproljormar19">'recibo de sueldo'!$E$130</definedName>
    <definedName name="indiceproljormay19">'recibo de sueldo'!$G$130</definedName>
    <definedName name="indiceproljoroct19">'recibo de sueldo'!$K$130</definedName>
    <definedName name="infladic">'recibo de sueldo'!#REF!</definedName>
    <definedName name="inflajun">'recibo de sueldo'!$D$1</definedName>
    <definedName name="inflasep">'recibo de sueldo'!#REF!</definedName>
    <definedName name="kmsem">'recibo de sueldo'!$C$171</definedName>
    <definedName name="kmsemhsmed">'recibo de sueldo'!$C$242</definedName>
    <definedName name="kmsemhssup">'recibo de sueldo'!$C$300</definedName>
    <definedName name="monto440cargo">'recibo de sueldo'!#REF!</definedName>
    <definedName name="monto440med">'recibo de sueldo'!#REF!</definedName>
    <definedName name="monto440sup">'recibo de sueldo'!#REF!</definedName>
    <definedName name="montoasigfam">'recibo de sueldo'!#REF!</definedName>
    <definedName name="montocod099">'recibo de sueldo'!#REF!</definedName>
    <definedName name="Montofij_jul18">'recibo de sueldo'!#REF!</definedName>
    <definedName name="Montofijomar18">'recibo de sueldo'!#REF!</definedName>
    <definedName name="nina">'recibo de sueldo'!$D$150</definedName>
    <definedName name="nombrecargo">'Cargos'!$B$3:$B$336</definedName>
    <definedName name="nuevofijo">'recibo de sueldo'!#REF!</definedName>
    <definedName name="nuevopuntoíndice">'recibo de sueldo'!#REF!</definedName>
    <definedName name="nuevosalminjorcom">'recibo de sueldo'!#REF!</definedName>
    <definedName name="numcargo">'Cargos'!$A$3:$A$336</definedName>
    <definedName name="otroporcdesccargo">'recibo de sueldo'!#REF!</definedName>
    <definedName name="otroporcdescsup">'recibo de sueldo'!#REF!</definedName>
    <definedName name="otrosdescmed">'recibo de sueldo'!#REF!</definedName>
    <definedName name="otroshaberesmed">'recibo de sueldo'!#REF!</definedName>
    <definedName name="otroshaberessup">'recibo de sueldo'!#REF!</definedName>
    <definedName name="po">'recibo de sueldo'!#REF!</definedName>
    <definedName name="poragmer">'recibo de sueldo'!$C$309</definedName>
    <definedName name="porant">'recibo de sueldo'!$H$18:$H$29</definedName>
    <definedName name="porantig">'recibo de sueldo'!$H$18:$H$29</definedName>
    <definedName name="porantigcargo">'recibo de sueldo'!$D$152</definedName>
    <definedName name="porantighormed">'recibo de sueldo'!$D$221</definedName>
    <definedName name="porantighorsup">'recibo de sueldo'!$D$285</definedName>
    <definedName name="porantigvarcargo">#REF!</definedName>
    <definedName name="porantigvarhsmed">#REF!</definedName>
    <definedName name="porantigvarhssup">#REF!</definedName>
    <definedName name="porcremcod17">'recibo de sueldo'!#REF!</definedName>
    <definedName name="porczonacargo">'recibo de sueldo'!#REF!</definedName>
    <definedName name="porczonamed">'recibo de sueldo'!#REF!</definedName>
    <definedName name="porjub">'recibo de sueldo'!$C$306</definedName>
    <definedName name="porley">'recibo de sueldo'!$C$307</definedName>
    <definedName name="poros">'recibo de sueldo'!$C$308</definedName>
    <definedName name="porzonacargo">'recibo de sueldo'!$C$169</definedName>
    <definedName name="punbascar">'recibo de sueldo'!$D$155</definedName>
    <definedName name="punbascargo">'Cargos'!$C$3:$C$336</definedName>
    <definedName name="punbashormed">'recibo de sueldo'!$D$229</definedName>
    <definedName name="punbashorsup">'recibo de sueldo'!$D$290</definedName>
    <definedName name="punjorcomcargo">'Cargos'!$R$3:$R$336</definedName>
    <definedName name="punproljorcargo">'Cargos'!$Q$3:$Q$336</definedName>
    <definedName name="puntardifcargo">'Cargos'!$P$3:$P$336</definedName>
    <definedName name="puntosadicnina">'recibo de sueldo'!$H$146</definedName>
    <definedName name="PUNTOSbasicos">'recibo de sueldo'!$B$146</definedName>
    <definedName name="puntoscompbasico">'Cargos'!$E$3:$E$336</definedName>
    <definedName name="puntosproljor">'recibo de sueldo'!$G$155</definedName>
    <definedName name="puntostardif">'recibo de sueldo'!$C$146</definedName>
    <definedName name="segurovidacargo">'recibo de sueldo'!#REF!</definedName>
    <definedName name="totalremdic18">'recibo de sueldo'!$Q$191</definedName>
    <definedName name="totalremene20">'recibo de sueldo'!#REF!</definedName>
    <definedName name="totalremjul19">'recibo de sueldo'!$H$191</definedName>
    <definedName name="totalremmar19">'recibo de sueldo'!$N$191</definedName>
    <definedName name="totalremmay19">'recibo de sueldo'!$K$191</definedName>
    <definedName name="totalremoct19">'recibo de sueldo'!$E$191</definedName>
    <definedName name="viejocompbasico">'Cargos'!$D$3:$D$336</definedName>
  </definedNames>
  <calcPr fullCalcOnLoad="1"/>
</workbook>
</file>

<file path=xl/comments1.xml><?xml version="1.0" encoding="utf-8"?>
<comments xmlns="http://schemas.openxmlformats.org/spreadsheetml/2006/main">
  <authors>
    <author>vicky</author>
  </authors>
  <commentList>
    <comment ref="D225" authorId="0">
      <text>
        <r>
          <rPr>
            <b/>
            <sz val="10"/>
            <rFont val="Tahoma"/>
            <family val="2"/>
          </rPr>
          <t>Victor:
No lo cobran los que tienen cargo además de horas, en ese caso poner 0</t>
        </r>
        <r>
          <rPr>
            <sz val="10"/>
            <rFont val="Tahoma"/>
            <family val="2"/>
          </rPr>
          <t xml:space="preserve">
</t>
        </r>
      </text>
    </comment>
    <comment ref="C184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  <r>
          <rPr>
            <sz val="10"/>
            <rFont val="Tahoma"/>
            <family val="2"/>
          </rPr>
          <t xml:space="preserve">
</t>
        </r>
      </text>
    </comment>
    <comment ref="C251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  <r>
          <rPr>
            <sz val="10"/>
            <rFont val="Tahoma"/>
            <family val="2"/>
          </rPr>
          <t xml:space="preserve">
</t>
        </r>
      </text>
    </comment>
    <comment ref="C309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</text>
    </comment>
    <comment ref="C241" authorId="0">
      <text>
        <r>
          <rPr>
            <b/>
            <sz val="8"/>
            <rFont val="Tahoma"/>
            <family val="2"/>
          </rPr>
          <t>Porcentaje de zona</t>
        </r>
      </text>
    </comment>
  </commentList>
</comments>
</file>

<file path=xl/comments4.xml><?xml version="1.0" encoding="utf-8"?>
<comments xmlns="http://schemas.openxmlformats.org/spreadsheetml/2006/main">
  <authors>
    <author>V?ctor</author>
  </authors>
  <commentList>
    <comment ref="E2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comments5.xml><?xml version="1.0" encoding="utf-8"?>
<comments xmlns="http://schemas.openxmlformats.org/spreadsheetml/2006/main">
  <authors>
    <author>V?ctor</author>
  </authors>
  <commentList>
    <comment ref="E2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E2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sharedStrings.xml><?xml version="1.0" encoding="utf-8"?>
<sst xmlns="http://schemas.openxmlformats.org/spreadsheetml/2006/main" count="1017" uniqueCount="530">
  <si>
    <t>Antigüedad</t>
  </si>
  <si>
    <t>Total haberes</t>
  </si>
  <si>
    <t>Otro desc</t>
  </si>
  <si>
    <t>Descuentos</t>
  </si>
  <si>
    <t>Sueldo líquido</t>
  </si>
  <si>
    <t>Puntos básicos</t>
  </si>
  <si>
    <t>HORAS DE NIVEL MEDIO</t>
  </si>
  <si>
    <t>Número de horas</t>
  </si>
  <si>
    <t>Haberes</t>
  </si>
  <si>
    <t>HORAS DE NIVEL Superior</t>
  </si>
  <si>
    <t>Víctor Hugo Hutt</t>
  </si>
  <si>
    <t>AGMER Seccional Uruguay</t>
  </si>
  <si>
    <t>www.agmeruruguay.com.ar</t>
  </si>
  <si>
    <t xml:space="preserve"> 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</si>
  <si>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</si>
  <si>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</si>
  <si>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</si>
  <si>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</si>
  <si>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</si>
  <si>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</si>
  <si>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</si>
  <si>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</si>
  <si>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</si>
  <si>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</si>
  <si>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</si>
  <si>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</si>
  <si>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</si>
  <si>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</si>
  <si>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</si>
  <si>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</si>
  <si>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</si>
  <si>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</si>
  <si>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</si>
  <si>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</si>
  <si>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</si>
  <si>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</si>
  <si>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</si>
  <si>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</si>
  <si>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</si>
  <si>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</si>
  <si>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</si>
  <si>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</si>
  <si>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</si>
  <si>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</si>
  <si>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</si>
  <si>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</si>
  <si>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</si>
  <si>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</si>
  <si>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</si>
  <si>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</si>
  <si>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</si>
  <si>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</si>
  <si>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</si>
  <si>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</si>
  <si>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</si>
  <si>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</si>
  <si>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</si>
  <si>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</si>
  <si>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</si>
  <si>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</si>
  <si>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</si>
  <si>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</si>
  <si>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</si>
  <si>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</si>
  <si>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</si>
  <si>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</si>
  <si>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</si>
  <si>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</si>
  <si>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</si>
  <si>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</si>
  <si>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</si>
  <si>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</si>
  <si>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</si>
  <si>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</si>
  <si>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</si>
  <si>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</si>
  <si>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</si>
  <si>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</si>
  <si>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</si>
  <si>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</si>
  <si>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</si>
  <si>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</si>
  <si>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</si>
  <si>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</si>
  <si>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</si>
  <si>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</si>
  <si>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</si>
  <si>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</si>
  <si>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</si>
  <si>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</si>
  <si>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</si>
  <si>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</si>
  <si>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</si>
  <si>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</si>
  <si>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</si>
  <si>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</si>
  <si>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</si>
  <si>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</si>
  <si>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</si>
  <si>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</si>
  <si>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</si>
  <si>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</si>
  <si>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</si>
  <si>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</si>
  <si>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</si>
  <si>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</si>
  <si>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</si>
  <si>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</si>
  <si>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</si>
  <si>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</si>
  <si>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</si>
  <si>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</si>
  <si>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</si>
  <si>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</si>
  <si>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</si>
  <si>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</si>
  <si>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</si>
  <si>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</si>
  <si>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</si>
  <si>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</si>
  <si>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</si>
  <si>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</si>
  <si>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</si>
  <si>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</si>
  <si>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</si>
  <si>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</si>
  <si>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</si>
  <si>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</si>
  <si>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</si>
  <si>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</si>
  <si>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</si>
  <si>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</si>
  <si>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</si>
  <si>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</si>
  <si>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</si>
  <si>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</si>
  <si>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</si>
  <si>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</si>
  <si>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</si>
  <si>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</si>
  <si>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</si>
  <si>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</si>
  <si>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</si>
  <si>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</si>
  <si>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</si>
  <si>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</si>
  <si>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</si>
  <si>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</si>
  <si>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</si>
  <si>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</si>
  <si>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</si>
  <si>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</si>
  <si>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</si>
  <si>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</si>
  <si>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</si>
  <si>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</si>
  <si>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</si>
  <si>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</si>
  <si>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</si>
  <si>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</si>
  <si>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</si>
  <si>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</si>
  <si>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</si>
  <si>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</si>
  <si>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</si>
  <si>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</si>
  <si>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</si>
  <si>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</si>
  <si>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</si>
  <si>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</si>
  <si>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</si>
  <si>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</si>
  <si>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</si>
  <si>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</si>
  <si>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</si>
  <si>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</si>
  <si>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</si>
  <si>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</si>
  <si>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</si>
  <si>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</si>
  <si>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</si>
  <si>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</si>
  <si>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</si>
  <si>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</si>
  <si>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</si>
  <si>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</si>
  <si>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</si>
  <si>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</si>
  <si>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</si>
  <si>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</si>
  <si>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</si>
  <si>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</si>
  <si>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</si>
  <si>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</si>
  <si>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</si>
  <si>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</si>
  <si>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</si>
  <si>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</si>
  <si>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</si>
  <si>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</si>
  <si>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</si>
  <si>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</si>
  <si>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</si>
  <si>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</si>
  <si>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</si>
  <si>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</si>
  <si>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</si>
  <si>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</si>
  <si>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</si>
  <si>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</si>
  <si>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</si>
  <si>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</si>
  <si>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</si>
  <si>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</si>
  <si>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</si>
  <si>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</si>
  <si>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</si>
  <si>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</si>
  <si>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</si>
  <si>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</si>
  <si>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</si>
  <si>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</si>
  <si>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</si>
  <si>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</si>
  <si>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</si>
  <si>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</si>
  <si>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</si>
  <si>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</si>
  <si>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</si>
  <si>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</si>
  <si>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</si>
  <si>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</si>
  <si>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</si>
  <si>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</si>
  <si>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</si>
  <si>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</si>
  <si>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</si>
  <si>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</si>
  <si>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</si>
  <si>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</si>
  <si>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</si>
  <si>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</si>
  <si>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</si>
  <si>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</si>
  <si>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</si>
  <si>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</si>
  <si>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</si>
  <si>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</si>
  <si>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</si>
  <si>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</si>
  <si>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</si>
  <si>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</si>
  <si>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</si>
  <si>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</si>
  <si>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</si>
  <si>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</si>
  <si>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</si>
  <si>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</si>
  <si>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</si>
  <si>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</si>
  <si>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</si>
  <si>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</si>
  <si>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</si>
  <si>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</si>
  <si>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</si>
  <si>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</si>
  <si>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</si>
  <si>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</si>
  <si>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</si>
  <si>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</si>
  <si>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</si>
  <si>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</si>
  <si>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</si>
  <si>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</si>
  <si>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</si>
  <si>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</si>
  <si>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</si>
  <si>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</si>
  <si>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</si>
  <si>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</si>
  <si>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</si>
  <si>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</si>
  <si>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</si>
  <si>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</si>
  <si>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</si>
  <si>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</si>
  <si>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</si>
  <si>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</si>
  <si>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Prol JORN</t>
  </si>
  <si>
    <t>jorn Compl</t>
  </si>
  <si>
    <t xml:space="preserve"> tarea DIFER.</t>
  </si>
  <si>
    <t>PUNTOS basicos</t>
  </si>
  <si>
    <t xml:space="preserve">CARGOS </t>
  </si>
  <si>
    <t>078</t>
  </si>
  <si>
    <t>016</t>
  </si>
  <si>
    <t>052</t>
  </si>
  <si>
    <t>010</t>
  </si>
  <si>
    <t>001</t>
  </si>
  <si>
    <t>Asignación de la categoría</t>
  </si>
  <si>
    <t>188</t>
  </si>
  <si>
    <t>172</t>
  </si>
  <si>
    <t>006</t>
  </si>
  <si>
    <t>014</t>
  </si>
  <si>
    <t>084</t>
  </si>
  <si>
    <t>113</t>
  </si>
  <si>
    <t>502</t>
  </si>
  <si>
    <t>504</t>
  </si>
  <si>
    <t>505</t>
  </si>
  <si>
    <t>510</t>
  </si>
  <si>
    <t>099</t>
  </si>
  <si>
    <t>Ant. Comp Nación</t>
  </si>
  <si>
    <t>Prolongación de Jornada</t>
  </si>
  <si>
    <t>Función diferencial docente</t>
  </si>
  <si>
    <t>Varios</t>
  </si>
  <si>
    <t>Total Asignaciones Familiares</t>
  </si>
  <si>
    <t>Anticipo FONID</t>
  </si>
  <si>
    <t>Sueldo líquido provincia</t>
  </si>
  <si>
    <t>Adicional para mínimo</t>
  </si>
  <si>
    <t>FONID 2006</t>
  </si>
  <si>
    <t>Años de antigüedad</t>
  </si>
  <si>
    <t>CONCEPTO</t>
  </si>
  <si>
    <t>HABERES</t>
  </si>
  <si>
    <t>DESCUENTOS</t>
  </si>
  <si>
    <t xml:space="preserve"> Ley 4035</t>
  </si>
  <si>
    <t>Seg vida</t>
  </si>
  <si>
    <t>Ob social</t>
  </si>
  <si>
    <t xml:space="preserve"> Ap jubilat</t>
  </si>
  <si>
    <t>Puntos de jornada completa</t>
  </si>
  <si>
    <t>Adic. Art. 2 y 3 Dcrto. 5863/05</t>
  </si>
  <si>
    <t>Product. Dcrto. 5863/05</t>
  </si>
  <si>
    <t>Plus productividad docente</t>
  </si>
  <si>
    <t>004</t>
  </si>
  <si>
    <t>Horas cátedra</t>
  </si>
  <si>
    <t>Productiv Dcrto. 5863/05</t>
  </si>
  <si>
    <t>Ant comp Nación</t>
  </si>
  <si>
    <t>440</t>
  </si>
  <si>
    <t>Reajuste cod 188</t>
  </si>
  <si>
    <t>Obra social</t>
  </si>
  <si>
    <t>Ley 4035</t>
  </si>
  <si>
    <t>Ap jubilatorio</t>
  </si>
  <si>
    <t>Otros</t>
  </si>
  <si>
    <t>Escala de antigüedades</t>
  </si>
  <si>
    <t>Años</t>
  </si>
  <si>
    <t>Porcentaje</t>
  </si>
  <si>
    <t>Años de Antigüedad</t>
  </si>
  <si>
    <t>NOMBRE del cargo</t>
  </si>
  <si>
    <t>Buscar en la hoja cargos si no saben el número del cargo y luego controlar por el nombre</t>
  </si>
  <si>
    <t>Listado de Cargos</t>
  </si>
  <si>
    <t>PORCENT</t>
  </si>
  <si>
    <t>CODIGO</t>
  </si>
  <si>
    <t>Volver al simulador</t>
  </si>
  <si>
    <r>
      <t xml:space="preserve">Bonific Ubic Escuela </t>
    </r>
    <r>
      <rPr>
        <b/>
        <sz val="10"/>
        <rFont val="Arial"/>
        <family val="2"/>
      </rPr>
      <t>(ZONA)</t>
    </r>
  </si>
  <si>
    <t>1170&lt;pi&lt;1400</t>
  </si>
  <si>
    <t>1401&lt;pi&lt;1942</t>
  </si>
  <si>
    <t>pi&gt;2220</t>
  </si>
  <si>
    <t>1943&lt;pi&lt;=2220</t>
  </si>
  <si>
    <t>victorhutt@victorhutt.com.ar</t>
  </si>
  <si>
    <t>Por los topes de algunos códigos</t>
  </si>
  <si>
    <t>Nº horas que cobran código 06</t>
  </si>
  <si>
    <t>Nº horas que cobran incentivo</t>
  </si>
  <si>
    <t>Nº horas que cobran código 113</t>
  </si>
  <si>
    <t>hasta 971</t>
  </si>
  <si>
    <t>972&lt;pi&lt;= 1169</t>
  </si>
  <si>
    <t>pijc&gt;=620    971</t>
  </si>
  <si>
    <t>JC &gt; 971</t>
  </si>
  <si>
    <t>JC defint</t>
  </si>
  <si>
    <t>Final</t>
  </si>
  <si>
    <t>Puntos Comp basico</t>
  </si>
  <si>
    <t>Complemento de Básico</t>
  </si>
  <si>
    <t>Comp Básico</t>
  </si>
  <si>
    <t>Autor</t>
  </si>
  <si>
    <t>002</t>
  </si>
  <si>
    <t>Aumento de Bolsillo</t>
  </si>
  <si>
    <t>Aumento porcentual</t>
  </si>
  <si>
    <t>completar el cargo a la izquierda y buscar el resultado a la derecha</t>
  </si>
  <si>
    <t>Adicional directivos</t>
  </si>
  <si>
    <t>REGENTE 1ERA. CAT. C.E.F.</t>
  </si>
  <si>
    <t>VICEDIRECTOR 1ERA. CAT. C.E.F.</t>
  </si>
  <si>
    <t>Complemento directivo</t>
  </si>
  <si>
    <t>Comp Direct</t>
  </si>
  <si>
    <t>nuevo</t>
  </si>
  <si>
    <t>Total remunerativos</t>
  </si>
  <si>
    <t>Solo completar los datos en rojo</t>
  </si>
  <si>
    <t>Salario cargo desde Marzo de 2011</t>
  </si>
  <si>
    <t>porcentaje Antig</t>
  </si>
  <si>
    <t>Salario horas media desde Marzo de 2011</t>
  </si>
  <si>
    <t>Salario horas superior desde Marzo de 2011</t>
  </si>
  <si>
    <t>Adic</t>
  </si>
  <si>
    <t>Nina</t>
  </si>
  <si>
    <t>repito cargo</t>
  </si>
  <si>
    <t>Si: 1; No: 0</t>
  </si>
  <si>
    <t>Adic Esc Nina</t>
  </si>
  <si>
    <t>029</t>
  </si>
  <si>
    <t>Compensación por traslado</t>
  </si>
  <si>
    <t xml:space="preserve">Transporte: cant km semanales </t>
  </si>
  <si>
    <t>viejo Comp basico</t>
  </si>
  <si>
    <t>Modificadores diálogo 2013</t>
  </si>
  <si>
    <t>Porc aumento prol Jornada</t>
  </si>
  <si>
    <t>Nuevo Índice</t>
  </si>
  <si>
    <t>Nuevo Prol Jorn</t>
  </si>
  <si>
    <t>% de aum  código 06</t>
  </si>
  <si>
    <t>Multiplicador</t>
  </si>
  <si>
    <t>Aumento cargo testigo</t>
  </si>
  <si>
    <t>Porc aumento índice</t>
  </si>
  <si>
    <t>Nuevo sueldo testigo (maestro, 0% antig)</t>
  </si>
  <si>
    <t>Auminddic</t>
  </si>
  <si>
    <t>aumjorcompdic</t>
  </si>
  <si>
    <t>aum cod 06 dic</t>
  </si>
  <si>
    <t>Puntos Comp basico 2013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</si>
  <si>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</si>
  <si>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</si>
  <si>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</si>
  <si>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</si>
  <si>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</si>
  <si>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</si>
  <si>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</si>
  <si>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</si>
  <si>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</si>
  <si>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</si>
  <si>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>Director Dpto. Aplicación 1ra Cat.</t>
  </si>
  <si>
    <t>Director Jardín de Infantes</t>
  </si>
  <si>
    <t>Vicedirector Nivel Inicial 1ra Categoría</t>
  </si>
  <si>
    <t>Vicedirector Dpto Aplicación 1ra CAT</t>
  </si>
  <si>
    <t>Vicedirector DPTO. Aplicación 2da CAT</t>
  </si>
  <si>
    <t>Secretario Esc. Nivel Inicial 1ra CAT</t>
  </si>
  <si>
    <t>Secretario 3ra. CAT Educ. Jóvenes y Adultos</t>
  </si>
  <si>
    <t>Para conocer el código del cargo hacer clic en la hoja cargos</t>
  </si>
  <si>
    <t>005</t>
  </si>
  <si>
    <t>Adicional Nina</t>
  </si>
  <si>
    <t>Adic dir 2013</t>
  </si>
  <si>
    <t>adic dir 2014</t>
  </si>
  <si>
    <t>MAESTRO JARDÍN MATERNAL JORNADA EXTENDIDA</t>
  </si>
  <si>
    <t>puntos comp bas 2014</t>
  </si>
  <si>
    <t>03 o 08</t>
  </si>
  <si>
    <t>Adicional horas media</t>
  </si>
  <si>
    <t>018</t>
  </si>
  <si>
    <t>JEFE DE DEPARTAMENTO TÉCNICO Y SUPERVISIÓN</t>
  </si>
  <si>
    <t>SUPERVISOR EDUCACIÓN ARTÍSTICA</t>
  </si>
  <si>
    <t>SUPERVISOR ESCOLAR DE ZONA</t>
  </si>
  <si>
    <t xml:space="preserve"> SUPERVISOR ESCOLAR EDUC. TECNOLÓGICA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</si>
  <si>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</si>
  <si>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</si>
  <si>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</si>
  <si>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</si>
  <si>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</si>
  <si>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DIRECTOR NIVEL INICIAL 1ERA CON PROLONGACIÓN</t>
  </si>
  <si>
    <t>DIRECTOR NIVEL INICIAL 2DA CON PROLONGACIÓN</t>
  </si>
  <si>
    <t>Director Dpto. Aplicación 2DA Cat.</t>
  </si>
  <si>
    <t xml:space="preserve"> DIRECTOR DEL S.A.I.E.</t>
  </si>
  <si>
    <t>VICEDIRECTOR NIVEL INICIAL 1ERA CON PROLONGACIÓN</t>
  </si>
  <si>
    <t xml:space="preserve"> VICEDIRECTOR ESCUELA ESPECIAL JORNADA COMPLETA</t>
  </si>
  <si>
    <t xml:space="preserve"> DIRECTOR ESCUELA ESPECIAL JORNADA COMPLETA</t>
  </si>
  <si>
    <t xml:space="preserve"> DIRECTOR ESC NIVIEL INICIAL 1RA CATEGORÍA</t>
  </si>
  <si>
    <t xml:space="preserve"> VICEDIRECTOR ESC. CAP TECNICA 1ERA CATEGORIA</t>
  </si>
  <si>
    <t xml:space="preserve"> VICERECTOR ESC DE 3RA CATEGORÍA</t>
  </si>
  <si>
    <t>VICEDIRECTOR ESC N INICIAL 2DA CATEG</t>
  </si>
  <si>
    <t>SECRETARIO ESC DE 3RA CATEGORÍA</t>
  </si>
  <si>
    <t>SECRETARIA DE ESC DE 2DA CATEGORÍA JORN COMP</t>
  </si>
  <si>
    <t>SECRETARIO ESC NIV INICIAL 1RA CATEG</t>
  </si>
  <si>
    <t>SECRETARIO ESC NIV INICIAL 2DA CATEG</t>
  </si>
  <si>
    <t>SECRETARIO ESC NIV INICIAL 3RA CATEG</t>
  </si>
  <si>
    <t>RECTOR INSTITUTO SUPERIOR</t>
  </si>
  <si>
    <t>SECRETARIO INSTITUTO SUPERIOR</t>
  </si>
  <si>
    <t>SECRETARIO ACADÉMICO</t>
  </si>
  <si>
    <t xml:space="preserve"> JEFE DE UNS Y PRODUCCIÓN 2DA CAT.</t>
  </si>
  <si>
    <t xml:space="preserve"> JEFE DE UNS Y PRODUCCIÓN 3ERA CAT. </t>
  </si>
  <si>
    <t xml:space="preserve"> JEFE DE UNS Y PRODUCCIÓN 1ERA CAT.</t>
  </si>
  <si>
    <t>TOT 1 Y 2</t>
  </si>
  <si>
    <t>puntos comp bas 2015</t>
  </si>
  <si>
    <t>Combas2015</t>
  </si>
  <si>
    <t>Comp Directivos</t>
  </si>
  <si>
    <t>Aporte sindical AGMER</t>
  </si>
  <si>
    <t>Comp Dir 2016</t>
  </si>
  <si>
    <t>adic dir 2016</t>
  </si>
  <si>
    <t>puntos comp bas 2016</t>
  </si>
  <si>
    <t>Facebook: agmeruruguay</t>
  </si>
  <si>
    <t>¿Sos directivo de escuela Nina?</t>
  </si>
  <si>
    <t xml:space="preserve"> MAESTRO ESPECIAL DEPARTAMENTO APLICACIÓN</t>
  </si>
  <si>
    <t>044</t>
  </si>
  <si>
    <t>Material didáctico</t>
  </si>
  <si>
    <t>Por favor avisar si encuentran errores</t>
  </si>
  <si>
    <t>Monto Remunerativo</t>
  </si>
  <si>
    <t>Acumulado marzo sept</t>
  </si>
  <si>
    <t>Medio Aguinaldo</t>
  </si>
  <si>
    <t>código 100</t>
  </si>
  <si>
    <r>
      <t>código 186 (</t>
    </r>
    <r>
      <rPr>
        <sz val="10"/>
        <rFont val="Arial"/>
        <family val="2"/>
      </rPr>
      <t>No remun)</t>
    </r>
  </si>
  <si>
    <t>Descuentos con aguinaldo</t>
  </si>
  <si>
    <t>Sueldo líquido incluyendo aguinaldo</t>
  </si>
  <si>
    <t>Aguinaldo de bolsillo</t>
  </si>
  <si>
    <t>Líquido</t>
  </si>
  <si>
    <t>1: Si; 0: No</t>
  </si>
  <si>
    <t>Adicional horas media (1: Si; 0: No)</t>
  </si>
  <si>
    <t>indicedic18</t>
  </si>
  <si>
    <t>indiceproljordic18</t>
  </si>
  <si>
    <t>Cod 117</t>
  </si>
  <si>
    <t>Diciembre 18</t>
  </si>
  <si>
    <t>Respecto a febrero</t>
  </si>
  <si>
    <t>indicemar19</t>
  </si>
  <si>
    <t>indiceproljormar19</t>
  </si>
  <si>
    <t>indicemay19</t>
  </si>
  <si>
    <t>indiceproljormay19</t>
  </si>
  <si>
    <t>Marzo 19</t>
  </si>
  <si>
    <t>Mayo 19</t>
  </si>
  <si>
    <t>Simulador Salario docente Entre Ríos</t>
  </si>
  <si>
    <t xml:space="preserve"> RECTOR 3era Cat. Escuela Secundaria Jóvenes y Adultos</t>
  </si>
  <si>
    <t xml:space="preserve"> Secretario 3era Cat. Escuela Secundaria Jóvenes y Adultos</t>
  </si>
  <si>
    <t>Supervisor Zonal Educación Secundaria Jóvenes y Adultos</t>
  </si>
  <si>
    <t>Director Esc Nocturna de J. y Ad. En contexto de Priv de libertad</t>
  </si>
  <si>
    <t>Secretario Unidad Educación Nivel Inicial 1era Cat.</t>
  </si>
  <si>
    <t>Secretario Unidad Educación Nivel Inicial 1era Cat. Con P. Jorn</t>
  </si>
  <si>
    <t>Secretario Unidad Educación Nivel Inicial 2da. Cat.</t>
  </si>
  <si>
    <t>Secretario Unidad Educación Nivel Inicial 2da. Cat. Con P. Jorn</t>
  </si>
  <si>
    <t>Secretario Unidad Educación Nivel Inicial 3era Cat.</t>
  </si>
  <si>
    <t>Julio 19</t>
  </si>
  <si>
    <t>indicejul19</t>
  </si>
  <si>
    <t>indiceproljorjul19</t>
  </si>
  <si>
    <t>Octubre 2019</t>
  </si>
  <si>
    <t>indiceoct19</t>
  </si>
  <si>
    <t>indiceproljoroct19</t>
  </si>
  <si>
    <t>cod06hsdic18</t>
  </si>
  <si>
    <t>cod18dic18</t>
  </si>
  <si>
    <t>Fonidsecdic18</t>
  </si>
  <si>
    <t>fonidsupdic18</t>
  </si>
  <si>
    <t>cod44secdic18</t>
  </si>
  <si>
    <t>cod44supdic18</t>
  </si>
  <si>
    <t>cod117hsdic18</t>
  </si>
  <si>
    <t>Aum Acum anual</t>
  </si>
  <si>
    <t>Aum Acum anual Porc</t>
  </si>
  <si>
    <r>
      <rPr>
        <b/>
        <sz val="11"/>
        <color indexed="10"/>
        <rFont val="Arial"/>
        <family val="2"/>
      </rPr>
      <t>Dic 18, mar 19 y may 19,</t>
    </r>
    <r>
      <rPr>
        <b/>
        <sz val="11"/>
        <color indexed="10"/>
        <rFont val="Arial"/>
        <family val="2"/>
      </rPr>
      <t xml:space="preserve"> Jul 19, </t>
    </r>
    <r>
      <rPr>
        <b/>
        <sz val="18"/>
        <color indexed="10"/>
        <rFont val="Arial"/>
        <family val="2"/>
      </rPr>
      <t>Oct 19</t>
    </r>
  </si>
  <si>
    <t>Simulaciones de Octubre 2019 estimadas por actualización, sin confirmación por decreto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</si>
</sst>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"/>
    <numFmt numFmtId="198" formatCode="0.0000"/>
    <numFmt numFmtId="199" formatCode="0.0000000000000000000%"/>
    <numFmt numFmtId="200" formatCode="0.00000000000000000000%"/>
    <numFmt numFmtId="201" formatCode="0.000000000000000000000%"/>
    <numFmt numFmtId="202" formatCode="0.0000000000000000000000%"/>
    <numFmt numFmtId="203" formatCode="_ &quot;$&quot;\ * #,##0.0_ ;_ &quot;$&quot;\ * \-#,##0.0_ ;_ &quot;$&quot;\ * &quot;-&quot;??_ ;_ @_ 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0.0000000"/>
    <numFmt numFmtId="209" formatCode="0.000000"/>
    <numFmt numFmtId="210" formatCode="0.00000"/>
    <numFmt numFmtId="211" formatCode="_ &quot;$&quot;\ * #,##0_ ;_ &quot;$&quot;\ * \-#,##0_ ;_ &quot;$&quot;\ * &quot;-&quot;??_ ;_ @_ "/>
    <numFmt numFmtId="212" formatCode="0.00000000"/>
    <numFmt numFmtId="213" formatCode="&quot;$&quot;#,##0.00;\-&quot;$&quot;#,##0.00"/>
    <numFmt numFmtId="214" formatCode="0.000000000"/>
    <numFmt numFmtId="215" formatCode="#,##0.00\ &quot;€&quot;"/>
    <numFmt numFmtId="216" formatCode="[$€-2]\ #,##0.00_);[Red]\([$€-2]\ #,##0.00\)"/>
    <numFmt numFmtId="217" formatCode="&quot;$&quot;\ #,##0.00"/>
    <numFmt numFmtId="218" formatCode="_ &quot;$&quot;\ * #,##0.000_ ;_ &quot;$&quot;\ * \-#,##0.000_ ;_ &quot;$&quot;\ * &quot;-&quot;??_ ;_ @_ "/>
    <numFmt numFmtId="219" formatCode="_ &quot;$&quot;\ * #,##0.0000_ ;_ &quot;$&quot;\ * \-#,##0.0000_ ;_ &quot;$&quot;\ * &quot;-&quot;??_ ;_ @_ "/>
    <numFmt numFmtId="220" formatCode="_ &quot;$&quot;\ * #,##0.00000_ ;_ &quot;$&quot;\ * \-#,##0.00000_ ;_ &quot;$&quot;\ * &quot;-&quot;??_ ;_ @_ "/>
    <numFmt numFmtId="221" formatCode="_ &quot;$&quot;\ * #,##0.000000_ ;_ &quot;$&quot;\ * \-#,##0.000000_ ;_ &quot;$&quot;\ * &quot;-&quot;??_ ;_ @_ "/>
    <numFmt numFmtId="222" formatCode="0.0000000000"/>
  </numFmts>
  <fonts count="18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u val="single"/>
      <sz val="16"/>
      <color indexed="1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u val="single"/>
      <sz val="14"/>
      <name val="Arial"/>
      <family val="2"/>
    </font>
    <font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3"/>
      <name val="Arial"/>
      <family val="2"/>
    </font>
    <font>
      <b/>
      <sz val="14"/>
      <color indexed="12"/>
      <name val="Arial"/>
      <family val="2"/>
    </font>
    <font>
      <b/>
      <i/>
      <u val="single"/>
      <sz val="20"/>
      <color indexed="18"/>
      <name val="Monotype Corsiva"/>
      <family val="4"/>
    </font>
    <font>
      <b/>
      <sz val="12"/>
      <color indexed="20"/>
      <name val="Arial"/>
      <family val="2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3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Monotype Corsiva"/>
      <family val="4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8"/>
      <color indexed="10"/>
      <name val="Arial"/>
      <family val="2"/>
    </font>
    <font>
      <sz val="10"/>
      <name val="Tahoma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sz val="14"/>
      <color indexed="16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6"/>
      <name val="Arial"/>
      <family val="2"/>
    </font>
    <font>
      <b/>
      <u val="single"/>
      <sz val="16"/>
      <color indexed="16"/>
      <name val="Arial"/>
      <family val="2"/>
    </font>
    <font>
      <b/>
      <sz val="18"/>
      <name val="Arial"/>
      <family val="2"/>
    </font>
    <font>
      <b/>
      <i/>
      <u val="single"/>
      <sz val="12"/>
      <color indexed="18"/>
      <name val="Monotype Corsiva"/>
      <family val="4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56"/>
      <name val="Arial"/>
      <family val="2"/>
    </font>
    <font>
      <b/>
      <sz val="28"/>
      <color indexed="56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56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sz val="24"/>
      <color indexed="10"/>
      <name val="Arial"/>
      <family val="2"/>
    </font>
    <font>
      <b/>
      <u val="single"/>
      <sz val="20"/>
      <color indexed="10"/>
      <name val="Arial"/>
      <family val="2"/>
    </font>
    <font>
      <sz val="10"/>
      <color indexed="50"/>
      <name val="Arial"/>
      <family val="2"/>
    </font>
    <font>
      <b/>
      <sz val="22"/>
      <color indexed="56"/>
      <name val="Arial"/>
      <family val="2"/>
    </font>
    <font>
      <sz val="10"/>
      <color indexed="8"/>
      <name val="Calibri"/>
      <family val="2"/>
    </font>
    <font>
      <b/>
      <sz val="18"/>
      <color indexed="56"/>
      <name val="Arial"/>
      <family val="2"/>
    </font>
    <font>
      <b/>
      <sz val="18"/>
      <color indexed="63"/>
      <name val="Arial"/>
      <family val="2"/>
    </font>
    <font>
      <b/>
      <sz val="16"/>
      <color indexed="8"/>
      <name val="Arial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56"/>
      <name val="Arial"/>
      <family val="2"/>
    </font>
    <font>
      <b/>
      <sz val="16"/>
      <color indexed="11"/>
      <name val="Arial"/>
      <family val="2"/>
    </font>
    <font>
      <b/>
      <sz val="2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3" tint="-0.4999699890613556"/>
      <name val="Arial"/>
      <family val="2"/>
    </font>
    <font>
      <sz val="18"/>
      <color rgb="FFFF0000"/>
      <name val="Arial"/>
      <family val="2"/>
    </font>
    <font>
      <b/>
      <sz val="28"/>
      <color theme="3" tint="-0.4999699890613556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1"/>
      <color theme="3" tint="-0.4999699890613556"/>
      <name val="Arial"/>
      <family val="2"/>
    </font>
    <font>
      <sz val="8"/>
      <color theme="1"/>
      <name val="Arial"/>
      <family val="2"/>
    </font>
    <font>
      <b/>
      <sz val="10"/>
      <color theme="3" tint="-0.24997000396251678"/>
      <name val="Arial"/>
      <family val="2"/>
    </font>
    <font>
      <sz val="24"/>
      <color rgb="FFFF0000"/>
      <name val="Arial"/>
      <family val="2"/>
    </font>
    <font>
      <b/>
      <u val="single"/>
      <sz val="20"/>
      <color rgb="FFFF0000"/>
      <name val="Arial"/>
      <family val="2"/>
    </font>
    <font>
      <b/>
      <sz val="12"/>
      <color rgb="FF990000"/>
      <name val="Arial"/>
      <family val="2"/>
    </font>
    <font>
      <sz val="10"/>
      <color rgb="FF92D05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22"/>
      <color theme="3" tint="-0.4999699890613556"/>
      <name val="Arial"/>
      <family val="2"/>
    </font>
    <font>
      <sz val="10"/>
      <color theme="1"/>
      <name val="Calibri"/>
      <family val="2"/>
    </font>
    <font>
      <b/>
      <sz val="18"/>
      <color theme="3" tint="-0.4999699890613556"/>
      <name val="Arial"/>
      <family val="2"/>
    </font>
    <font>
      <b/>
      <sz val="18"/>
      <color theme="1" tint="0.34999001026153564"/>
      <name val="Arial"/>
      <family val="2"/>
    </font>
    <font>
      <b/>
      <sz val="14"/>
      <color theme="1"/>
      <name val="Arial"/>
      <family val="2"/>
    </font>
    <font>
      <b/>
      <sz val="10"/>
      <color rgb="FFFF3300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b/>
      <sz val="12"/>
      <color rgb="FFFF3300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theme="3" tint="-0.4999699890613556"/>
      <name val="Arial"/>
      <family val="2"/>
    </font>
    <font>
      <b/>
      <sz val="16"/>
      <color rgb="FF00FF00"/>
      <name val="Arial"/>
      <family val="2"/>
    </font>
    <font>
      <b/>
      <sz val="20"/>
      <color rgb="FF00FF0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 style="double">
        <color theme="9" tint="-0.24993999302387238"/>
      </right>
      <top>
        <color indexed="63"/>
      </top>
      <bottom style="double">
        <color theme="9" tint="-0.24993999302387238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 style="double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 style="double">
        <color theme="9" tint="-0.24993999302387238"/>
      </top>
      <bottom>
        <color indexed="63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24993999302387238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 style="thin"/>
      <bottom style="double">
        <color theme="9" tint="-0.24993999302387238"/>
      </bottom>
    </border>
    <border>
      <left>
        <color indexed="63"/>
      </left>
      <right style="thin"/>
      <top style="thin"/>
      <bottom style="double">
        <color theme="9" tint="-0.24993999302387238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thin"/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thin"/>
      <top>
        <color indexed="63"/>
      </top>
      <bottom style="medium">
        <color indexed="11"/>
      </bottom>
    </border>
    <border>
      <left style="thin"/>
      <right style="thick">
        <color rgb="FF002060"/>
      </right>
      <top style="thin"/>
      <bottom style="thin"/>
    </border>
    <border>
      <left style="thin"/>
      <right style="thick">
        <color rgb="FF002060"/>
      </right>
      <top style="thin"/>
      <bottom>
        <color indexed="63"/>
      </bottom>
    </border>
    <border>
      <left>
        <color indexed="63"/>
      </left>
      <right style="thick">
        <color rgb="FF002060"/>
      </right>
      <top style="medium"/>
      <bottom style="medium"/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medium">
        <color indexed="10"/>
      </left>
      <right style="thick">
        <color rgb="FF002060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rgb="FF002060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rgb="FF002060"/>
      </right>
      <top>
        <color indexed="63"/>
      </top>
      <bottom style="medium"/>
    </border>
    <border>
      <left style="thin"/>
      <right style="thick">
        <color rgb="FF002060"/>
      </right>
      <top style="medium"/>
      <bottom style="medium"/>
    </border>
    <border>
      <left style="medium">
        <color indexed="10"/>
      </left>
      <right style="thick">
        <color rgb="FF002060"/>
      </right>
      <top style="medium">
        <color indexed="10"/>
      </top>
      <bottom>
        <color indexed="63"/>
      </bottom>
    </border>
    <border>
      <left>
        <color indexed="63"/>
      </left>
      <right style="thick">
        <color rgb="FF002060"/>
      </right>
      <top style="medium"/>
      <bottom>
        <color indexed="63"/>
      </bottom>
    </border>
    <border>
      <left>
        <color indexed="63"/>
      </left>
      <right style="thick">
        <color rgb="FF002060"/>
      </right>
      <top style="medium">
        <color theme="9" tint="-0.24993999302387238"/>
      </top>
      <bottom style="medium">
        <color theme="9" tint="-0.24993999302387238"/>
      </bottom>
    </border>
    <border>
      <left style="thin"/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medium">
        <color indexed="10"/>
      </top>
      <bottom style="medium"/>
    </border>
    <border>
      <left>
        <color indexed="63"/>
      </left>
      <right style="thick">
        <color rgb="FF002060"/>
      </right>
      <top style="thick">
        <color indexed="1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 style="thick">
        <color indexed="13"/>
      </bottom>
    </border>
    <border>
      <left style="thick">
        <color theme="8" tint="-0.4999699890613556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>
        <color indexed="63"/>
      </right>
      <top style="medium"/>
      <bottom style="medium"/>
    </border>
    <border>
      <left>
        <color indexed="63"/>
      </left>
      <right style="thick">
        <color theme="8" tint="-0.4999699890613556"/>
      </right>
      <top style="thin"/>
      <bottom style="thin"/>
    </border>
    <border>
      <left style="thick">
        <color theme="8" tint="-0.4999699890613556"/>
      </left>
      <right style="thin"/>
      <top style="medium"/>
      <bottom style="medium"/>
    </border>
    <border>
      <left style="thick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8" tint="-0.4999699890613556"/>
      </right>
      <top>
        <color indexed="63"/>
      </top>
      <bottom>
        <color indexed="63"/>
      </bottom>
    </border>
    <border>
      <left style="medium"/>
      <right style="thick">
        <color theme="8" tint="-0.4999699890613556"/>
      </right>
      <top style="medium"/>
      <bottom style="medium"/>
    </border>
    <border>
      <left style="thick">
        <color theme="8" tint="-0.4999699890613556"/>
      </left>
      <right>
        <color indexed="63"/>
      </right>
      <top style="thin"/>
      <bottom style="thin"/>
    </border>
    <border>
      <left style="thick">
        <color theme="8" tint="-0.4999699890613556"/>
      </left>
      <right>
        <color indexed="63"/>
      </right>
      <top>
        <color indexed="63"/>
      </top>
      <bottom style="thick">
        <color theme="8" tint="-0.4999699890613556"/>
      </bottom>
    </border>
    <border>
      <left>
        <color indexed="63"/>
      </left>
      <right style="thick">
        <color theme="8" tint="-0.4999699890613556"/>
      </right>
      <top style="thin"/>
      <bottom style="thick">
        <color theme="8" tint="-0.4999699890613556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>
        <color rgb="FF002060"/>
      </right>
      <top>
        <color indexed="63"/>
      </top>
      <bottom style="medium">
        <color theme="9" tint="-0.24993999302387238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1" fillId="20" borderId="0" applyNumberFormat="0" applyBorder="0" applyAlignment="0" applyProtection="0"/>
    <xf numFmtId="0" fontId="122" fillId="21" borderId="1" applyNumberFormat="0" applyAlignment="0" applyProtection="0"/>
    <xf numFmtId="0" fontId="123" fillId="22" borderId="2" applyNumberFormat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0" applyNumberFormat="0" applyFill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7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0" fillId="21" borderId="6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7" applyNumberFormat="0" applyFill="0" applyAlignment="0" applyProtection="0"/>
    <xf numFmtId="0" fontId="126" fillId="0" borderId="8" applyNumberFormat="0" applyFill="0" applyAlignment="0" applyProtection="0"/>
    <xf numFmtId="0" fontId="135" fillId="0" borderId="9" applyNumberFormat="0" applyFill="0" applyAlignment="0" applyProtection="0"/>
  </cellStyleXfs>
  <cellXfs count="7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1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1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30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 quotePrefix="1">
      <alignment horizontal="center"/>
      <protection/>
    </xf>
    <xf numFmtId="9" fontId="1" fillId="0" borderId="0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9" fontId="0" fillId="0" borderId="14" xfId="0" applyNumberForma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9" fontId="1" fillId="34" borderId="21" xfId="0" applyNumberFormat="1" applyFont="1" applyFill="1" applyBorder="1" applyAlignment="1" applyProtection="1">
      <alignment/>
      <protection/>
    </xf>
    <xf numFmtId="9" fontId="1" fillId="34" borderId="22" xfId="0" applyNumberFormat="1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9" fontId="1" fillId="34" borderId="24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left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9" fontId="7" fillId="0" borderId="0" xfId="55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14" xfId="0" applyFont="1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 quotePrefix="1">
      <alignment horizontal="center"/>
      <protection/>
    </xf>
    <xf numFmtId="9" fontId="0" fillId="0" borderId="19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left"/>
      <protection/>
    </xf>
    <xf numFmtId="1" fontId="0" fillId="0" borderId="14" xfId="0" applyNumberFormat="1" applyFont="1" applyBorder="1" applyAlignment="1" applyProtection="1" quotePrefix="1">
      <alignment horizontal="center"/>
      <protection/>
    </xf>
    <xf numFmtId="2" fontId="1" fillId="0" borderId="12" xfId="0" applyNumberFormat="1" applyFont="1" applyBorder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180" fontId="0" fillId="0" borderId="14" xfId="0" applyNumberForma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0" fillId="0" borderId="14" xfId="0" applyBorder="1" applyAlignment="1" applyProtection="1" quotePrefix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4" xfId="0" applyFill="1" applyBorder="1" applyAlignment="1" applyProtection="1" quotePrefix="1">
      <alignment horizontal="right"/>
      <protection/>
    </xf>
    <xf numFmtId="0" fontId="0" fillId="0" borderId="14" xfId="0" applyFont="1" applyBorder="1" applyAlignment="1" applyProtection="1" quotePrefix="1">
      <alignment horizontal="right"/>
      <protection/>
    </xf>
    <xf numFmtId="0" fontId="1" fillId="0" borderId="12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 quotePrefix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9" fontId="7" fillId="0" borderId="18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9" fontId="1" fillId="0" borderId="18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left"/>
      <protection/>
    </xf>
    <xf numFmtId="2" fontId="20" fillId="0" borderId="34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 quotePrefix="1">
      <alignment horizontal="center"/>
      <protection/>
    </xf>
    <xf numFmtId="49" fontId="31" fillId="0" borderId="13" xfId="0" applyNumberFormat="1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13" xfId="0" applyBorder="1" applyAlignment="1" applyProtection="1" quotePrefix="1">
      <alignment horizontal="right"/>
      <protection/>
    </xf>
    <xf numFmtId="2" fontId="0" fillId="0" borderId="13" xfId="0" applyNumberFormat="1" applyBorder="1" applyAlignment="1" applyProtection="1">
      <alignment horizontal="left"/>
      <protection/>
    </xf>
    <xf numFmtId="0" fontId="1" fillId="35" borderId="36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46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2" fontId="7" fillId="0" borderId="31" xfId="0" applyNumberFormat="1" applyFont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/>
    </xf>
    <xf numFmtId="9" fontId="8" fillId="37" borderId="37" xfId="55" applyFont="1" applyFill="1" applyBorder="1" applyAlignment="1" applyProtection="1">
      <alignment/>
      <protection/>
    </xf>
    <xf numFmtId="9" fontId="8" fillId="37" borderId="38" xfId="55" applyFont="1" applyFill="1" applyBorder="1" applyAlignment="1" applyProtection="1">
      <alignment/>
      <protection/>
    </xf>
    <xf numFmtId="9" fontId="8" fillId="38" borderId="38" xfId="55" applyFont="1" applyFill="1" applyBorder="1" applyAlignment="1" applyProtection="1">
      <alignment/>
      <protection/>
    </xf>
    <xf numFmtId="9" fontId="8" fillId="38" borderId="39" xfId="55" applyFont="1" applyFill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33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1" fillId="0" borderId="14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30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7" fillId="39" borderId="0" xfId="0" applyFont="1" applyFill="1" applyBorder="1" applyAlignment="1" applyProtection="1">
      <alignment/>
      <protection/>
    </xf>
    <xf numFmtId="0" fontId="0" fillId="38" borderId="27" xfId="0" applyFill="1" applyBorder="1" applyAlignment="1" applyProtection="1">
      <alignment horizontal="left" indent="1"/>
      <protection/>
    </xf>
    <xf numFmtId="0" fontId="0" fillId="38" borderId="40" xfId="0" applyFill="1" applyBorder="1" applyAlignment="1" applyProtection="1">
      <alignment horizontal="left" indent="1"/>
      <protection/>
    </xf>
    <xf numFmtId="0" fontId="13" fillId="38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3" fillId="38" borderId="41" xfId="0" applyFont="1" applyFill="1" applyBorder="1" applyAlignment="1" applyProtection="1">
      <alignment/>
      <protection/>
    </xf>
    <xf numFmtId="0" fontId="13" fillId="38" borderId="42" xfId="0" applyFont="1" applyFill="1" applyBorder="1" applyAlignment="1" applyProtection="1">
      <alignment/>
      <protection/>
    </xf>
    <xf numFmtId="0" fontId="0" fillId="38" borderId="42" xfId="0" applyFont="1" applyFill="1" applyBorder="1" applyAlignment="1" applyProtection="1">
      <alignment/>
      <protection/>
    </xf>
    <xf numFmtId="0" fontId="13" fillId="38" borderId="43" xfId="0" applyFont="1" applyFill="1" applyBorder="1" applyAlignment="1" applyProtection="1">
      <alignment/>
      <protection/>
    </xf>
    <xf numFmtId="0" fontId="0" fillId="38" borderId="44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6" fillId="38" borderId="43" xfId="46" applyFont="1" applyFill="1" applyBorder="1" applyAlignment="1" applyProtection="1">
      <alignment/>
      <protection/>
    </xf>
    <xf numFmtId="0" fontId="46" fillId="38" borderId="45" xfId="46" applyFont="1" applyFill="1" applyBorder="1" applyAlignment="1" applyProtection="1">
      <alignment/>
      <protection/>
    </xf>
    <xf numFmtId="0" fontId="24" fillId="0" borderId="0" xfId="46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180" fontId="39" fillId="0" borderId="0" xfId="0" applyNumberFormat="1" applyFont="1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38" borderId="4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9" fontId="7" fillId="0" borderId="0" xfId="55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9" fontId="23" fillId="0" borderId="0" xfId="55" applyFont="1" applyFill="1" applyBorder="1" applyAlignment="1" applyProtection="1">
      <alignment/>
      <protection locked="0"/>
    </xf>
    <xf numFmtId="9" fontId="50" fillId="0" borderId="0" xfId="0" applyNumberFormat="1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/>
    </xf>
    <xf numFmtId="198" fontId="23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98" fontId="51" fillId="0" borderId="0" xfId="0" applyNumberFormat="1" applyFont="1" applyFill="1" applyBorder="1" applyAlignment="1" applyProtection="1">
      <alignment/>
      <protection/>
    </xf>
    <xf numFmtId="10" fontId="10" fillId="0" borderId="0" xfId="55" applyNumberFormat="1" applyFont="1" applyFill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 hidden="1"/>
    </xf>
    <xf numFmtId="0" fontId="0" fillId="0" borderId="50" xfId="0" applyNumberFormat="1" applyBorder="1" applyAlignment="1" applyProtection="1">
      <alignment/>
      <protection hidden="1"/>
    </xf>
    <xf numFmtId="2" fontId="12" fillId="0" borderId="0" xfId="0" applyNumberFormat="1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 locked="0"/>
    </xf>
    <xf numFmtId="0" fontId="52" fillId="33" borderId="51" xfId="0" applyFont="1" applyFill="1" applyBorder="1" applyAlignment="1" applyProtection="1">
      <alignment/>
      <protection/>
    </xf>
    <xf numFmtId="0" fontId="52" fillId="33" borderId="52" xfId="0" applyFont="1" applyFill="1" applyBorder="1" applyAlignment="1" applyProtection="1">
      <alignment/>
      <protection locked="0"/>
    </xf>
    <xf numFmtId="0" fontId="52" fillId="33" borderId="52" xfId="0" applyFont="1" applyFill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9" fontId="8" fillId="0" borderId="0" xfId="55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46" applyFont="1" applyFill="1" applyBorder="1" applyAlignment="1" applyProtection="1">
      <alignment/>
      <protection/>
    </xf>
    <xf numFmtId="2" fontId="0" fillId="0" borderId="53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49" fontId="31" fillId="0" borderId="13" xfId="0" applyNumberFormat="1" applyFont="1" applyFill="1" applyBorder="1" applyAlignment="1" applyProtection="1">
      <alignment horizontal="left"/>
      <protection/>
    </xf>
    <xf numFmtId="2" fontId="0" fillId="0" borderId="53" xfId="0" applyNumberFormat="1" applyFont="1" applyFill="1" applyBorder="1" applyAlignment="1" applyProtection="1">
      <alignment horizontal="right"/>
      <protection/>
    </xf>
    <xf numFmtId="9" fontId="0" fillId="0" borderId="14" xfId="0" applyNumberFormat="1" applyFont="1" applyBorder="1" applyAlignment="1" applyProtection="1">
      <alignment/>
      <protection/>
    </xf>
    <xf numFmtId="2" fontId="55" fillId="0" borderId="12" xfId="0" applyNumberFormat="1" applyFont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2" fontId="0" fillId="0" borderId="54" xfId="0" applyNumberFormat="1" applyFont="1" applyFill="1" applyBorder="1" applyAlignment="1" applyProtection="1">
      <alignment horizontal="left"/>
      <protection/>
    </xf>
    <xf numFmtId="2" fontId="1" fillId="0" borderId="30" xfId="0" applyNumberFormat="1" applyFont="1" applyFill="1" applyBorder="1" applyAlignment="1" applyProtection="1">
      <alignment horizontal="left"/>
      <protection/>
    </xf>
    <xf numFmtId="2" fontId="0" fillId="0" borderId="55" xfId="0" applyNumberFormat="1" applyFont="1" applyFill="1" applyBorder="1" applyAlignment="1" applyProtection="1">
      <alignment horizontal="right"/>
      <protection/>
    </xf>
    <xf numFmtId="1" fontId="7" fillId="0" borderId="10" xfId="55" applyNumberFormat="1" applyFont="1" applyBorder="1" applyAlignment="1" applyProtection="1">
      <alignment horizontal="center"/>
      <protection locked="0"/>
    </xf>
    <xf numFmtId="2" fontId="1" fillId="0" borderId="56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0" fontId="31" fillId="0" borderId="33" xfId="0" applyFont="1" applyBorder="1" applyAlignment="1" applyProtection="1">
      <alignment/>
      <protection locked="0"/>
    </xf>
    <xf numFmtId="0" fontId="30" fillId="0" borderId="33" xfId="0" applyFont="1" applyBorder="1" applyAlignment="1" applyProtection="1">
      <alignment/>
      <protection/>
    </xf>
    <xf numFmtId="0" fontId="31" fillId="0" borderId="29" xfId="0" applyFont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9" fontId="0" fillId="0" borderId="13" xfId="55" applyFont="1" applyBorder="1" applyAlignment="1" applyProtection="1">
      <alignment horizontal="right"/>
      <protection/>
    </xf>
    <xf numFmtId="180" fontId="0" fillId="0" borderId="13" xfId="55" applyNumberFormat="1" applyFont="1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/>
      <protection/>
    </xf>
    <xf numFmtId="9" fontId="0" fillId="0" borderId="13" xfId="55" applyFont="1" applyBorder="1" applyAlignment="1" applyProtection="1">
      <alignment horizontal="right"/>
      <protection/>
    </xf>
    <xf numFmtId="9" fontId="0" fillId="0" borderId="13" xfId="0" applyNumberFormat="1" applyFont="1" applyBorder="1" applyAlignment="1" applyProtection="1">
      <alignment horizontal="right"/>
      <protection/>
    </xf>
    <xf numFmtId="0" fontId="35" fillId="0" borderId="14" xfId="0" applyFont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right"/>
      <protection/>
    </xf>
    <xf numFmtId="2" fontId="1" fillId="0" borderId="30" xfId="0" applyNumberFormat="1" applyFont="1" applyBorder="1" applyAlignment="1" applyProtection="1">
      <alignment horizontal="right"/>
      <protection/>
    </xf>
    <xf numFmtId="2" fontId="0" fillId="0" borderId="31" xfId="0" applyNumberFormat="1" applyBorder="1" applyAlignment="1" applyProtection="1">
      <alignment horizontal="left"/>
      <protection/>
    </xf>
    <xf numFmtId="2" fontId="1" fillId="0" borderId="30" xfId="0" applyNumberFormat="1" applyFont="1" applyBorder="1" applyAlignment="1" applyProtection="1">
      <alignment horizontal="left"/>
      <protection/>
    </xf>
    <xf numFmtId="0" fontId="30" fillId="0" borderId="30" xfId="0" applyFont="1" applyBorder="1" applyAlignment="1" applyProtection="1">
      <alignment/>
      <protection/>
    </xf>
    <xf numFmtId="9" fontId="0" fillId="0" borderId="0" xfId="55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9" fontId="0" fillId="0" borderId="14" xfId="55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1" fontId="0" fillId="0" borderId="13" xfId="55" applyNumberFormat="1" applyFont="1" applyBorder="1" applyAlignment="1" applyProtection="1">
      <alignment horizontal="right"/>
      <protection/>
    </xf>
    <xf numFmtId="9" fontId="0" fillId="0" borderId="53" xfId="55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13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" fillId="0" borderId="31" xfId="0" applyFont="1" applyFill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 horizontal="left"/>
      <protection/>
    </xf>
    <xf numFmtId="2" fontId="19" fillId="0" borderId="58" xfId="0" applyNumberFormat="1" applyFont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/>
    </xf>
    <xf numFmtId="2" fontId="19" fillId="0" borderId="36" xfId="0" applyNumberFormat="1" applyFont="1" applyBorder="1" applyAlignment="1" applyProtection="1">
      <alignment horizontal="left"/>
      <protection/>
    </xf>
    <xf numFmtId="2" fontId="0" fillId="0" borderId="31" xfId="0" applyNumberFormat="1" applyBorder="1" applyAlignment="1" applyProtection="1">
      <alignment horizontal="right"/>
      <protection/>
    </xf>
    <xf numFmtId="2" fontId="0" fillId="0" borderId="34" xfId="0" applyNumberFormat="1" applyBorder="1" applyAlignment="1" applyProtection="1">
      <alignment horizontal="right"/>
      <protection/>
    </xf>
    <xf numFmtId="0" fontId="56" fillId="0" borderId="0" xfId="0" applyFont="1" applyAlignment="1" applyProtection="1">
      <alignment/>
      <protection/>
    </xf>
    <xf numFmtId="0" fontId="35" fillId="0" borderId="14" xfId="0" applyFont="1" applyBorder="1" applyAlignment="1" applyProtection="1">
      <alignment horizontal="center"/>
      <protection locked="0"/>
    </xf>
    <xf numFmtId="9" fontId="35" fillId="0" borderId="14" xfId="55" applyFon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/>
      <protection/>
    </xf>
    <xf numFmtId="0" fontId="38" fillId="0" borderId="14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18" fillId="40" borderId="0" xfId="0" applyFont="1" applyFill="1" applyAlignment="1" applyProtection="1">
      <alignment/>
      <protection/>
    </xf>
    <xf numFmtId="170" fontId="47" fillId="0" borderId="0" xfId="0" applyNumberFormat="1" applyFont="1" applyFill="1" applyBorder="1" applyAlignment="1" applyProtection="1">
      <alignment/>
      <protection/>
    </xf>
    <xf numFmtId="0" fontId="53" fillId="0" borderId="42" xfId="0" applyFont="1" applyFill="1" applyBorder="1" applyAlignment="1" applyProtection="1">
      <alignment/>
      <protection/>
    </xf>
    <xf numFmtId="0" fontId="0" fillId="41" borderId="60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/>
    </xf>
    <xf numFmtId="0" fontId="136" fillId="0" borderId="0" xfId="0" applyFont="1" applyAlignment="1" applyProtection="1">
      <alignment/>
      <protection locked="0"/>
    </xf>
    <xf numFmtId="0" fontId="137" fillId="0" borderId="20" xfId="0" applyFont="1" applyBorder="1" applyAlignment="1" applyProtection="1">
      <alignment/>
      <protection/>
    </xf>
    <xf numFmtId="0" fontId="137" fillId="0" borderId="18" xfId="0" applyFont="1" applyBorder="1" applyAlignment="1" applyProtection="1">
      <alignment/>
      <protection/>
    </xf>
    <xf numFmtId="10" fontId="137" fillId="0" borderId="36" xfId="0" applyNumberFormat="1" applyFont="1" applyFill="1" applyBorder="1" applyAlignment="1" applyProtection="1">
      <alignment/>
      <protection/>
    </xf>
    <xf numFmtId="0" fontId="52" fillId="33" borderId="47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48" xfId="0" applyFont="1" applyFill="1" applyBorder="1" applyAlignment="1" applyProtection="1">
      <alignment/>
      <protection/>
    </xf>
    <xf numFmtId="180" fontId="0" fillId="0" borderId="61" xfId="0" applyNumberFormat="1" applyFont="1" applyBorder="1" applyAlignment="1" applyProtection="1">
      <alignment/>
      <protection/>
    </xf>
    <xf numFmtId="0" fontId="0" fillId="41" borderId="62" xfId="0" applyFill="1" applyBorder="1" applyAlignment="1" applyProtection="1">
      <alignment/>
      <protection/>
    </xf>
    <xf numFmtId="0" fontId="0" fillId="41" borderId="63" xfId="0" applyFill="1" applyBorder="1" applyAlignment="1" applyProtection="1">
      <alignment/>
      <protection/>
    </xf>
    <xf numFmtId="0" fontId="1" fillId="41" borderId="63" xfId="0" applyFont="1" applyFill="1" applyBorder="1" applyAlignment="1" applyProtection="1">
      <alignment/>
      <protection/>
    </xf>
    <xf numFmtId="9" fontId="1" fillId="41" borderId="63" xfId="0" applyNumberFormat="1" applyFont="1" applyFill="1" applyBorder="1" applyAlignment="1" applyProtection="1">
      <alignment/>
      <protection/>
    </xf>
    <xf numFmtId="0" fontId="0" fillId="41" borderId="64" xfId="0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hidden="1"/>
    </xf>
    <xf numFmtId="0" fontId="138" fillId="0" borderId="11" xfId="0" applyNumberFormat="1" applyFont="1" applyBorder="1" applyAlignment="1" applyProtection="1">
      <alignment/>
      <protection hidden="1"/>
    </xf>
    <xf numFmtId="0" fontId="138" fillId="0" borderId="0" xfId="0" applyNumberFormat="1" applyFont="1" applyAlignment="1" applyProtection="1">
      <alignment/>
      <protection hidden="1"/>
    </xf>
    <xf numFmtId="0" fontId="139" fillId="0" borderId="50" xfId="0" applyNumberFormat="1" applyFont="1" applyBorder="1" applyAlignment="1" applyProtection="1">
      <alignment/>
      <protection hidden="1"/>
    </xf>
    <xf numFmtId="0" fontId="139" fillId="0" borderId="0" xfId="0" applyNumberFormat="1" applyFont="1" applyAlignment="1">
      <alignment/>
    </xf>
    <xf numFmtId="0" fontId="0" fillId="40" borderId="14" xfId="0" applyFill="1" applyBorder="1" applyAlignment="1" applyProtection="1">
      <alignment/>
      <protection hidden="1"/>
    </xf>
    <xf numFmtId="0" fontId="31" fillId="40" borderId="14" xfId="0" applyFont="1" applyFill="1" applyBorder="1" applyAlignment="1" applyProtection="1">
      <alignment/>
      <protection hidden="1"/>
    </xf>
    <xf numFmtId="0" fontId="139" fillId="40" borderId="50" xfId="0" applyNumberFormat="1" applyFont="1" applyFill="1" applyBorder="1" applyAlignment="1" applyProtection="1">
      <alignment/>
      <protection hidden="1"/>
    </xf>
    <xf numFmtId="0" fontId="0" fillId="40" borderId="29" xfId="0" applyNumberFormat="1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0" fillId="40" borderId="14" xfId="0" applyFill="1" applyBorder="1" applyAlignment="1">
      <alignment/>
    </xf>
    <xf numFmtId="0" fontId="0" fillId="40" borderId="0" xfId="0" applyFill="1" applyAlignment="1">
      <alignment/>
    </xf>
    <xf numFmtId="0" fontId="1" fillId="0" borderId="14" xfId="55" applyNumberFormat="1" applyFont="1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 locked="0"/>
    </xf>
    <xf numFmtId="2" fontId="5" fillId="0" borderId="6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70" fontId="49" fillId="0" borderId="0" xfId="51" applyFont="1" applyFill="1" applyBorder="1" applyAlignment="1" applyProtection="1">
      <alignment/>
      <protection/>
    </xf>
    <xf numFmtId="9" fontId="0" fillId="33" borderId="66" xfId="0" applyNumberFormat="1" applyFont="1" applyFill="1" applyBorder="1" applyAlignment="1" applyProtection="1">
      <alignment/>
      <protection/>
    </xf>
    <xf numFmtId="0" fontId="0" fillId="42" borderId="67" xfId="0" applyFill="1" applyBorder="1" applyAlignment="1" applyProtection="1">
      <alignment/>
      <protection/>
    </xf>
    <xf numFmtId="0" fontId="140" fillId="41" borderId="68" xfId="0" applyFont="1" applyFill="1" applyBorder="1" applyAlignment="1" applyProtection="1">
      <alignment/>
      <protection/>
    </xf>
    <xf numFmtId="0" fontId="140" fillId="41" borderId="69" xfId="0" applyFont="1" applyFill="1" applyBorder="1" applyAlignment="1" applyProtection="1">
      <alignment/>
      <protection/>
    </xf>
    <xf numFmtId="0" fontId="141" fillId="41" borderId="69" xfId="0" applyFont="1" applyFill="1" applyBorder="1" applyAlignment="1" applyProtection="1">
      <alignment/>
      <protection/>
    </xf>
    <xf numFmtId="9" fontId="141" fillId="41" borderId="69" xfId="0" applyNumberFormat="1" applyFont="1" applyFill="1" applyBorder="1" applyAlignment="1" applyProtection="1">
      <alignment/>
      <protection/>
    </xf>
    <xf numFmtId="0" fontId="142" fillId="41" borderId="70" xfId="0" applyFont="1" applyFill="1" applyBorder="1" applyAlignment="1" applyProtection="1">
      <alignment/>
      <protection/>
    </xf>
    <xf numFmtId="0" fontId="140" fillId="0" borderId="0" xfId="0" applyFont="1" applyAlignment="1" applyProtection="1">
      <alignment/>
      <protection/>
    </xf>
    <xf numFmtId="0" fontId="140" fillId="41" borderId="71" xfId="0" applyFont="1" applyFill="1" applyBorder="1" applyAlignment="1" applyProtection="1">
      <alignment/>
      <protection/>
    </xf>
    <xf numFmtId="0" fontId="140" fillId="0" borderId="72" xfId="0" applyFont="1" applyBorder="1" applyAlignment="1" applyProtection="1">
      <alignment/>
      <protection/>
    </xf>
    <xf numFmtId="10" fontId="143" fillId="0" borderId="73" xfId="0" applyNumberFormat="1" applyFont="1" applyBorder="1" applyAlignment="1" applyProtection="1">
      <alignment/>
      <protection/>
    </xf>
    <xf numFmtId="0" fontId="140" fillId="0" borderId="73" xfId="0" applyFont="1" applyBorder="1" applyAlignment="1" applyProtection="1">
      <alignment/>
      <protection/>
    </xf>
    <xf numFmtId="0" fontId="140" fillId="0" borderId="74" xfId="0" applyFont="1" applyBorder="1" applyAlignment="1" applyProtection="1">
      <alignment/>
      <protection/>
    </xf>
    <xf numFmtId="0" fontId="144" fillId="41" borderId="75" xfId="0" applyFont="1" applyFill="1" applyBorder="1" applyAlignment="1" applyProtection="1">
      <alignment/>
      <protection/>
    </xf>
    <xf numFmtId="9" fontId="145" fillId="0" borderId="0" xfId="0" applyNumberFormat="1" applyFont="1" applyAlignment="1" applyProtection="1">
      <alignment/>
      <protection/>
    </xf>
    <xf numFmtId="9" fontId="141" fillId="41" borderId="71" xfId="0" applyNumberFormat="1" applyFont="1" applyFill="1" applyBorder="1" applyAlignment="1" applyProtection="1">
      <alignment/>
      <protection/>
    </xf>
    <xf numFmtId="0" fontId="140" fillId="0" borderId="76" xfId="0" applyFont="1" applyBorder="1" applyAlignment="1" applyProtection="1">
      <alignment/>
      <protection/>
    </xf>
    <xf numFmtId="10" fontId="143" fillId="0" borderId="0" xfId="0" applyNumberFormat="1" applyFont="1" applyBorder="1" applyAlignment="1" applyProtection="1">
      <alignment/>
      <protection/>
    </xf>
    <xf numFmtId="0" fontId="140" fillId="0" borderId="0" xfId="0" applyFont="1" applyBorder="1" applyAlignment="1" applyProtection="1">
      <alignment/>
      <protection/>
    </xf>
    <xf numFmtId="0" fontId="140" fillId="0" borderId="77" xfId="0" applyFont="1" applyBorder="1" applyAlignment="1" applyProtection="1">
      <alignment/>
      <protection/>
    </xf>
    <xf numFmtId="0" fontId="146" fillId="41" borderId="75" xfId="0" applyFont="1" applyFill="1" applyBorder="1" applyAlignment="1" applyProtection="1">
      <alignment/>
      <protection/>
    </xf>
    <xf numFmtId="0" fontId="140" fillId="0" borderId="78" xfId="0" applyFont="1" applyBorder="1" applyAlignment="1" applyProtection="1">
      <alignment/>
      <protection/>
    </xf>
    <xf numFmtId="10" fontId="143" fillId="0" borderId="79" xfId="55" applyNumberFormat="1" applyFont="1" applyBorder="1" applyAlignment="1" applyProtection="1">
      <alignment/>
      <protection/>
    </xf>
    <xf numFmtId="10" fontId="145" fillId="0" borderId="0" xfId="0" applyNumberFormat="1" applyFont="1" applyAlignment="1" applyProtection="1">
      <alignment/>
      <protection/>
    </xf>
    <xf numFmtId="0" fontId="147" fillId="0" borderId="0" xfId="0" applyFont="1" applyAlignment="1">
      <alignment/>
    </xf>
    <xf numFmtId="0" fontId="147" fillId="0" borderId="50" xfId="0" applyNumberFormat="1" applyFont="1" applyBorder="1" applyAlignment="1" applyProtection="1">
      <alignment/>
      <protection hidden="1"/>
    </xf>
    <xf numFmtId="0" fontId="148" fillId="0" borderId="14" xfId="0" applyFont="1" applyBorder="1" applyAlignment="1" applyProtection="1">
      <alignment/>
      <protection hidden="1"/>
    </xf>
    <xf numFmtId="0" fontId="147" fillId="0" borderId="14" xfId="0" applyFont="1" applyBorder="1" applyAlignment="1" applyProtection="1">
      <alignment/>
      <protection hidden="1"/>
    </xf>
    <xf numFmtId="0" fontId="147" fillId="0" borderId="33" xfId="0" applyNumberFormat="1" applyFont="1" applyBorder="1" applyAlignment="1" applyProtection="1">
      <alignment/>
      <protection hidden="1"/>
    </xf>
    <xf numFmtId="0" fontId="148" fillId="33" borderId="14" xfId="0" applyFont="1" applyFill="1" applyBorder="1" applyAlignment="1" applyProtection="1">
      <alignment/>
      <protection hidden="1"/>
    </xf>
    <xf numFmtId="0" fontId="147" fillId="33" borderId="14" xfId="0" applyFont="1" applyFill="1" applyBorder="1" applyAlignment="1" applyProtection="1">
      <alignment/>
      <protection hidden="1"/>
    </xf>
    <xf numFmtId="0" fontId="149" fillId="40" borderId="50" xfId="0" applyNumberFormat="1" applyFont="1" applyFill="1" applyBorder="1" applyAlignment="1" applyProtection="1">
      <alignment/>
      <protection hidden="1"/>
    </xf>
    <xf numFmtId="0" fontId="147" fillId="0" borderId="15" xfId="0" applyFont="1" applyBorder="1" applyAlignment="1" applyProtection="1">
      <alignment/>
      <protection hidden="1"/>
    </xf>
    <xf numFmtId="0" fontId="147" fillId="0" borderId="14" xfId="0" applyFont="1" applyBorder="1" applyAlignment="1">
      <alignment/>
    </xf>
    <xf numFmtId="0" fontId="17" fillId="43" borderId="27" xfId="0" applyFont="1" applyFill="1" applyBorder="1" applyAlignment="1" applyProtection="1">
      <alignment horizontal="left" indent="1"/>
      <protection/>
    </xf>
    <xf numFmtId="0" fontId="150" fillId="0" borderId="0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left" indent="1"/>
      <protection/>
    </xf>
    <xf numFmtId="0" fontId="0" fillId="16" borderId="0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1" fillId="0" borderId="50" xfId="0" applyNumberFormat="1" applyFont="1" applyBorder="1" applyAlignment="1" applyProtection="1">
      <alignment/>
      <protection hidden="1"/>
    </xf>
    <xf numFmtId="0" fontId="1" fillId="40" borderId="50" xfId="0" applyNumberFormat="1" applyFont="1" applyFill="1" applyBorder="1" applyAlignment="1" applyProtection="1">
      <alignment/>
      <protection hidden="1"/>
    </xf>
    <xf numFmtId="0" fontId="149" fillId="0" borderId="50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40" borderId="50" xfId="0" applyNumberFormat="1" applyFill="1" applyBorder="1" applyAlignment="1" applyProtection="1">
      <alignment/>
      <protection hidden="1"/>
    </xf>
    <xf numFmtId="0" fontId="139" fillId="0" borderId="33" xfId="0" applyNumberFormat="1" applyFont="1" applyBorder="1" applyAlignment="1" applyProtection="1">
      <alignment/>
      <protection hidden="1"/>
    </xf>
    <xf numFmtId="0" fontId="139" fillId="40" borderId="33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/>
      <protection locked="0"/>
    </xf>
    <xf numFmtId="0" fontId="151" fillId="0" borderId="0" xfId="0" applyFont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144" fillId="41" borderId="0" xfId="0" applyFont="1" applyFill="1" applyBorder="1" applyAlignment="1" applyProtection="1">
      <alignment/>
      <protection/>
    </xf>
    <xf numFmtId="0" fontId="152" fillId="16" borderId="0" xfId="0" applyFont="1" applyFill="1" applyBorder="1" applyAlignment="1" applyProtection="1">
      <alignment/>
      <protection/>
    </xf>
    <xf numFmtId="0" fontId="7" fillId="0" borderId="80" xfId="0" applyFont="1" applyBorder="1" applyAlignment="1" applyProtection="1">
      <alignment/>
      <protection/>
    </xf>
    <xf numFmtId="2" fontId="61" fillId="0" borderId="81" xfId="0" applyNumberFormat="1" applyFont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/>
      <protection/>
    </xf>
    <xf numFmtId="0" fontId="0" fillId="0" borderId="83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53" fillId="33" borderId="0" xfId="0" applyFont="1" applyFill="1" applyBorder="1" applyAlignment="1" applyProtection="1">
      <alignment/>
      <protection hidden="1"/>
    </xf>
    <xf numFmtId="0" fontId="153" fillId="0" borderId="0" xfId="0" applyNumberFormat="1" applyFont="1" applyAlignment="1" applyProtection="1">
      <alignment/>
      <protection hidden="1"/>
    </xf>
    <xf numFmtId="0" fontId="154" fillId="0" borderId="33" xfId="0" applyNumberFormat="1" applyFont="1" applyBorder="1" applyAlignment="1" applyProtection="1">
      <alignment/>
      <protection hidden="1"/>
    </xf>
    <xf numFmtId="0" fontId="154" fillId="40" borderId="33" xfId="0" applyNumberFormat="1" applyFont="1" applyFill="1" applyBorder="1" applyAlignment="1" applyProtection="1">
      <alignment/>
      <protection hidden="1"/>
    </xf>
    <xf numFmtId="0" fontId="154" fillId="0" borderId="0" xfId="0" applyFont="1" applyAlignment="1">
      <alignment/>
    </xf>
    <xf numFmtId="0" fontId="7" fillId="40" borderId="0" xfId="0" applyFont="1" applyFill="1" applyAlignment="1" applyProtection="1">
      <alignment/>
      <protection/>
    </xf>
    <xf numFmtId="0" fontId="155" fillId="42" borderId="84" xfId="0" applyFont="1" applyFill="1" applyBorder="1" applyAlignment="1" applyProtection="1">
      <alignment/>
      <protection/>
    </xf>
    <xf numFmtId="0" fontId="0" fillId="44" borderId="0" xfId="0" applyFont="1" applyFill="1" applyAlignment="1" applyProtection="1">
      <alignment/>
      <protection/>
    </xf>
    <xf numFmtId="180" fontId="0" fillId="41" borderId="0" xfId="55" applyNumberFormat="1" applyFont="1" applyFill="1" applyAlignment="1" applyProtection="1">
      <alignment/>
      <protection/>
    </xf>
    <xf numFmtId="10" fontId="0" fillId="0" borderId="0" xfId="55" applyNumberFormat="1" applyFont="1" applyFill="1" applyAlignment="1" applyProtection="1">
      <alignment/>
      <protection/>
    </xf>
    <xf numFmtId="204" fontId="139" fillId="0" borderId="5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/>
    </xf>
    <xf numFmtId="17" fontId="7" fillId="0" borderId="0" xfId="0" applyNumberFormat="1" applyFont="1" applyAlignment="1" applyProtection="1">
      <alignment/>
      <protection/>
    </xf>
    <xf numFmtId="0" fontId="31" fillId="0" borderId="0" xfId="0" applyNumberFormat="1" applyFont="1" applyAlignment="1" applyProtection="1">
      <alignment/>
      <protection hidden="1"/>
    </xf>
    <xf numFmtId="0" fontId="156" fillId="0" borderId="0" xfId="0" applyNumberFormat="1" applyFont="1" applyAlignment="1" applyProtection="1">
      <alignment/>
      <protection hidden="1"/>
    </xf>
    <xf numFmtId="0" fontId="1" fillId="36" borderId="85" xfId="0" applyFont="1" applyFill="1" applyBorder="1" applyAlignment="1" applyProtection="1">
      <alignment/>
      <protection/>
    </xf>
    <xf numFmtId="0" fontId="63" fillId="45" borderId="0" xfId="46" applyFont="1" applyFill="1" applyBorder="1" applyAlignment="1" applyProtection="1">
      <alignment/>
      <protection/>
    </xf>
    <xf numFmtId="2" fontId="0" fillId="45" borderId="0" xfId="0" applyNumberForma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157" fillId="41" borderId="86" xfId="0" applyFont="1" applyFill="1" applyBorder="1" applyAlignment="1" applyProtection="1">
      <alignment/>
      <protection/>
    </xf>
    <xf numFmtId="0" fontId="1" fillId="40" borderId="0" xfId="0" applyFont="1" applyFill="1" applyAlignment="1" applyProtection="1">
      <alignment/>
      <protection/>
    </xf>
    <xf numFmtId="0" fontId="146" fillId="41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left" indent="1"/>
      <protection/>
    </xf>
    <xf numFmtId="180" fontId="0" fillId="0" borderId="0" xfId="0" applyNumberFormat="1" applyFont="1" applyBorder="1" applyAlignment="1" applyProtection="1">
      <alignment/>
      <protection/>
    </xf>
    <xf numFmtId="10" fontId="0" fillId="41" borderId="0" xfId="55" applyNumberFormat="1" applyFont="1" applyFill="1" applyAlignment="1" applyProtection="1">
      <alignment/>
      <protection/>
    </xf>
    <xf numFmtId="0" fontId="41" fillId="44" borderId="87" xfId="0" applyFont="1" applyFill="1" applyBorder="1" applyAlignment="1" applyProtection="1">
      <alignment/>
      <protection/>
    </xf>
    <xf numFmtId="170" fontId="62" fillId="44" borderId="88" xfId="51" applyFont="1" applyFill="1" applyBorder="1" applyAlignment="1" applyProtection="1">
      <alignment horizontal="left"/>
      <protection/>
    </xf>
    <xf numFmtId="0" fontId="41" fillId="44" borderId="89" xfId="0" applyFont="1" applyFill="1" applyBorder="1" applyAlignment="1" applyProtection="1">
      <alignment/>
      <protection/>
    </xf>
    <xf numFmtId="10" fontId="62" fillId="44" borderId="90" xfId="55" applyNumberFormat="1" applyFont="1" applyFill="1" applyBorder="1" applyAlignment="1" applyProtection="1">
      <alignment horizontal="right"/>
      <protection/>
    </xf>
    <xf numFmtId="2" fontId="61" fillId="0" borderId="0" xfId="0" applyNumberFormat="1" applyFont="1" applyBorder="1" applyAlignment="1" applyProtection="1">
      <alignment horizontal="center" vertical="center"/>
      <protection/>
    </xf>
    <xf numFmtId="0" fontId="158" fillId="43" borderId="27" xfId="0" applyFont="1" applyFill="1" applyBorder="1" applyAlignment="1" applyProtection="1">
      <alignment horizontal="left" indent="1"/>
      <protection/>
    </xf>
    <xf numFmtId="0" fontId="159" fillId="43" borderId="27" xfId="0" applyFont="1" applyFill="1" applyBorder="1" applyAlignment="1" applyProtection="1">
      <alignment horizontal="left" indent="1"/>
      <protection/>
    </xf>
    <xf numFmtId="0" fontId="19" fillId="41" borderId="0" xfId="0" applyFont="1" applyFill="1" applyAlignment="1" applyProtection="1">
      <alignment/>
      <protection/>
    </xf>
    <xf numFmtId="0" fontId="160" fillId="41" borderId="87" xfId="0" applyFont="1" applyFill="1" applyBorder="1" applyAlignment="1" applyProtection="1">
      <alignment/>
      <protection/>
    </xf>
    <xf numFmtId="0" fontId="160" fillId="41" borderId="89" xfId="0" applyFont="1" applyFill="1" applyBorder="1" applyAlignment="1" applyProtection="1">
      <alignment/>
      <protection/>
    </xf>
    <xf numFmtId="0" fontId="160" fillId="41" borderId="0" xfId="0" applyFont="1" applyFill="1" applyBorder="1" applyAlignment="1" applyProtection="1">
      <alignment/>
      <protection/>
    </xf>
    <xf numFmtId="180" fontId="161" fillId="41" borderId="0" xfId="55" applyNumberFormat="1" applyFont="1" applyFill="1" applyAlignment="1" applyProtection="1">
      <alignment/>
      <protection/>
    </xf>
    <xf numFmtId="0" fontId="161" fillId="41" borderId="0" xfId="0" applyFont="1" applyFill="1" applyAlignment="1" applyProtection="1">
      <alignment/>
      <protection/>
    </xf>
    <xf numFmtId="180" fontId="0" fillId="41" borderId="0" xfId="55" applyNumberFormat="1" applyFont="1" applyFill="1" applyAlignment="1" applyProtection="1">
      <alignment/>
      <protection/>
    </xf>
    <xf numFmtId="0" fontId="41" fillId="46" borderId="87" xfId="0" applyFont="1" applyFill="1" applyBorder="1" applyAlignment="1" applyProtection="1">
      <alignment/>
      <protection/>
    </xf>
    <xf numFmtId="170" fontId="62" fillId="46" borderId="88" xfId="51" applyFont="1" applyFill="1" applyBorder="1" applyAlignment="1" applyProtection="1">
      <alignment horizontal="left"/>
      <protection/>
    </xf>
    <xf numFmtId="0" fontId="41" fillId="46" borderId="89" xfId="0" applyFont="1" applyFill="1" applyBorder="1" applyAlignment="1" applyProtection="1">
      <alignment/>
      <protection/>
    </xf>
    <xf numFmtId="10" fontId="62" fillId="46" borderId="90" xfId="55" applyNumberFormat="1" applyFont="1" applyFill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1" fillId="0" borderId="91" xfId="0" applyFont="1" applyBorder="1" applyAlignment="1" applyProtection="1">
      <alignment/>
      <protection/>
    </xf>
    <xf numFmtId="0" fontId="1" fillId="0" borderId="92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18" fillId="0" borderId="94" xfId="0" applyFont="1" applyBorder="1" applyAlignment="1" applyProtection="1">
      <alignment/>
      <protection/>
    </xf>
    <xf numFmtId="0" fontId="162" fillId="0" borderId="95" xfId="0" applyFont="1" applyBorder="1" applyAlignment="1" applyProtection="1">
      <alignment horizontal="center"/>
      <protection locked="0"/>
    </xf>
    <xf numFmtId="1" fontId="5" fillId="0" borderId="95" xfId="55" applyNumberFormat="1" applyFont="1" applyBorder="1" applyAlignment="1" applyProtection="1">
      <alignment horizontal="center"/>
      <protection locked="0"/>
    </xf>
    <xf numFmtId="9" fontId="7" fillId="0" borderId="94" xfId="55" applyFont="1" applyBorder="1" applyAlignment="1" applyProtection="1">
      <alignment horizontal="center"/>
      <protection/>
    </xf>
    <xf numFmtId="0" fontId="163" fillId="42" borderId="96" xfId="55" applyNumberFormat="1" applyFont="1" applyFill="1" applyBorder="1" applyAlignment="1" applyProtection="1">
      <alignment horizontal="center"/>
      <protection locked="0"/>
    </xf>
    <xf numFmtId="0" fontId="163" fillId="0" borderId="94" xfId="55" applyNumberFormat="1" applyFont="1" applyFill="1" applyBorder="1" applyAlignment="1" applyProtection="1">
      <alignment horizontal="center"/>
      <protection locked="0"/>
    </xf>
    <xf numFmtId="1" fontId="6" fillId="0" borderId="97" xfId="0" applyNumberFormat="1" applyFont="1" applyBorder="1" applyAlignment="1" applyProtection="1">
      <alignment/>
      <protection/>
    </xf>
    <xf numFmtId="0" fontId="1" fillId="0" borderId="98" xfId="0" applyFon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7" fillId="0" borderId="94" xfId="0" applyFont="1" applyBorder="1" applyAlignment="1" applyProtection="1">
      <alignment/>
      <protection/>
    </xf>
    <xf numFmtId="0" fontId="7" fillId="0" borderId="94" xfId="0" applyFont="1" applyFill="1" applyBorder="1" applyAlignment="1" applyProtection="1">
      <alignment/>
      <protection/>
    </xf>
    <xf numFmtId="0" fontId="0" fillId="39" borderId="94" xfId="0" applyFill="1" applyBorder="1" applyAlignment="1" applyProtection="1">
      <alignment/>
      <protection/>
    </xf>
    <xf numFmtId="0" fontId="5" fillId="0" borderId="99" xfId="0" applyFont="1" applyBorder="1" applyAlignment="1" applyProtection="1">
      <alignment horizontal="center"/>
      <protection locked="0"/>
    </xf>
    <xf numFmtId="0" fontId="5" fillId="0" borderId="95" xfId="0" applyFont="1" applyBorder="1" applyAlignment="1" applyProtection="1">
      <alignment horizontal="center"/>
      <protection locked="0"/>
    </xf>
    <xf numFmtId="9" fontId="7" fillId="36" borderId="100" xfId="55" applyFont="1" applyFill="1" applyBorder="1" applyAlignment="1" applyProtection="1">
      <alignment horizontal="center"/>
      <protection locked="0"/>
    </xf>
    <xf numFmtId="0" fontId="5" fillId="36" borderId="99" xfId="0" applyFont="1" applyFill="1" applyBorder="1" applyAlignment="1" applyProtection="1">
      <alignment horizontal="center"/>
      <protection locked="0"/>
    </xf>
    <xf numFmtId="0" fontId="163" fillId="41" borderId="101" xfId="55" applyNumberFormat="1" applyFont="1" applyFill="1" applyBorder="1" applyAlignment="1" applyProtection="1">
      <alignment horizontal="center"/>
      <protection locked="0"/>
    </xf>
    <xf numFmtId="9" fontId="7" fillId="0" borderId="94" xfId="55" applyFont="1" applyBorder="1" applyAlignment="1" applyProtection="1">
      <alignment horizontal="center"/>
      <protection locked="0"/>
    </xf>
    <xf numFmtId="0" fontId="0" fillId="16" borderId="94" xfId="0" applyFill="1" applyBorder="1" applyAlignment="1" applyProtection="1">
      <alignment/>
      <protection/>
    </xf>
    <xf numFmtId="0" fontId="0" fillId="0" borderId="102" xfId="0" applyBorder="1" applyAlignment="1" applyProtection="1">
      <alignment/>
      <protection/>
    </xf>
    <xf numFmtId="0" fontId="7" fillId="0" borderId="100" xfId="0" applyFont="1" applyBorder="1" applyAlignment="1" applyProtection="1">
      <alignment/>
      <protection/>
    </xf>
    <xf numFmtId="0" fontId="0" fillId="0" borderId="94" xfId="0" applyFill="1" applyBorder="1" applyAlignment="1" applyProtection="1">
      <alignment/>
      <protection/>
    </xf>
    <xf numFmtId="0" fontId="39" fillId="0" borderId="94" xfId="0" applyFont="1" applyFill="1" applyBorder="1" applyAlignment="1" applyProtection="1">
      <alignment/>
      <protection/>
    </xf>
    <xf numFmtId="0" fontId="0" fillId="38" borderId="94" xfId="0" applyFill="1" applyBorder="1" applyAlignment="1" applyProtection="1">
      <alignment/>
      <protection/>
    </xf>
    <xf numFmtId="9" fontId="7" fillId="0" borderId="103" xfId="55" applyFont="1" applyBorder="1" applyAlignment="1" applyProtection="1">
      <alignment horizontal="center"/>
      <protection/>
    </xf>
    <xf numFmtId="2" fontId="40" fillId="0" borderId="94" xfId="0" applyNumberFormat="1" applyFont="1" applyFill="1" applyBorder="1" applyAlignment="1" applyProtection="1">
      <alignment horizontal="right"/>
      <protection/>
    </xf>
    <xf numFmtId="0" fontId="0" fillId="39" borderId="104" xfId="0" applyFill="1" applyBorder="1" applyAlignment="1" applyProtection="1">
      <alignment/>
      <protection/>
    </xf>
    <xf numFmtId="0" fontId="0" fillId="39" borderId="105" xfId="0" applyFill="1" applyBorder="1" applyAlignment="1" applyProtection="1">
      <alignment/>
      <protection/>
    </xf>
    <xf numFmtId="2" fontId="0" fillId="47" borderId="94" xfId="0" applyNumberForma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10" fontId="62" fillId="0" borderId="0" xfId="55" applyNumberFormat="1" applyFont="1" applyFill="1" applyBorder="1" applyAlignment="1" applyProtection="1">
      <alignment horizontal="right"/>
      <protection/>
    </xf>
    <xf numFmtId="0" fontId="7" fillId="0" borderId="106" xfId="0" applyFont="1" applyBorder="1" applyAlignment="1" applyProtection="1">
      <alignment/>
      <protection/>
    </xf>
    <xf numFmtId="2" fontId="4" fillId="0" borderId="107" xfId="0" applyNumberFormat="1" applyFont="1" applyBorder="1" applyAlignment="1" applyProtection="1">
      <alignment horizontal="left"/>
      <protection/>
    </xf>
    <xf numFmtId="0" fontId="1" fillId="0" borderId="108" xfId="0" applyFont="1" applyBorder="1" applyAlignment="1" applyProtection="1">
      <alignment/>
      <protection/>
    </xf>
    <xf numFmtId="170" fontId="4" fillId="0" borderId="109" xfId="51" applyFont="1" applyBorder="1" applyAlignment="1" applyProtection="1">
      <alignment horizontal="right"/>
      <protection/>
    </xf>
    <xf numFmtId="0" fontId="1" fillId="0" borderId="110" xfId="0" applyFont="1" applyBorder="1" applyAlignment="1" applyProtection="1">
      <alignment/>
      <protection/>
    </xf>
    <xf numFmtId="170" fontId="4" fillId="0" borderId="109" xfId="51" applyFont="1" applyBorder="1" applyAlignment="1" applyProtection="1">
      <alignment horizontal="left"/>
      <protection/>
    </xf>
    <xf numFmtId="0" fontId="1" fillId="0" borderId="111" xfId="0" applyFont="1" applyBorder="1" applyAlignment="1" applyProtection="1">
      <alignment/>
      <protection/>
    </xf>
    <xf numFmtId="2" fontId="4" fillId="0" borderId="112" xfId="0" applyNumberFormat="1" applyFont="1" applyBorder="1" applyAlignment="1" applyProtection="1">
      <alignment horizontal="left"/>
      <protection/>
    </xf>
    <xf numFmtId="2" fontId="4" fillId="0" borderId="112" xfId="0" applyNumberFormat="1" applyFont="1" applyBorder="1" applyAlignment="1" applyProtection="1">
      <alignment horizontal="right"/>
      <protection/>
    </xf>
    <xf numFmtId="2" fontId="4" fillId="0" borderId="111" xfId="0" applyNumberFormat="1" applyFont="1" applyBorder="1" applyAlignment="1" applyProtection="1">
      <alignment horizontal="left"/>
      <protection/>
    </xf>
    <xf numFmtId="180" fontId="19" fillId="0" borderId="111" xfId="0" applyNumberFormat="1" applyFont="1" applyBorder="1" applyAlignment="1" applyProtection="1">
      <alignment/>
      <protection/>
    </xf>
    <xf numFmtId="2" fontId="8" fillId="0" borderId="112" xfId="0" applyNumberFormat="1" applyFont="1" applyBorder="1" applyAlignment="1" applyProtection="1">
      <alignment horizontal="right"/>
      <protection/>
    </xf>
    <xf numFmtId="2" fontId="4" fillId="0" borderId="113" xfId="0" applyNumberFormat="1" applyFont="1" applyBorder="1" applyAlignment="1" applyProtection="1">
      <alignment horizontal="left"/>
      <protection/>
    </xf>
    <xf numFmtId="180" fontId="39" fillId="36" borderId="114" xfId="0" applyNumberFormat="1" applyFont="1" applyFill="1" applyBorder="1" applyAlignment="1" applyProtection="1">
      <alignment/>
      <protection/>
    </xf>
    <xf numFmtId="2" fontId="40" fillId="36" borderId="109" xfId="0" applyNumberFormat="1" applyFont="1" applyFill="1" applyBorder="1" applyAlignment="1" applyProtection="1">
      <alignment horizontal="right"/>
      <protection/>
    </xf>
    <xf numFmtId="0" fontId="0" fillId="0" borderId="115" xfId="0" applyBorder="1" applyAlignment="1" applyProtection="1">
      <alignment/>
      <protection/>
    </xf>
    <xf numFmtId="2" fontId="64" fillId="36" borderId="116" xfId="0" applyNumberFormat="1" applyFont="1" applyFill="1" applyBorder="1" applyAlignment="1" applyProtection="1">
      <alignment horizontal="left"/>
      <protection/>
    </xf>
    <xf numFmtId="44" fontId="0" fillId="0" borderId="112" xfId="0" applyNumberFormat="1" applyBorder="1" applyAlignment="1" applyProtection="1">
      <alignment/>
      <protection/>
    </xf>
    <xf numFmtId="0" fontId="0" fillId="0" borderId="111" xfId="0" applyFont="1" applyBorder="1" applyAlignment="1" applyProtection="1">
      <alignment/>
      <protection/>
    </xf>
    <xf numFmtId="2" fontId="65" fillId="36" borderId="116" xfId="0" applyNumberFormat="1" applyFont="1" applyFill="1" applyBorder="1" applyAlignment="1" applyProtection="1">
      <alignment horizontal="left"/>
      <protection/>
    </xf>
    <xf numFmtId="10" fontId="164" fillId="0" borderId="0" xfId="55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183" fontId="0" fillId="41" borderId="0" xfId="55" applyNumberFormat="1" applyFont="1" applyFill="1" applyAlignment="1" applyProtection="1">
      <alignment/>
      <protection/>
    </xf>
    <xf numFmtId="0" fontId="36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0" fillId="0" borderId="94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6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6" fillId="0" borderId="94" xfId="0" applyNumberFormat="1" applyFont="1" applyBorder="1" applyAlignment="1" applyProtection="1">
      <alignment/>
      <protection/>
    </xf>
    <xf numFmtId="0" fontId="158" fillId="48" borderId="0" xfId="0" applyFont="1" applyFill="1" applyBorder="1" applyAlignment="1" applyProtection="1">
      <alignment/>
      <protection/>
    </xf>
    <xf numFmtId="0" fontId="0" fillId="48" borderId="0" xfId="0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17" fontId="165" fillId="40" borderId="0" xfId="0" applyNumberFormat="1" applyFont="1" applyFill="1" applyBorder="1" applyAlignment="1" applyProtection="1" quotePrefix="1">
      <alignment/>
      <protection/>
    </xf>
    <xf numFmtId="9" fontId="60" fillId="40" borderId="0" xfId="55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 horizontal="right"/>
    </xf>
    <xf numFmtId="1" fontId="166" fillId="0" borderId="14" xfId="0" applyNumberFormat="1" applyFont="1" applyBorder="1" applyAlignment="1">
      <alignment/>
    </xf>
    <xf numFmtId="17" fontId="167" fillId="40" borderId="0" xfId="0" applyNumberFormat="1" applyFont="1" applyFill="1" applyBorder="1" applyAlignment="1" applyProtection="1" quotePrefix="1">
      <alignment/>
      <protection/>
    </xf>
    <xf numFmtId="17" fontId="167" fillId="11" borderId="0" xfId="0" applyNumberFormat="1" applyFont="1" applyFill="1" applyBorder="1" applyAlignment="1" applyProtection="1" quotePrefix="1">
      <alignment/>
      <protection/>
    </xf>
    <xf numFmtId="17" fontId="167" fillId="14" borderId="0" xfId="0" applyNumberFormat="1" applyFont="1" applyFill="1" applyBorder="1" applyAlignment="1" applyProtection="1" quotePrefix="1">
      <alignment/>
      <protection/>
    </xf>
    <xf numFmtId="17" fontId="167" fillId="49" borderId="0" xfId="0" applyNumberFormat="1" applyFont="1" applyFill="1" applyBorder="1" applyAlignment="1" applyProtection="1" quotePrefix="1">
      <alignment/>
      <protection/>
    </xf>
    <xf numFmtId="17" fontId="168" fillId="9" borderId="0" xfId="0" applyNumberFormat="1" applyFont="1" applyFill="1" applyBorder="1" applyAlignment="1" applyProtection="1">
      <alignment/>
      <protection/>
    </xf>
    <xf numFmtId="17" fontId="168" fillId="50" borderId="0" xfId="0" applyNumberFormat="1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/>
    </xf>
    <xf numFmtId="9" fontId="66" fillId="40" borderId="0" xfId="55" applyFont="1" applyFill="1" applyAlignment="1" applyProtection="1">
      <alignment/>
      <protection/>
    </xf>
    <xf numFmtId="9" fontId="66" fillId="11" borderId="0" xfId="55" applyFont="1" applyFill="1" applyAlignment="1" applyProtection="1">
      <alignment/>
      <protection/>
    </xf>
    <xf numFmtId="9" fontId="66" fillId="14" borderId="0" xfId="55" applyFont="1" applyFill="1" applyAlignment="1" applyProtection="1">
      <alignment/>
      <protection/>
    </xf>
    <xf numFmtId="9" fontId="66" fillId="49" borderId="0" xfId="55" applyFont="1" applyFill="1" applyAlignment="1" applyProtection="1">
      <alignment/>
      <protection/>
    </xf>
    <xf numFmtId="9" fontId="168" fillId="9" borderId="0" xfId="55" applyFont="1" applyFill="1" applyAlignment="1" applyProtection="1">
      <alignment/>
      <protection/>
    </xf>
    <xf numFmtId="0" fontId="168" fillId="50" borderId="0" xfId="0" applyFont="1" applyFill="1" applyAlignment="1" applyProtection="1">
      <alignment/>
      <protection/>
    </xf>
    <xf numFmtId="10" fontId="169" fillId="0" borderId="0" xfId="55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70" fillId="51" borderId="117" xfId="0" applyFont="1" applyFill="1" applyBorder="1" applyAlignment="1" applyProtection="1">
      <alignment/>
      <protection locked="0"/>
    </xf>
    <xf numFmtId="0" fontId="170" fillId="51" borderId="118" xfId="0" applyFont="1" applyFill="1" applyBorder="1" applyAlignment="1" applyProtection="1">
      <alignment/>
      <protection/>
    </xf>
    <xf numFmtId="1" fontId="170" fillId="51" borderId="119" xfId="0" applyNumberFormat="1" applyFont="1" applyFill="1" applyBorder="1" applyAlignment="1" applyProtection="1">
      <alignment/>
      <protection/>
    </xf>
    <xf numFmtId="10" fontId="171" fillId="0" borderId="0" xfId="55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170" fontId="62" fillId="14" borderId="88" xfId="51" applyFont="1" applyFill="1" applyBorder="1" applyAlignment="1" applyProtection="1">
      <alignment horizontal="left"/>
      <protection/>
    </xf>
    <xf numFmtId="10" fontId="62" fillId="14" borderId="90" xfId="55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17" fontId="66" fillId="40" borderId="0" xfId="0" applyNumberFormat="1" applyFont="1" applyFill="1" applyBorder="1" applyAlignment="1" applyProtection="1" quotePrefix="1">
      <alignment/>
      <protection/>
    </xf>
    <xf numFmtId="17" fontId="66" fillId="17" borderId="0" xfId="0" applyNumberFormat="1" applyFont="1" applyFill="1" applyBorder="1" applyAlignment="1" applyProtection="1" quotePrefix="1">
      <alignment/>
      <protection/>
    </xf>
    <xf numFmtId="9" fontId="66" fillId="17" borderId="0" xfId="55" applyFont="1" applyFill="1" applyAlignment="1" applyProtection="1">
      <alignment/>
      <protection/>
    </xf>
    <xf numFmtId="0" fontId="19" fillId="52" borderId="0" xfId="0" applyFont="1" applyFill="1" applyAlignment="1" applyProtection="1">
      <alignment vertical="center"/>
      <protection/>
    </xf>
    <xf numFmtId="9" fontId="162" fillId="52" borderId="120" xfId="0" applyNumberFormat="1" applyFont="1" applyFill="1" applyBorder="1" applyAlignment="1" applyProtection="1" quotePrefix="1">
      <alignment horizontal="center" vertical="center"/>
      <protection locked="0"/>
    </xf>
    <xf numFmtId="0" fontId="172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" fillId="52" borderId="0" xfId="0" applyFont="1" applyFill="1" applyAlignment="1" applyProtection="1">
      <alignment vertical="center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98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 quotePrefix="1">
      <alignment horizontal="center"/>
      <protection/>
    </xf>
    <xf numFmtId="9" fontId="25" fillId="0" borderId="14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 quotePrefix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center"/>
      <protection/>
    </xf>
    <xf numFmtId="0" fontId="25" fillId="0" borderId="14" xfId="49" applyNumberFormat="1" applyFont="1" applyFill="1" applyBorder="1" applyAlignment="1" applyProtection="1">
      <alignment/>
      <protection locked="0"/>
    </xf>
    <xf numFmtId="180" fontId="0" fillId="0" borderId="14" xfId="0" applyNumberForma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180" fontId="138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94" xfId="0" applyFill="1" applyBorder="1" applyAlignment="1" applyProtection="1">
      <alignment horizontal="right"/>
      <protection/>
    </xf>
    <xf numFmtId="0" fontId="7" fillId="0" borderId="80" xfId="0" applyFont="1" applyFill="1" applyBorder="1" applyAlignment="1" applyProtection="1">
      <alignment/>
      <protection/>
    </xf>
    <xf numFmtId="2" fontId="61" fillId="0" borderId="81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121" xfId="0" applyFont="1" applyFill="1" applyBorder="1" applyAlignment="1" applyProtection="1">
      <alignment/>
      <protection/>
    </xf>
    <xf numFmtId="0" fontId="0" fillId="0" borderId="122" xfId="0" applyFill="1" applyBorder="1" applyAlignment="1" applyProtection="1">
      <alignment/>
      <protection/>
    </xf>
    <xf numFmtId="9" fontId="7" fillId="0" borderId="100" xfId="55" applyFont="1" applyFill="1" applyBorder="1" applyAlignment="1" applyProtection="1">
      <alignment horizontal="center"/>
      <protection locked="0"/>
    </xf>
    <xf numFmtId="0" fontId="1" fillId="0" borderId="85" xfId="0" applyFont="1" applyFill="1" applyBorder="1" applyAlignment="1" applyProtection="1">
      <alignment/>
      <protection/>
    </xf>
    <xf numFmtId="0" fontId="5" fillId="0" borderId="9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/>
    </xf>
    <xf numFmtId="0" fontId="173" fillId="0" borderId="86" xfId="0" applyFont="1" applyFill="1" applyBorder="1" applyAlignment="1" applyProtection="1">
      <alignment/>
      <protection/>
    </xf>
    <xf numFmtId="0" fontId="174" fillId="0" borderId="60" xfId="0" applyFont="1" applyFill="1" applyBorder="1" applyAlignment="1" applyProtection="1">
      <alignment/>
      <protection/>
    </xf>
    <xf numFmtId="0" fontId="10" fillId="36" borderId="121" xfId="0" applyFont="1" applyFill="1" applyBorder="1" applyAlignment="1" applyProtection="1">
      <alignment/>
      <protection/>
    </xf>
    <xf numFmtId="0" fontId="13" fillId="36" borderId="122" xfId="0" applyFont="1" applyFill="1" applyBorder="1" applyAlignment="1" applyProtection="1">
      <alignment/>
      <protection/>
    </xf>
    <xf numFmtId="10" fontId="0" fillId="0" borderId="14" xfId="0" applyNumberFormat="1" applyFill="1" applyBorder="1" applyAlignment="1" applyProtection="1">
      <alignment/>
      <protection/>
    </xf>
    <xf numFmtId="9" fontId="0" fillId="0" borderId="14" xfId="0" applyNumberForma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2" fontId="0" fillId="52" borderId="14" xfId="0" applyNumberFormat="1" applyFont="1" applyFill="1" applyBorder="1" applyAlignment="1" applyProtection="1" quotePrefix="1">
      <alignment horizontal="center"/>
      <protection/>
    </xf>
    <xf numFmtId="1" fontId="0" fillId="52" borderId="14" xfId="0" applyNumberFormat="1" applyFont="1" applyFill="1" applyBorder="1" applyAlignment="1" applyProtection="1" quotePrefix="1">
      <alignment horizontal="center"/>
      <protection/>
    </xf>
    <xf numFmtId="2" fontId="0" fillId="52" borderId="14" xfId="0" applyNumberFormat="1" applyFont="1" applyFill="1" applyBorder="1" applyAlignment="1" applyProtection="1">
      <alignment horizontal="center"/>
      <protection/>
    </xf>
    <xf numFmtId="0" fontId="25" fillId="52" borderId="14" xfId="49" applyNumberFormat="1" applyFont="1" applyFill="1" applyBorder="1" applyAlignment="1" applyProtection="1">
      <alignment horizontal="left"/>
      <protection locked="0"/>
    </xf>
    <xf numFmtId="0" fontId="0" fillId="52" borderId="14" xfId="0" applyFont="1" applyFill="1" applyBorder="1" applyAlignment="1" applyProtection="1" quotePrefix="1">
      <alignment horizontal="center"/>
      <protection/>
    </xf>
    <xf numFmtId="180" fontId="0" fillId="52" borderId="14" xfId="0" applyNumberFormat="1" applyFill="1" applyBorder="1" applyAlignment="1" applyProtection="1">
      <alignment/>
      <protection/>
    </xf>
    <xf numFmtId="2" fontId="3" fillId="52" borderId="14" xfId="0" applyNumberFormat="1" applyFont="1" applyFill="1" applyBorder="1" applyAlignment="1" applyProtection="1">
      <alignment horizontal="right"/>
      <protection/>
    </xf>
    <xf numFmtId="180" fontId="138" fillId="52" borderId="14" xfId="0" applyNumberFormat="1" applyFont="1" applyFill="1" applyBorder="1" applyAlignment="1" applyProtection="1">
      <alignment/>
      <protection locked="0"/>
    </xf>
    <xf numFmtId="0" fontId="0" fillId="52" borderId="14" xfId="0" applyFont="1" applyFill="1" applyBorder="1" applyAlignment="1" applyProtection="1">
      <alignment horizontal="center"/>
      <protection/>
    </xf>
    <xf numFmtId="0" fontId="66" fillId="41" borderId="0" xfId="0" applyFont="1" applyFill="1" applyAlignment="1" applyProtection="1">
      <alignment/>
      <protection/>
    </xf>
    <xf numFmtId="2" fontId="0" fillId="41" borderId="0" xfId="0" applyNumberFormat="1" applyFont="1" applyFill="1" applyBorder="1" applyAlignment="1" applyProtection="1">
      <alignment/>
      <protection hidden="1"/>
    </xf>
    <xf numFmtId="0" fontId="0" fillId="41" borderId="0" xfId="0" applyFont="1" applyFill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23" xfId="0" applyFont="1" applyFill="1" applyBorder="1" applyAlignment="1" applyProtection="1" quotePrefix="1">
      <alignment horizontal="center"/>
      <protection/>
    </xf>
    <xf numFmtId="2" fontId="0" fillId="0" borderId="123" xfId="0" applyNumberFormat="1" applyFill="1" applyBorder="1" applyAlignment="1" applyProtection="1">
      <alignment horizontal="left"/>
      <protection/>
    </xf>
    <xf numFmtId="0" fontId="0" fillId="52" borderId="14" xfId="0" applyFill="1" applyBorder="1" applyAlignment="1" applyProtection="1">
      <alignment/>
      <protection/>
    </xf>
    <xf numFmtId="2" fontId="0" fillId="52" borderId="14" xfId="0" applyNumberFormat="1" applyFill="1" applyBorder="1" applyAlignment="1" applyProtection="1">
      <alignment horizontal="left"/>
      <protection/>
    </xf>
    <xf numFmtId="212" fontId="0" fillId="52" borderId="14" xfId="0" applyNumberFormat="1" applyFill="1" applyBorder="1" applyAlignment="1" applyProtection="1">
      <alignment horizontal="left"/>
      <protection/>
    </xf>
    <xf numFmtId="0" fontId="175" fillId="0" borderId="14" xfId="0" applyFont="1" applyFill="1" applyBorder="1" applyAlignment="1" applyProtection="1" quotePrefix="1">
      <alignment horizontal="center"/>
      <protection/>
    </xf>
    <xf numFmtId="2" fontId="175" fillId="0" borderId="14" xfId="0" applyNumberFormat="1" applyFont="1" applyFill="1" applyBorder="1" applyAlignment="1" applyProtection="1">
      <alignment horizontal="left"/>
      <protection/>
    </xf>
    <xf numFmtId="2" fontId="0" fillId="0" borderId="14" xfId="0" applyNumberFormat="1" applyFill="1" applyBorder="1" applyAlignment="1" applyProtection="1">
      <alignment horizontal="left"/>
      <protection/>
    </xf>
    <xf numFmtId="2" fontId="0" fillId="52" borderId="14" xfId="0" applyNumberFormat="1" applyFont="1" applyFill="1" applyBorder="1" applyAlignment="1" applyProtection="1">
      <alignment horizontal="left"/>
      <protection/>
    </xf>
    <xf numFmtId="9" fontId="0" fillId="52" borderId="14" xfId="0" applyNumberFormat="1" applyFill="1" applyBorder="1" applyAlignment="1" applyProtection="1">
      <alignment/>
      <protection/>
    </xf>
    <xf numFmtId="2" fontId="1" fillId="52" borderId="14" xfId="0" applyNumberFormat="1" applyFont="1" applyFill="1" applyBorder="1" applyAlignment="1" applyProtection="1">
      <alignment horizontal="left"/>
      <protection/>
    </xf>
    <xf numFmtId="2" fontId="1" fillId="0" borderId="14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0" fontId="20" fillId="52" borderId="14" xfId="0" applyFont="1" applyFill="1" applyBorder="1" applyAlignment="1" applyProtection="1">
      <alignment horizontal="left"/>
      <protection/>
    </xf>
    <xf numFmtId="0" fontId="37" fillId="0" borderId="14" xfId="0" applyFont="1" applyFill="1" applyBorder="1" applyAlignment="1" applyProtection="1">
      <alignment horizontal="left"/>
      <protection/>
    </xf>
    <xf numFmtId="0" fontId="20" fillId="0" borderId="14" xfId="0" applyFont="1" applyFill="1" applyBorder="1" applyAlignment="1" applyProtection="1">
      <alignment horizontal="left"/>
      <protection/>
    </xf>
    <xf numFmtId="0" fontId="1" fillId="52" borderId="14" xfId="0" applyFont="1" applyFill="1" applyBorder="1" applyAlignment="1" applyProtection="1">
      <alignment/>
      <protection/>
    </xf>
    <xf numFmtId="2" fontId="4" fillId="52" borderId="14" xfId="0" applyNumberFormat="1" applyFont="1" applyFill="1" applyBorder="1" applyAlignment="1" applyProtection="1">
      <alignment horizontal="left"/>
      <protection/>
    </xf>
    <xf numFmtId="2" fontId="20" fillId="52" borderId="14" xfId="0" applyNumberFormat="1" applyFont="1" applyFill="1" applyBorder="1" applyAlignment="1" applyProtection="1">
      <alignment horizontal="left"/>
      <protection/>
    </xf>
    <xf numFmtId="0" fontId="25" fillId="52" borderId="14" xfId="49" applyNumberFormat="1" applyFont="1" applyFill="1" applyBorder="1" applyAlignment="1" applyProtection="1">
      <alignment/>
      <protection locked="0"/>
    </xf>
    <xf numFmtId="0" fontId="7" fillId="52" borderId="14" xfId="0" applyFont="1" applyFill="1" applyBorder="1" applyAlignment="1" applyProtection="1">
      <alignment/>
      <protection/>
    </xf>
    <xf numFmtId="2" fontId="7" fillId="52" borderId="14" xfId="0" applyNumberFormat="1" applyFont="1" applyFill="1" applyBorder="1" applyAlignment="1" applyProtection="1">
      <alignment horizontal="center"/>
      <protection locked="0"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0" fontId="162" fillId="0" borderId="14" xfId="0" applyFont="1" applyFill="1" applyBorder="1" applyAlignment="1" applyProtection="1">
      <alignment/>
      <protection locked="0"/>
    </xf>
    <xf numFmtId="0" fontId="13" fillId="52" borderId="14" xfId="0" applyFont="1" applyFill="1" applyBorder="1" applyAlignment="1" applyProtection="1">
      <alignment/>
      <protection/>
    </xf>
    <xf numFmtId="2" fontId="4" fillId="52" borderId="14" xfId="0" applyNumberFormat="1" applyFont="1" applyFill="1" applyBorder="1" applyAlignment="1" applyProtection="1">
      <alignment horizontal="right"/>
      <protection/>
    </xf>
    <xf numFmtId="2" fontId="0" fillId="41" borderId="0" xfId="0" applyNumberFormat="1" applyFont="1" applyFill="1" applyBorder="1" applyAlignment="1" applyProtection="1">
      <alignment horizontal="left"/>
      <protection/>
    </xf>
    <xf numFmtId="2" fontId="161" fillId="41" borderId="0" xfId="0" applyNumberFormat="1" applyFont="1" applyFill="1" applyBorder="1" applyAlignment="1" applyProtection="1">
      <alignment horizontal="left"/>
      <protection/>
    </xf>
    <xf numFmtId="197" fontId="0" fillId="41" borderId="0" xfId="0" applyNumberFormat="1" applyFont="1" applyFill="1" applyBorder="1" applyAlignment="1" applyProtection="1">
      <alignment/>
      <protection/>
    </xf>
    <xf numFmtId="0" fontId="176" fillId="51" borderId="124" xfId="0" applyFont="1" applyFill="1" applyBorder="1" applyAlignment="1" applyProtection="1">
      <alignment/>
      <protection locked="0"/>
    </xf>
    <xf numFmtId="0" fontId="176" fillId="51" borderId="0" xfId="0" applyFont="1" applyFill="1" applyBorder="1" applyAlignment="1" applyProtection="1">
      <alignment/>
      <protection/>
    </xf>
    <xf numFmtId="1" fontId="176" fillId="51" borderId="125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0" fillId="0" borderId="126" xfId="0" applyFill="1" applyBorder="1" applyAlignment="1" applyProtection="1">
      <alignment/>
      <protection/>
    </xf>
    <xf numFmtId="0" fontId="0" fillId="52" borderId="33" xfId="0" applyFill="1" applyBorder="1" applyAlignment="1" applyProtection="1">
      <alignment/>
      <protection/>
    </xf>
    <xf numFmtId="0" fontId="175" fillId="0" borderId="33" xfId="0" applyFont="1" applyFill="1" applyBorder="1" applyAlignment="1" applyProtection="1">
      <alignment/>
      <protection/>
    </xf>
    <xf numFmtId="0" fontId="0" fillId="52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9" fontId="0" fillId="52" borderId="33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9" fontId="25" fillId="0" borderId="33" xfId="0" applyNumberFormat="1" applyFont="1" applyFill="1" applyBorder="1" applyAlignment="1" applyProtection="1">
      <alignment/>
      <protection locked="0"/>
    </xf>
    <xf numFmtId="0" fontId="163" fillId="0" borderId="33" xfId="0" applyFont="1" applyFill="1" applyBorder="1" applyAlignment="1" applyProtection="1">
      <alignment horizontal="right"/>
      <protection locked="0"/>
    </xf>
    <xf numFmtId="0" fontId="25" fillId="0" borderId="33" xfId="49" applyNumberFormat="1" applyFont="1" applyFill="1" applyBorder="1" applyAlignment="1" applyProtection="1">
      <alignment/>
      <protection locked="0"/>
    </xf>
    <xf numFmtId="0" fontId="7" fillId="52" borderId="33" xfId="0" applyFont="1" applyFill="1" applyBorder="1" applyAlignment="1" applyProtection="1">
      <alignment horizontal="right"/>
      <protection locked="0"/>
    </xf>
    <xf numFmtId="0" fontId="1" fillId="52" borderId="33" xfId="0" applyFont="1" applyFill="1" applyBorder="1" applyAlignment="1" applyProtection="1">
      <alignment/>
      <protection/>
    </xf>
    <xf numFmtId="180" fontId="0" fillId="52" borderId="33" xfId="0" applyNumberFormat="1" applyFill="1" applyBorder="1" applyAlignment="1" applyProtection="1">
      <alignment/>
      <protection/>
    </xf>
    <xf numFmtId="180" fontId="0" fillId="0" borderId="33" xfId="0" applyNumberFormat="1" applyFill="1" applyBorder="1" applyAlignment="1" applyProtection="1">
      <alignment horizontal="right"/>
      <protection/>
    </xf>
    <xf numFmtId="180" fontId="0" fillId="0" borderId="33" xfId="0" applyNumberFormat="1" applyFill="1" applyBorder="1" applyAlignment="1" applyProtection="1">
      <alignment/>
      <protection/>
    </xf>
    <xf numFmtId="180" fontId="138" fillId="52" borderId="33" xfId="0" applyNumberFormat="1" applyFont="1" applyFill="1" applyBorder="1" applyAlignment="1" applyProtection="1">
      <alignment/>
      <protection locked="0"/>
    </xf>
    <xf numFmtId="0" fontId="25" fillId="0" borderId="33" xfId="0" applyNumberFormat="1" applyFont="1" applyFill="1" applyBorder="1" applyAlignment="1" applyProtection="1">
      <alignment/>
      <protection locked="0"/>
    </xf>
    <xf numFmtId="49" fontId="31" fillId="0" borderId="83" xfId="0" applyNumberFormat="1" applyFont="1" applyFill="1" applyBorder="1" applyAlignment="1" applyProtection="1">
      <alignment horizontal="left"/>
      <protection/>
    </xf>
    <xf numFmtId="49" fontId="31" fillId="52" borderId="127" xfId="0" applyNumberFormat="1" applyFont="1" applyFill="1" applyBorder="1" applyAlignment="1" applyProtection="1">
      <alignment horizontal="left"/>
      <protection/>
    </xf>
    <xf numFmtId="49" fontId="177" fillId="0" borderId="127" xfId="0" applyNumberFormat="1" applyFont="1" applyFill="1" applyBorder="1" applyAlignment="1" applyProtection="1">
      <alignment horizontal="left"/>
      <protection/>
    </xf>
    <xf numFmtId="0" fontId="0" fillId="0" borderId="127" xfId="0" applyFont="1" applyFill="1" applyBorder="1" applyAlignment="1" applyProtection="1">
      <alignment/>
      <protection/>
    </xf>
    <xf numFmtId="9" fontId="0" fillId="52" borderId="127" xfId="0" applyNumberFormat="1" applyFill="1" applyBorder="1" applyAlignment="1" applyProtection="1">
      <alignment/>
      <protection/>
    </xf>
    <xf numFmtId="9" fontId="0" fillId="0" borderId="127" xfId="0" applyNumberFormat="1" applyFill="1" applyBorder="1" applyAlignment="1" applyProtection="1">
      <alignment/>
      <protection/>
    </xf>
    <xf numFmtId="9" fontId="9" fillId="52" borderId="127" xfId="0" applyNumberFormat="1" applyFont="1" applyFill="1" applyBorder="1" applyAlignment="1" applyProtection="1">
      <alignment/>
      <protection/>
    </xf>
    <xf numFmtId="9" fontId="0" fillId="0" borderId="127" xfId="0" applyNumberFormat="1" applyFont="1" applyFill="1" applyBorder="1" applyAlignment="1" applyProtection="1">
      <alignment/>
      <protection/>
    </xf>
    <xf numFmtId="0" fontId="0" fillId="52" borderId="127" xfId="0" applyFill="1" applyBorder="1" applyAlignment="1" applyProtection="1">
      <alignment/>
      <protection/>
    </xf>
    <xf numFmtId="0" fontId="1" fillId="52" borderId="127" xfId="0" applyFont="1" applyFill="1" applyBorder="1" applyAlignment="1" applyProtection="1">
      <alignment/>
      <protection/>
    </xf>
    <xf numFmtId="0" fontId="0" fillId="0" borderId="127" xfId="0" applyFill="1" applyBorder="1" applyAlignment="1" applyProtection="1">
      <alignment/>
      <protection/>
    </xf>
    <xf numFmtId="0" fontId="7" fillId="52" borderId="127" xfId="0" applyFont="1" applyFill="1" applyBorder="1" applyAlignment="1" applyProtection="1">
      <alignment/>
      <protection/>
    </xf>
    <xf numFmtId="0" fontId="0" fillId="52" borderId="127" xfId="0" applyFill="1" applyBorder="1" applyAlignment="1" applyProtection="1">
      <alignment horizontal="left"/>
      <protection/>
    </xf>
    <xf numFmtId="0" fontId="0" fillId="0" borderId="127" xfId="0" applyFill="1" applyBorder="1" applyAlignment="1" applyProtection="1">
      <alignment horizontal="left"/>
      <protection/>
    </xf>
    <xf numFmtId="0" fontId="0" fillId="52" borderId="127" xfId="0" applyFont="1" applyFill="1" applyBorder="1" applyAlignment="1" applyProtection="1">
      <alignment horizontal="left"/>
      <protection/>
    </xf>
    <xf numFmtId="0" fontId="7" fillId="52" borderId="128" xfId="0" applyFont="1" applyFill="1" applyBorder="1" applyAlignment="1" applyProtection="1">
      <alignment/>
      <protection/>
    </xf>
    <xf numFmtId="2" fontId="0" fillId="0" borderId="23" xfId="0" applyNumberFormat="1" applyFill="1" applyBorder="1" applyAlignment="1" applyProtection="1">
      <alignment horizontal="left"/>
      <protection/>
    </xf>
    <xf numFmtId="2" fontId="0" fillId="0" borderId="21" xfId="0" applyNumberFormat="1" applyFill="1" applyBorder="1" applyAlignment="1" applyProtection="1">
      <alignment horizontal="left"/>
      <protection/>
    </xf>
    <xf numFmtId="2" fontId="0" fillId="52" borderId="15" xfId="0" applyNumberFormat="1" applyFill="1" applyBorder="1" applyAlignment="1" applyProtection="1">
      <alignment horizontal="left"/>
      <protection/>
    </xf>
    <xf numFmtId="212" fontId="0" fillId="52" borderId="22" xfId="0" applyNumberFormat="1" applyFill="1" applyBorder="1" applyAlignment="1" applyProtection="1">
      <alignment horizontal="left"/>
      <protection/>
    </xf>
    <xf numFmtId="2" fontId="175" fillId="0" borderId="15" xfId="0" applyNumberFormat="1" applyFont="1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 horizontal="left"/>
      <protection/>
    </xf>
    <xf numFmtId="2" fontId="0" fillId="52" borderId="15" xfId="0" applyNumberFormat="1" applyFont="1" applyFill="1" applyBorder="1" applyAlignment="1" applyProtection="1">
      <alignment horizontal="left"/>
      <protection/>
    </xf>
    <xf numFmtId="2" fontId="0" fillId="52" borderId="22" xfId="0" applyNumberFormat="1" applyFill="1" applyBorder="1" applyAlignment="1" applyProtection="1">
      <alignment horizontal="left"/>
      <protection/>
    </xf>
    <xf numFmtId="2" fontId="0" fillId="0" borderId="15" xfId="0" applyNumberFormat="1" applyFill="1" applyBorder="1" applyAlignment="1" applyProtection="1">
      <alignment horizontal="left"/>
      <protection/>
    </xf>
    <xf numFmtId="2" fontId="1" fillId="52" borderId="15" xfId="0" applyNumberFormat="1" applyFont="1" applyFill="1" applyBorder="1" applyAlignment="1" applyProtection="1">
      <alignment horizontal="left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2" fontId="9" fillId="52" borderId="15" xfId="0" applyNumberFormat="1" applyFont="1" applyFill="1" applyBorder="1" applyAlignment="1" applyProtection="1">
      <alignment horizontal="left"/>
      <protection/>
    </xf>
    <xf numFmtId="2" fontId="0" fillId="0" borderId="15" xfId="0" applyNumberFormat="1" applyFont="1" applyFill="1" applyBorder="1" applyAlignment="1" applyProtection="1">
      <alignment horizontal="left"/>
      <protection/>
    </xf>
    <xf numFmtId="0" fontId="25" fillId="52" borderId="15" xfId="49" applyNumberFormat="1" applyFont="1" applyFill="1" applyBorder="1" applyAlignment="1" applyProtection="1">
      <alignment horizontal="left"/>
      <protection locked="0"/>
    </xf>
    <xf numFmtId="0" fontId="20" fillId="52" borderId="22" xfId="0" applyFont="1" applyFill="1" applyBorder="1" applyAlignment="1" applyProtection="1">
      <alignment horizontal="left"/>
      <protection/>
    </xf>
    <xf numFmtId="0" fontId="37" fillId="0" borderId="15" xfId="0" applyFont="1" applyFill="1" applyBorder="1" applyAlignment="1" applyProtection="1">
      <alignment horizontal="left"/>
      <protection/>
    </xf>
    <xf numFmtId="0" fontId="20" fillId="0" borderId="22" xfId="0" applyFont="1" applyFill="1" applyBorder="1" applyAlignment="1" applyProtection="1">
      <alignment horizontal="left"/>
      <protection/>
    </xf>
    <xf numFmtId="2" fontId="4" fillId="52" borderId="15" xfId="0" applyNumberFormat="1" applyFont="1" applyFill="1" applyBorder="1" applyAlignment="1" applyProtection="1">
      <alignment horizontal="left"/>
      <protection/>
    </xf>
    <xf numFmtId="2" fontId="20" fillId="52" borderId="22" xfId="0" applyNumberFormat="1" applyFont="1" applyFill="1" applyBorder="1" applyAlignment="1" applyProtection="1">
      <alignment horizontal="left"/>
      <protection/>
    </xf>
    <xf numFmtId="0" fontId="25" fillId="52" borderId="15" xfId="49" applyNumberFormat="1" applyFont="1" applyFill="1" applyBorder="1" applyAlignment="1" applyProtection="1">
      <alignment/>
      <protection locked="0"/>
    </xf>
    <xf numFmtId="2" fontId="1" fillId="52" borderId="22" xfId="0" applyNumberFormat="1" applyFont="1" applyFill="1" applyBorder="1" applyAlignment="1" applyProtection="1">
      <alignment horizontal="left"/>
      <protection/>
    </xf>
    <xf numFmtId="0" fontId="25" fillId="0" borderId="15" xfId="49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right"/>
      <protection/>
    </xf>
    <xf numFmtId="2" fontId="7" fillId="52" borderId="15" xfId="0" applyNumberFormat="1" applyFont="1" applyFill="1" applyBorder="1" applyAlignment="1" applyProtection="1">
      <alignment horizontal="center"/>
      <protection locked="0"/>
    </xf>
    <xf numFmtId="2" fontId="3" fillId="52" borderId="22" xfId="0" applyNumberFormat="1" applyFont="1" applyFill="1" applyBorder="1" applyAlignment="1" applyProtection="1">
      <alignment horizontal="right"/>
      <protection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right"/>
      <protection/>
    </xf>
    <xf numFmtId="0" fontId="162" fillId="0" borderId="15" xfId="0" applyFont="1" applyFill="1" applyBorder="1" applyAlignment="1" applyProtection="1">
      <alignment/>
      <protection locked="0"/>
    </xf>
    <xf numFmtId="0" fontId="13" fillId="52" borderId="16" xfId="0" applyFont="1" applyFill="1" applyBorder="1" applyAlignment="1" applyProtection="1">
      <alignment/>
      <protection/>
    </xf>
    <xf numFmtId="2" fontId="4" fillId="52" borderId="24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2" fontId="1" fillId="0" borderId="24" xfId="0" applyNumberFormat="1" applyFont="1" applyFill="1" applyBorder="1" applyAlignment="1" applyProtection="1">
      <alignment/>
      <protection/>
    </xf>
    <xf numFmtId="0" fontId="0" fillId="0" borderId="34" xfId="0" applyBorder="1" applyAlignment="1" applyProtection="1">
      <alignment horizontal="right"/>
      <protection/>
    </xf>
    <xf numFmtId="0" fontId="0" fillId="0" borderId="23" xfId="0" applyFill="1" applyBorder="1" applyAlignment="1" applyProtection="1" quotePrefix="1">
      <alignment horizontal="right"/>
      <protection/>
    </xf>
    <xf numFmtId="0" fontId="0" fillId="0" borderId="15" xfId="0" applyFill="1" applyBorder="1" applyAlignment="1" applyProtection="1" quotePrefix="1">
      <alignment horizontal="right"/>
      <protection/>
    </xf>
    <xf numFmtId="9" fontId="0" fillId="0" borderId="22" xfId="0" applyNumberFormat="1" applyFill="1" applyBorder="1" applyAlignment="1" applyProtection="1">
      <alignment/>
      <protection/>
    </xf>
    <xf numFmtId="0" fontId="0" fillId="0" borderId="15" xfId="0" applyFont="1" applyFill="1" applyBorder="1" applyAlignment="1" applyProtection="1" quotePrefix="1">
      <alignment horizontal="right"/>
      <protection/>
    </xf>
    <xf numFmtId="1" fontId="0" fillId="0" borderId="15" xfId="0" applyNumberFormat="1" applyFont="1" applyFill="1" applyBorder="1" applyAlignment="1" applyProtection="1" quotePrefix="1">
      <alignment horizontal="right"/>
      <protection/>
    </xf>
    <xf numFmtId="1" fontId="0" fillId="0" borderId="15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5" xfId="0" applyNumberFormat="1" applyFont="1" applyFill="1" applyBorder="1" applyAlignment="1" applyProtection="1" quotePrefix="1">
      <alignment horizontal="right"/>
      <protection/>
    </xf>
    <xf numFmtId="0" fontId="0" fillId="0" borderId="15" xfId="0" applyFont="1" applyFill="1" applyBorder="1" applyAlignment="1" applyProtection="1" quotePrefix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52" borderId="23" xfId="0" applyFill="1" applyBorder="1" applyAlignment="1" applyProtection="1" quotePrefix="1">
      <alignment horizontal="right"/>
      <protection/>
    </xf>
    <xf numFmtId="2" fontId="0" fillId="52" borderId="23" xfId="0" applyNumberFormat="1" applyFill="1" applyBorder="1" applyAlignment="1" applyProtection="1">
      <alignment horizontal="left"/>
      <protection/>
    </xf>
    <xf numFmtId="0" fontId="0" fillId="52" borderId="21" xfId="0" applyFill="1" applyBorder="1" applyAlignment="1" applyProtection="1">
      <alignment/>
      <protection/>
    </xf>
    <xf numFmtId="0" fontId="0" fillId="52" borderId="15" xfId="0" applyFill="1" applyBorder="1" applyAlignment="1" applyProtection="1" quotePrefix="1">
      <alignment horizontal="right"/>
      <protection/>
    </xf>
    <xf numFmtId="0" fontId="0" fillId="52" borderId="22" xfId="0" applyFill="1" applyBorder="1" applyAlignment="1" applyProtection="1">
      <alignment/>
      <protection/>
    </xf>
    <xf numFmtId="9" fontId="0" fillId="52" borderId="22" xfId="0" applyNumberFormat="1" applyFill="1" applyBorder="1" applyAlignment="1" applyProtection="1">
      <alignment/>
      <protection/>
    </xf>
    <xf numFmtId="1" fontId="0" fillId="52" borderId="15" xfId="0" applyNumberFormat="1" applyFont="1" applyFill="1" applyBorder="1" applyAlignment="1" applyProtection="1" quotePrefix="1">
      <alignment horizontal="right"/>
      <protection/>
    </xf>
    <xf numFmtId="1" fontId="0" fillId="52" borderId="15" xfId="0" applyNumberFormat="1" applyFont="1" applyFill="1" applyBorder="1" applyAlignment="1" applyProtection="1">
      <alignment horizontal="right"/>
      <protection/>
    </xf>
    <xf numFmtId="0" fontId="0" fillId="52" borderId="15" xfId="0" applyFill="1" applyBorder="1" applyAlignment="1" applyProtection="1">
      <alignment horizontal="right"/>
      <protection/>
    </xf>
    <xf numFmtId="0" fontId="0" fillId="52" borderId="15" xfId="0" applyFill="1" applyBorder="1" applyAlignment="1" applyProtection="1">
      <alignment/>
      <protection/>
    </xf>
    <xf numFmtId="0" fontId="0" fillId="52" borderId="15" xfId="0" applyFill="1" applyBorder="1" applyAlignment="1" applyProtection="1">
      <alignment horizontal="left"/>
      <protection/>
    </xf>
    <xf numFmtId="2" fontId="0" fillId="52" borderId="22" xfId="0" applyNumberFormat="1" applyFill="1" applyBorder="1" applyAlignment="1" applyProtection="1">
      <alignment/>
      <protection/>
    </xf>
    <xf numFmtId="0" fontId="0" fillId="52" borderId="15" xfId="0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/>
      <protection/>
    </xf>
    <xf numFmtId="0" fontId="19" fillId="0" borderId="12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204" fontId="7" fillId="0" borderId="14" xfId="0" applyNumberFormat="1" applyFont="1" applyFill="1" applyBorder="1" applyAlignment="1" applyProtection="1">
      <alignment/>
      <protection/>
    </xf>
    <xf numFmtId="9" fontId="0" fillId="0" borderId="22" xfId="0" applyNumberFormat="1" applyFont="1" applyFill="1" applyBorder="1" applyAlignment="1" applyProtection="1">
      <alignment/>
      <protection/>
    </xf>
    <xf numFmtId="9" fontId="1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19" fillId="52" borderId="123" xfId="0" applyFont="1" applyFill="1" applyBorder="1" applyAlignment="1" applyProtection="1">
      <alignment/>
      <protection/>
    </xf>
    <xf numFmtId="1" fontId="7" fillId="52" borderId="14" xfId="0" applyNumberFormat="1" applyFont="1" applyFill="1" applyBorder="1" applyAlignment="1" applyProtection="1">
      <alignment/>
      <protection/>
    </xf>
    <xf numFmtId="0" fontId="0" fillId="52" borderId="22" xfId="0" applyFont="1" applyFill="1" applyBorder="1" applyAlignment="1" applyProtection="1">
      <alignment/>
      <protection/>
    </xf>
    <xf numFmtId="0" fontId="0" fillId="52" borderId="22" xfId="0" applyFill="1" applyBorder="1" applyAlignment="1" applyProtection="1">
      <alignment horizontal="left"/>
      <protection/>
    </xf>
    <xf numFmtId="9" fontId="162" fillId="0" borderId="14" xfId="0" applyNumberFormat="1" applyFont="1" applyFill="1" applyBorder="1" applyAlignment="1" applyProtection="1">
      <alignment/>
      <protection locked="0"/>
    </xf>
    <xf numFmtId="0" fontId="35" fillId="52" borderId="14" xfId="0" applyFont="1" applyFill="1" applyBorder="1" applyAlignment="1" applyProtection="1">
      <alignment/>
      <protection/>
    </xf>
    <xf numFmtId="9" fontId="0" fillId="52" borderId="22" xfId="0" applyNumberFormat="1" applyFont="1" applyFill="1" applyBorder="1" applyAlignment="1" applyProtection="1">
      <alignment/>
      <protection/>
    </xf>
    <xf numFmtId="204" fontId="7" fillId="52" borderId="14" xfId="0" applyNumberFormat="1" applyFont="1" applyFill="1" applyBorder="1" applyAlignment="1" applyProtection="1">
      <alignment/>
      <protection/>
    </xf>
    <xf numFmtId="9" fontId="7" fillId="52" borderId="22" xfId="0" applyNumberFormat="1" applyFont="1" applyFill="1" applyBorder="1" applyAlignment="1" applyProtection="1">
      <alignment/>
      <protection/>
    </xf>
    <xf numFmtId="10" fontId="0" fillId="52" borderId="14" xfId="0" applyNumberFormat="1" applyFill="1" applyBorder="1" applyAlignment="1" applyProtection="1">
      <alignment/>
      <protection/>
    </xf>
    <xf numFmtId="9" fontId="25" fillId="52" borderId="14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52" borderId="15" xfId="0" applyFont="1" applyFill="1" applyBorder="1" applyAlignment="1" applyProtection="1">
      <alignment horizontal="right"/>
      <protection/>
    </xf>
    <xf numFmtId="2" fontId="0" fillId="52" borderId="15" xfId="0" applyNumberFormat="1" applyFont="1" applyFill="1" applyBorder="1" applyAlignment="1" applyProtection="1" quotePrefix="1">
      <alignment horizontal="right"/>
      <protection/>
    </xf>
    <xf numFmtId="2" fontId="0" fillId="52" borderId="22" xfId="0" applyNumberFormat="1" applyFont="1" applyFill="1" applyBorder="1" applyAlignment="1" applyProtection="1">
      <alignment horizontal="right"/>
      <protection/>
    </xf>
    <xf numFmtId="0" fontId="0" fillId="52" borderId="15" xfId="0" applyFont="1" applyFill="1" applyBorder="1" applyAlignment="1" applyProtection="1" quotePrefix="1">
      <alignment horizontal="center"/>
      <protection/>
    </xf>
    <xf numFmtId="0" fontId="0" fillId="52" borderId="22" xfId="0" applyFont="1" applyFill="1" applyBorder="1" applyAlignment="1" applyProtection="1">
      <alignment horizontal="left"/>
      <protection/>
    </xf>
    <xf numFmtId="0" fontId="1" fillId="52" borderId="16" xfId="0" applyFont="1" applyFill="1" applyBorder="1" applyAlignment="1" applyProtection="1">
      <alignment/>
      <protection/>
    </xf>
    <xf numFmtId="0" fontId="1" fillId="52" borderId="17" xfId="0" applyFont="1" applyFill="1" applyBorder="1" applyAlignment="1" applyProtection="1">
      <alignment/>
      <protection/>
    </xf>
    <xf numFmtId="0" fontId="7" fillId="52" borderId="24" xfId="0" applyFont="1" applyFill="1" applyBorder="1" applyAlignment="1" applyProtection="1">
      <alignment/>
      <protection/>
    </xf>
    <xf numFmtId="2" fontId="1" fillId="52" borderId="24" xfId="0" applyNumberFormat="1" applyFont="1" applyFill="1" applyBorder="1" applyAlignment="1" applyProtection="1">
      <alignment/>
      <protection/>
    </xf>
    <xf numFmtId="0" fontId="173" fillId="0" borderId="0" xfId="0" applyFont="1" applyFill="1" applyBorder="1" applyAlignment="1" applyProtection="1">
      <alignment/>
      <protection/>
    </xf>
    <xf numFmtId="0" fontId="174" fillId="0" borderId="0" xfId="0" applyFont="1" applyFill="1" applyBorder="1" applyAlignment="1" applyProtection="1">
      <alignment/>
      <protection/>
    </xf>
    <xf numFmtId="0" fontId="178" fillId="0" borderId="0" xfId="0" applyFont="1" applyAlignment="1" applyProtection="1">
      <alignment/>
      <protection/>
    </xf>
    <xf numFmtId="0" fontId="0" fillId="41" borderId="57" xfId="0" applyFill="1" applyBorder="1" applyAlignment="1" applyProtection="1">
      <alignment/>
      <protection/>
    </xf>
    <xf numFmtId="0" fontId="0" fillId="41" borderId="29" xfId="0" applyFill="1" applyBorder="1" applyAlignment="1" applyProtection="1">
      <alignment/>
      <protection/>
    </xf>
    <xf numFmtId="180" fontId="0" fillId="41" borderId="29" xfId="55" applyNumberFormat="1" applyFont="1" applyFill="1" applyBorder="1" applyAlignment="1" applyProtection="1">
      <alignment/>
      <protection/>
    </xf>
    <xf numFmtId="180" fontId="161" fillId="41" borderId="29" xfId="55" applyNumberFormat="1" applyFont="1" applyFill="1" applyBorder="1" applyAlignment="1" applyProtection="1">
      <alignment/>
      <protection/>
    </xf>
    <xf numFmtId="180" fontId="0" fillId="41" borderId="29" xfId="55" applyNumberFormat="1" applyFont="1" applyFill="1" applyBorder="1" applyAlignment="1" applyProtection="1">
      <alignment/>
      <protection/>
    </xf>
    <xf numFmtId="197" fontId="0" fillId="41" borderId="29" xfId="0" applyNumberFormat="1" applyFont="1" applyFill="1" applyBorder="1" applyAlignment="1" applyProtection="1">
      <alignment/>
      <protection/>
    </xf>
    <xf numFmtId="2" fontId="0" fillId="41" borderId="29" xfId="0" applyNumberFormat="1" applyFont="1" applyFill="1" applyBorder="1" applyAlignment="1" applyProtection="1">
      <alignment/>
      <protection hidden="1"/>
    </xf>
    <xf numFmtId="0" fontId="0" fillId="41" borderId="29" xfId="0" applyFont="1" applyFill="1" applyBorder="1" applyAlignment="1" applyProtection="1">
      <alignment/>
      <protection/>
    </xf>
    <xf numFmtId="0" fontId="1" fillId="41" borderId="29" xfId="0" applyFont="1" applyFill="1" applyBorder="1" applyAlignment="1" applyProtection="1">
      <alignment/>
      <protection/>
    </xf>
    <xf numFmtId="0" fontId="1" fillId="41" borderId="29" xfId="0" applyFont="1" applyFill="1" applyBorder="1" applyAlignment="1" applyProtection="1">
      <alignment/>
      <protection hidden="1"/>
    </xf>
    <xf numFmtId="2" fontId="0" fillId="41" borderId="29" xfId="0" applyNumberFormat="1" applyFont="1" applyFill="1" applyBorder="1" applyAlignment="1" applyProtection="1">
      <alignment horizontal="left"/>
      <protection/>
    </xf>
    <xf numFmtId="2" fontId="161" fillId="41" borderId="29" xfId="0" applyNumberFormat="1" applyFont="1" applyFill="1" applyBorder="1" applyAlignment="1" applyProtection="1">
      <alignment horizontal="left"/>
      <protection/>
    </xf>
    <xf numFmtId="0" fontId="161" fillId="41" borderId="29" xfId="0" applyFont="1" applyFill="1" applyBorder="1" applyAlignment="1" applyProtection="1">
      <alignment/>
      <protection/>
    </xf>
    <xf numFmtId="2" fontId="0" fillId="47" borderId="0" xfId="0" applyNumberFormat="1" applyFill="1" applyBorder="1" applyAlignment="1" applyProtection="1">
      <alignment/>
      <protection/>
    </xf>
    <xf numFmtId="17" fontId="165" fillId="46" borderId="0" xfId="0" applyNumberFormat="1" applyFont="1" applyFill="1" applyBorder="1" applyAlignment="1" applyProtection="1" quotePrefix="1">
      <alignment/>
      <protection/>
    </xf>
    <xf numFmtId="0" fontId="0" fillId="46" borderId="0" xfId="0" applyFill="1" applyAlignment="1" applyProtection="1">
      <alignment/>
      <protection/>
    </xf>
    <xf numFmtId="17" fontId="165" fillId="11" borderId="0" xfId="0" applyNumberFormat="1" applyFont="1" applyFill="1" applyBorder="1" applyAlignment="1" applyProtection="1" quotePrefix="1">
      <alignment/>
      <protection/>
    </xf>
    <xf numFmtId="0" fontId="0" fillId="11" borderId="0" xfId="0" applyFill="1" applyAlignment="1" applyProtection="1">
      <alignment/>
      <protection/>
    </xf>
    <xf numFmtId="0" fontId="144" fillId="48" borderId="0" xfId="0" applyFont="1" applyFill="1" applyBorder="1" applyAlignment="1" applyProtection="1">
      <alignment/>
      <protection/>
    </xf>
    <xf numFmtId="0" fontId="163" fillId="0" borderId="129" xfId="55" applyNumberFormat="1" applyFont="1" applyFill="1" applyBorder="1" applyAlignment="1" applyProtection="1">
      <alignment horizontal="center"/>
      <protection locked="0"/>
    </xf>
    <xf numFmtId="0" fontId="5" fillId="0" borderId="130" xfId="0" applyFont="1" applyFill="1" applyBorder="1" applyAlignment="1" applyProtection="1">
      <alignment horizontal="center"/>
      <protection locked="0"/>
    </xf>
    <xf numFmtId="0" fontId="0" fillId="40" borderId="19" xfId="0" applyFill="1" applyBorder="1" applyAlignment="1" applyProtection="1">
      <alignment/>
      <protection hidden="1"/>
    </xf>
    <xf numFmtId="17" fontId="165" fillId="49" borderId="0" xfId="0" applyNumberFormat="1" applyFont="1" applyFill="1" applyBorder="1" applyAlignment="1" applyProtection="1" quotePrefix="1">
      <alignment/>
      <protection/>
    </xf>
    <xf numFmtId="0" fontId="0" fillId="49" borderId="0" xfId="0" applyFill="1" applyAlignment="1" applyProtection="1">
      <alignment/>
      <protection/>
    </xf>
    <xf numFmtId="209" fontId="0" fillId="0" borderId="0" xfId="0" applyNumberFormat="1" applyAlignment="1" applyProtection="1">
      <alignment/>
      <protection/>
    </xf>
    <xf numFmtId="0" fontId="139" fillId="0" borderId="22" xfId="0" applyFont="1" applyFill="1" applyBorder="1" applyAlignment="1" applyProtection="1">
      <alignment/>
      <protection/>
    </xf>
    <xf numFmtId="17" fontId="179" fillId="49" borderId="0" xfId="0" applyNumberFormat="1" applyFont="1" applyFill="1" applyBorder="1" applyAlignment="1" applyProtection="1" quotePrefix="1">
      <alignment/>
      <protection/>
    </xf>
    <xf numFmtId="0" fontId="68" fillId="49" borderId="0" xfId="0" applyFont="1" applyFill="1" applyAlignment="1" applyProtection="1">
      <alignment/>
      <protection/>
    </xf>
    <xf numFmtId="0" fontId="68" fillId="41" borderId="0" xfId="0" applyFont="1" applyFill="1" applyAlignment="1" applyProtection="1">
      <alignment/>
      <protection/>
    </xf>
    <xf numFmtId="0" fontId="0" fillId="41" borderId="0" xfId="0" applyFill="1" applyAlignment="1">
      <alignment/>
    </xf>
    <xf numFmtId="0" fontId="180" fillId="53" borderId="0" xfId="0" applyFont="1" applyFill="1" applyAlignment="1" quotePrefix="1">
      <alignment/>
    </xf>
    <xf numFmtId="0" fontId="0" fillId="53" borderId="0" xfId="0" applyFill="1" applyAlignment="1">
      <alignment/>
    </xf>
    <xf numFmtId="0" fontId="181" fillId="53" borderId="0" xfId="0" applyFont="1" applyFill="1" applyAlignment="1" quotePrefix="1">
      <alignment/>
    </xf>
    <xf numFmtId="0" fontId="69" fillId="53" borderId="0" xfId="0" applyFont="1" applyFill="1" applyAlignment="1">
      <alignment/>
    </xf>
    <xf numFmtId="0" fontId="69" fillId="41" borderId="0" xfId="0" applyFont="1" applyFill="1" applyAlignment="1">
      <alignment/>
    </xf>
    <xf numFmtId="209" fontId="0" fillId="0" borderId="0" xfId="0" applyNumberFormat="1" applyFont="1" applyFill="1" applyBorder="1" applyAlignment="1">
      <alignment horizontal="right"/>
    </xf>
    <xf numFmtId="212" fontId="0" fillId="0" borderId="0" xfId="0" applyNumberFormat="1" applyFont="1" applyFill="1" applyBorder="1" applyAlignment="1">
      <alignment horizontal="right"/>
    </xf>
    <xf numFmtId="0" fontId="0" fillId="14" borderId="0" xfId="0" applyFont="1" applyFill="1" applyAlignment="1" applyProtection="1">
      <alignment/>
      <protection/>
    </xf>
    <xf numFmtId="0" fontId="19" fillId="14" borderId="0" xfId="0" applyFont="1" applyFill="1" applyAlignment="1" applyProtection="1">
      <alignment/>
      <protection/>
    </xf>
    <xf numFmtId="2" fontId="61" fillId="0" borderId="0" xfId="0" applyNumberFormat="1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/>
      <protection locked="0"/>
    </xf>
    <xf numFmtId="0" fontId="0" fillId="0" borderId="94" xfId="0" applyFill="1" applyBorder="1" applyAlignment="1" applyProtection="1">
      <alignment/>
      <protection locked="0"/>
    </xf>
    <xf numFmtId="0" fontId="39" fillId="0" borderId="94" xfId="0" applyFont="1" applyFill="1" applyBorder="1" applyAlignment="1" applyProtection="1">
      <alignment/>
      <protection locked="0"/>
    </xf>
    <xf numFmtId="1" fontId="176" fillId="51" borderId="125" xfId="0" applyNumberFormat="1" applyFont="1" applyFill="1" applyBorder="1" applyAlignment="1" applyProtection="1">
      <alignment/>
      <protection locked="0"/>
    </xf>
    <xf numFmtId="0" fontId="7" fillId="0" borderId="94" xfId="0" applyFont="1" applyFill="1" applyBorder="1" applyAlignment="1" applyProtection="1">
      <alignment/>
      <protection locked="0"/>
    </xf>
    <xf numFmtId="0" fontId="141" fillId="48" borderId="0" xfId="0" applyFont="1" applyFill="1" applyBorder="1" applyAlignment="1" applyProtection="1">
      <alignment/>
      <protection/>
    </xf>
    <xf numFmtId="0" fontId="139" fillId="48" borderId="0" xfId="0" applyFont="1" applyFill="1" applyBorder="1" applyAlignment="1" applyProtection="1">
      <alignment/>
      <protection/>
    </xf>
    <xf numFmtId="0" fontId="0" fillId="48" borderId="0" xfId="0" applyFont="1" applyFill="1" applyBorder="1" applyAlignment="1" applyProtection="1">
      <alignment/>
      <protection/>
    </xf>
    <xf numFmtId="0" fontId="0" fillId="48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37</xdr:row>
      <xdr:rowOff>104775</xdr:rowOff>
    </xdr:from>
    <xdr:to>
      <xdr:col>5</xdr:col>
      <xdr:colOff>638175</xdr:colOff>
      <xdr:row>39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47675" y="6800850"/>
          <a:ext cx="5343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123825</xdr:rowOff>
    </xdr:from>
    <xdr:to>
      <xdr:col>6</xdr:col>
      <xdr:colOff>9525</xdr:colOff>
      <xdr:row>32</xdr:row>
      <xdr:rowOff>47625</xdr:rowOff>
    </xdr:to>
    <xdr:sp>
      <xdr:nvSpPr>
        <xdr:cNvPr id="1" name="WordArt 1027"/>
        <xdr:cNvSpPr>
          <a:spLocks/>
        </xdr:cNvSpPr>
      </xdr:nvSpPr>
      <xdr:spPr>
        <a:xfrm>
          <a:off x="514350" y="5276850"/>
          <a:ext cx="47815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30</xdr:row>
      <xdr:rowOff>104775</xdr:rowOff>
    </xdr:from>
    <xdr:to>
      <xdr:col>5</xdr:col>
      <xdr:colOff>228600</xdr:colOff>
      <xdr:row>32</xdr:row>
      <xdr:rowOff>28575</xdr:rowOff>
    </xdr:to>
    <xdr:sp>
      <xdr:nvSpPr>
        <xdr:cNvPr id="1" name="WordArt 3"/>
        <xdr:cNvSpPr>
          <a:spLocks/>
        </xdr:cNvSpPr>
      </xdr:nvSpPr>
      <xdr:spPr>
        <a:xfrm>
          <a:off x="514350" y="5391150"/>
          <a:ext cx="42957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escargas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hyperlink" Target="https://www.facebook.com/agmeruruguay-188015884570012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O406"/>
  <sheetViews>
    <sheetView showGridLines="0" tabSelected="1" zoomScale="85" zoomScaleNormal="85" zoomScaleSheetLayoutView="75" zoomScalePageLayoutView="0" workbookViewId="0" topLeftCell="A1">
      <pane xSplit="4" ySplit="1" topLeftCell="E14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53" sqref="F153"/>
    </sheetView>
  </sheetViews>
  <sheetFormatPr defaultColWidth="11.421875" defaultRowHeight="12.75"/>
  <cols>
    <col min="1" max="1" width="13.140625" style="1" customWidth="1"/>
    <col min="2" max="2" width="17.140625" style="1" customWidth="1"/>
    <col min="3" max="3" width="21.7109375" style="1" customWidth="1"/>
    <col min="4" max="4" width="32.421875" style="1" customWidth="1"/>
    <col min="5" max="5" width="22.57421875" style="1" customWidth="1"/>
    <col min="6" max="6" width="24.8515625" style="1" customWidth="1"/>
    <col min="7" max="7" width="11.00390625" style="1" customWidth="1"/>
    <col min="8" max="8" width="22.57421875" style="1" customWidth="1"/>
    <col min="9" max="9" width="25.00390625" style="1" customWidth="1"/>
    <col min="10" max="10" width="15.57421875" style="1" customWidth="1"/>
    <col min="11" max="12" width="22.57421875" style="1" customWidth="1"/>
    <col min="13" max="13" width="12.421875" style="1" customWidth="1"/>
    <col min="14" max="15" width="22.57421875" style="1" customWidth="1"/>
    <col min="16" max="16" width="15.140625" style="1" customWidth="1"/>
    <col min="17" max="18" width="22.57421875" style="1" customWidth="1"/>
    <col min="19" max="19" width="18.421875" style="1" customWidth="1"/>
    <col min="20" max="21" width="22.57421875" style="1" customWidth="1"/>
    <col min="22" max="22" width="12.421875" style="1" customWidth="1"/>
    <col min="23" max="23" width="27.57421875" style="1" customWidth="1"/>
    <col min="24" max="24" width="23.00390625" style="1" customWidth="1"/>
    <col min="25" max="25" width="15.8515625" style="1" customWidth="1"/>
    <col min="26" max="30" width="18.28125" style="1" customWidth="1"/>
    <col min="31" max="31" width="25.140625" style="1" bestFit="1" customWidth="1"/>
    <col min="32" max="33" width="18.28125" style="1" customWidth="1"/>
    <col min="34" max="34" width="13.140625" style="1" customWidth="1"/>
    <col min="35" max="35" width="10.7109375" style="1" customWidth="1"/>
    <col min="36" max="36" width="19.57421875" style="1" customWidth="1"/>
    <col min="37" max="37" width="16.140625" style="1" customWidth="1"/>
    <col min="38" max="38" width="14.140625" style="1" customWidth="1"/>
    <col min="39" max="39" width="19.140625" style="1" customWidth="1"/>
    <col min="40" max="40" width="15.28125" style="1" customWidth="1"/>
    <col min="41" max="41" width="14.00390625" style="1" customWidth="1"/>
    <col min="42" max="42" width="11.421875" style="1" customWidth="1"/>
    <col min="43" max="43" width="17.57421875" style="1" customWidth="1"/>
    <col min="44" max="46" width="11.421875" style="1" customWidth="1"/>
    <col min="47" max="47" width="14.57421875" style="1" customWidth="1"/>
    <col min="48" max="48" width="12.421875" style="1" bestFit="1" customWidth="1"/>
    <col min="49" max="49" width="11.421875" style="1" customWidth="1"/>
    <col min="50" max="50" width="14.00390625" style="1" bestFit="1" customWidth="1"/>
    <col min="51" max="16384" width="11.421875" style="1" customWidth="1"/>
  </cols>
  <sheetData>
    <row r="1" spans="1:33" s="509" customFormat="1" ht="21.75" customHeight="1" thickBot="1" thickTop="1">
      <c r="A1" s="508"/>
      <c r="B1" s="536"/>
      <c r="C1" s="532"/>
      <c r="D1" s="533"/>
      <c r="E1" s="777" t="s">
        <v>516</v>
      </c>
      <c r="F1" s="778"/>
      <c r="G1" s="776"/>
      <c r="H1" s="773" t="s">
        <v>513</v>
      </c>
      <c r="I1" s="774"/>
      <c r="J1" s="775"/>
      <c r="K1" s="504">
        <v>43586</v>
      </c>
      <c r="L1" s="512"/>
      <c r="M1" s="578"/>
      <c r="N1" s="503">
        <v>43525</v>
      </c>
      <c r="O1" s="511"/>
      <c r="P1" s="578"/>
      <c r="Q1" s="502" t="s">
        <v>495</v>
      </c>
      <c r="R1" s="510"/>
      <c r="S1" s="578"/>
      <c r="T1" s="505">
        <v>43647</v>
      </c>
      <c r="U1" s="513"/>
      <c r="V1" s="578"/>
      <c r="W1" s="529">
        <v>43739</v>
      </c>
      <c r="X1" s="510"/>
      <c r="Y1" s="578"/>
      <c r="Z1" s="530">
        <v>43831</v>
      </c>
      <c r="AA1" s="531"/>
      <c r="AB1" s="578"/>
      <c r="AC1" s="506"/>
      <c r="AD1" s="514"/>
      <c r="AF1" s="507"/>
      <c r="AG1" s="515"/>
    </row>
    <row r="2" spans="1:11" ht="31.5" thickBot="1" thickTop="1">
      <c r="A2" s="411" t="s">
        <v>503</v>
      </c>
      <c r="B2" s="410"/>
      <c r="C2" s="410"/>
      <c r="D2" s="355"/>
      <c r="E2" s="357"/>
      <c r="F2" s="152"/>
      <c r="G2" s="152"/>
      <c r="H2" s="152"/>
      <c r="I2" s="152"/>
      <c r="J2" s="153"/>
      <c r="K2" s="402"/>
    </row>
    <row r="3" spans="1:3" s="535" customFormat="1" ht="23.25">
      <c r="A3" s="746" t="s">
        <v>528</v>
      </c>
      <c r="B3" s="534"/>
      <c r="C3" s="534"/>
    </row>
    <row r="4" spans="1:6" s="4" customFormat="1" ht="12.75">
      <c r="A4" s="792"/>
      <c r="B4" s="793"/>
      <c r="C4" s="793"/>
      <c r="D4" s="794"/>
      <c r="E4" s="795"/>
      <c r="F4" s="795"/>
    </row>
    <row r="5" spans="1:6" ht="30">
      <c r="A5" s="765" t="s">
        <v>529</v>
      </c>
      <c r="B5" s="492"/>
      <c r="C5" s="492"/>
      <c r="D5" s="493"/>
      <c r="E5" s="494"/>
      <c r="F5" s="494"/>
    </row>
    <row r="6" spans="1:17" ht="15.75">
      <c r="A6" s="165" t="s">
        <v>347</v>
      </c>
      <c r="B6" s="7"/>
      <c r="C6" s="7"/>
      <c r="D6" s="385">
        <v>1</v>
      </c>
      <c r="E6" s="385">
        <v>2</v>
      </c>
      <c r="F6" s="385">
        <v>3</v>
      </c>
      <c r="G6" s="385">
        <v>4</v>
      </c>
      <c r="H6" s="385">
        <v>5</v>
      </c>
      <c r="I6" s="385">
        <v>6</v>
      </c>
      <c r="J6" s="385">
        <v>7</v>
      </c>
      <c r="K6" s="385"/>
      <c r="L6" s="385">
        <v>8</v>
      </c>
      <c r="M6" s="385">
        <v>9</v>
      </c>
      <c r="N6" s="385">
        <v>10</v>
      </c>
      <c r="O6" s="385"/>
      <c r="P6" s="385">
        <v>11</v>
      </c>
      <c r="Q6" s="385">
        <v>12</v>
      </c>
    </row>
    <row r="7" spans="1:7" ht="30.75" customHeight="1">
      <c r="A7" s="371"/>
      <c r="B7" s="7"/>
      <c r="C7" s="7"/>
      <c r="D7" s="7"/>
      <c r="E7" s="7"/>
      <c r="F7" s="7"/>
      <c r="G7" s="7"/>
    </row>
    <row r="8" spans="1:7" ht="15">
      <c r="A8" s="379" t="s">
        <v>480</v>
      </c>
      <c r="B8" s="7"/>
      <c r="C8" s="7"/>
      <c r="D8" s="7"/>
      <c r="E8" s="7"/>
      <c r="F8" s="7"/>
      <c r="G8" s="7"/>
    </row>
    <row r="9" spans="1:12" ht="23.25">
      <c r="A9" s="116"/>
      <c r="B9" s="6"/>
      <c r="C9" s="6"/>
      <c r="D9" s="7"/>
      <c r="E9" s="7"/>
      <c r="F9" s="7"/>
      <c r="G9" s="7"/>
      <c r="L9" s="286"/>
    </row>
    <row r="10" spans="1:12" ht="23.25">
      <c r="A10" s="370" t="s">
        <v>382</v>
      </c>
      <c r="B10" s="6"/>
      <c r="C10" s="6"/>
      <c r="G10" s="7"/>
      <c r="L10" s="286"/>
    </row>
    <row r="11" spans="1:12" ht="23.25">
      <c r="A11" s="6"/>
      <c r="B11" s="6"/>
      <c r="C11" s="6"/>
      <c r="G11" s="7"/>
      <c r="L11" s="286"/>
    </row>
    <row r="12" spans="1:28" ht="24" customHeight="1" hidden="1">
      <c r="A12" s="13"/>
      <c r="J12" s="9"/>
      <c r="K12" s="9"/>
      <c r="L12" s="45"/>
      <c r="N12" s="286"/>
      <c r="O12" s="286"/>
      <c r="Z12" s="7"/>
      <c r="AA12" s="7"/>
      <c r="AB12" s="7"/>
    </row>
    <row r="13" spans="1:28" ht="12" customHeight="1" hidden="1">
      <c r="A13" s="13"/>
      <c r="I13" s="391"/>
      <c r="J13" s="9"/>
      <c r="K13" s="9"/>
      <c r="L13" s="45"/>
      <c r="N13" s="286"/>
      <c r="O13" s="286"/>
      <c r="Z13" s="7"/>
      <c r="AA13" s="7"/>
      <c r="AB13" s="7"/>
    </row>
    <row r="14" spans="1:26" ht="12" customHeight="1" hidden="1">
      <c r="A14" s="13"/>
      <c r="J14" s="9"/>
      <c r="K14" s="45"/>
      <c r="M14" s="286"/>
      <c r="X14" s="7"/>
      <c r="Y14" s="7"/>
      <c r="Z14" s="7"/>
    </row>
    <row r="15" spans="1:26" ht="12" customHeight="1" hidden="1" thickBot="1">
      <c r="A15" s="13"/>
      <c r="J15" s="9"/>
      <c r="K15" s="45"/>
      <c r="M15" s="286"/>
      <c r="X15" s="7"/>
      <c r="Y15" s="7"/>
      <c r="Z15" s="7"/>
    </row>
    <row r="16" spans="1:26" ht="18" customHeight="1" hidden="1" thickBot="1">
      <c r="A16" s="13"/>
      <c r="D16" s="56" t="s">
        <v>341</v>
      </c>
      <c r="E16" s="128"/>
      <c r="I16" s="392">
        <v>43435</v>
      </c>
      <c r="J16" s="9"/>
      <c r="K16" s="45"/>
      <c r="L16" s="392">
        <v>43435</v>
      </c>
      <c r="M16" s="286"/>
      <c r="S16" s="97"/>
      <c r="T16" s="97"/>
      <c r="U16" s="97"/>
      <c r="V16" s="97"/>
      <c r="W16" s="97"/>
      <c r="X16" s="7"/>
      <c r="Y16" s="7"/>
      <c r="Z16" s="7"/>
    </row>
    <row r="17" spans="1:26" ht="12" customHeight="1" hidden="1" thickBot="1" thickTop="1">
      <c r="A17" s="13"/>
      <c r="D17" s="58" t="s">
        <v>342</v>
      </c>
      <c r="E17" s="57" t="s">
        <v>343</v>
      </c>
      <c r="I17" s="273" t="s">
        <v>366</v>
      </c>
      <c r="J17" s="46" t="s">
        <v>361</v>
      </c>
      <c r="K17" s="46" t="s">
        <v>362</v>
      </c>
      <c r="L17" s="275" t="s">
        <v>352</v>
      </c>
      <c r="M17" s="314" t="s">
        <v>353</v>
      </c>
      <c r="N17" s="275" t="s">
        <v>355</v>
      </c>
      <c r="O17" s="275" t="s">
        <v>354</v>
      </c>
      <c r="P17" s="275" t="s">
        <v>363</v>
      </c>
      <c r="Q17" s="275" t="s">
        <v>364</v>
      </c>
      <c r="R17" s="129" t="s">
        <v>365</v>
      </c>
      <c r="S17" s="481">
        <v>1</v>
      </c>
      <c r="T17" s="481">
        <v>2</v>
      </c>
      <c r="U17" s="481">
        <v>3</v>
      </c>
      <c r="V17" s="481">
        <v>4</v>
      </c>
      <c r="W17" s="481">
        <v>5</v>
      </c>
      <c r="X17" s="7"/>
      <c r="Y17" s="7"/>
      <c r="Z17" s="7"/>
    </row>
    <row r="18" spans="1:26" ht="12" customHeight="1" hidden="1">
      <c r="A18" s="13"/>
      <c r="D18" s="52">
        <v>0</v>
      </c>
      <c r="E18" s="50">
        <v>0</v>
      </c>
      <c r="H18" s="138">
        <v>0</v>
      </c>
      <c r="I18" s="315">
        <f aca="true" t="shared" si="0" ref="I18:I29">IF(OR(puntosproljor&lt;620,nina=1),W18,R18)</f>
        <v>2733</v>
      </c>
      <c r="J18" s="501">
        <v>2733</v>
      </c>
      <c r="K18" s="501">
        <v>1164</v>
      </c>
      <c r="L18" s="501">
        <v>0</v>
      </c>
      <c r="M18" s="501">
        <v>0</v>
      </c>
      <c r="N18" s="501">
        <v>0</v>
      </c>
      <c r="O18" s="501">
        <v>0</v>
      </c>
      <c r="P18" s="501">
        <v>1973</v>
      </c>
      <c r="Q18" s="501">
        <v>1473</v>
      </c>
      <c r="R18" s="274">
        <f aca="true" t="shared" si="1" ref="R18:R29">IF(PUNTOSbasicos&gt;971,Q18,P18)</f>
        <v>1973</v>
      </c>
      <c r="S18" s="480">
        <f aca="true" t="shared" si="2" ref="S18:S29">IF(PUNTOSbasicos&lt;972,J18,K18)</f>
        <v>2733</v>
      </c>
      <c r="T18" s="480">
        <f aca="true" t="shared" si="3" ref="T18:T29">IF(PUNTOSbasicos&lt;1170,S18,L18)</f>
        <v>2733</v>
      </c>
      <c r="U18" s="480">
        <f aca="true" t="shared" si="4" ref="U18:U29">IF(PUNTOSbasicos&lt;1401,T18,M18)</f>
        <v>2733</v>
      </c>
      <c r="V18" s="480">
        <f aca="true" t="shared" si="5" ref="V18:V29">IF(PUNTOSbasicos&lt;1943,U18,N18)</f>
        <v>2733</v>
      </c>
      <c r="W18" s="480">
        <f aca="true" t="shared" si="6" ref="W18:W29">IF(PUNTOSbasicos&lt;=2220,V18,O18)</f>
        <v>2733</v>
      </c>
      <c r="X18" s="7"/>
      <c r="Y18" s="7"/>
      <c r="Z18" s="7"/>
    </row>
    <row r="19" spans="1:26" ht="12" customHeight="1" hidden="1">
      <c r="A19" s="13"/>
      <c r="D19" s="53">
        <v>1</v>
      </c>
      <c r="E19" s="51">
        <v>0.1</v>
      </c>
      <c r="H19" s="139">
        <v>0.1</v>
      </c>
      <c r="I19" s="315">
        <f t="shared" si="0"/>
        <v>3961</v>
      </c>
      <c r="J19" s="501">
        <v>3961</v>
      </c>
      <c r="K19" s="501">
        <v>1259</v>
      </c>
      <c r="L19" s="501">
        <v>0</v>
      </c>
      <c r="M19" s="501">
        <v>0</v>
      </c>
      <c r="N19" s="501">
        <v>0</v>
      </c>
      <c r="O19" s="501">
        <v>0</v>
      </c>
      <c r="P19" s="501">
        <v>2068</v>
      </c>
      <c r="Q19" s="501">
        <v>1568</v>
      </c>
      <c r="R19" s="274">
        <f t="shared" si="1"/>
        <v>2068</v>
      </c>
      <c r="S19" s="480">
        <f t="shared" si="2"/>
        <v>3961</v>
      </c>
      <c r="T19" s="480">
        <f t="shared" si="3"/>
        <v>3961</v>
      </c>
      <c r="U19" s="480">
        <f t="shared" si="4"/>
        <v>3961</v>
      </c>
      <c r="V19" s="480">
        <f t="shared" si="5"/>
        <v>3961</v>
      </c>
      <c r="W19" s="480">
        <f t="shared" si="6"/>
        <v>3961</v>
      </c>
      <c r="X19" s="7"/>
      <c r="Y19" s="7"/>
      <c r="Z19" s="7"/>
    </row>
    <row r="20" spans="1:26" ht="12" customHeight="1" hidden="1">
      <c r="A20" s="13"/>
      <c r="D20" s="53">
        <v>2</v>
      </c>
      <c r="E20" s="51">
        <v>0.15</v>
      </c>
      <c r="H20" s="140">
        <v>0.15</v>
      </c>
      <c r="I20" s="315">
        <f t="shared" si="0"/>
        <v>4729</v>
      </c>
      <c r="J20" s="501">
        <v>4729</v>
      </c>
      <c r="K20" s="501">
        <v>2106</v>
      </c>
      <c r="L20" s="501">
        <v>2663</v>
      </c>
      <c r="M20" s="501">
        <v>2221</v>
      </c>
      <c r="N20" s="501">
        <v>2409</v>
      </c>
      <c r="O20" s="501">
        <v>0</v>
      </c>
      <c r="P20" s="501">
        <v>3295</v>
      </c>
      <c r="Q20" s="501">
        <v>2796</v>
      </c>
      <c r="R20" s="274">
        <f t="shared" si="1"/>
        <v>3295</v>
      </c>
      <c r="S20" s="480">
        <f t="shared" si="2"/>
        <v>4729</v>
      </c>
      <c r="T20" s="480">
        <f t="shared" si="3"/>
        <v>4729</v>
      </c>
      <c r="U20" s="480">
        <f t="shared" si="4"/>
        <v>4729</v>
      </c>
      <c r="V20" s="480">
        <f t="shared" si="5"/>
        <v>4729</v>
      </c>
      <c r="W20" s="480">
        <f t="shared" si="6"/>
        <v>4729</v>
      </c>
      <c r="X20" s="7"/>
      <c r="Y20" s="7"/>
      <c r="Z20" s="7"/>
    </row>
    <row r="21" spans="1:26" ht="12" customHeight="1" hidden="1">
      <c r="A21" s="13"/>
      <c r="D21" s="53">
        <v>5</v>
      </c>
      <c r="E21" s="51">
        <v>0.3</v>
      </c>
      <c r="H21" s="140">
        <v>0.3</v>
      </c>
      <c r="I21" s="315">
        <f t="shared" si="0"/>
        <v>5047</v>
      </c>
      <c r="J21" s="501">
        <v>5047</v>
      </c>
      <c r="K21" s="501">
        <v>2241</v>
      </c>
      <c r="L21" s="501">
        <v>2663</v>
      </c>
      <c r="M21" s="501">
        <v>2221</v>
      </c>
      <c r="N21" s="501">
        <v>2409</v>
      </c>
      <c r="O21" s="501">
        <v>0</v>
      </c>
      <c r="P21" s="501">
        <v>4806</v>
      </c>
      <c r="Q21" s="501">
        <v>4023</v>
      </c>
      <c r="R21" s="274">
        <f t="shared" si="1"/>
        <v>4806</v>
      </c>
      <c r="S21" s="480">
        <f t="shared" si="2"/>
        <v>5047</v>
      </c>
      <c r="T21" s="480">
        <f t="shared" si="3"/>
        <v>5047</v>
      </c>
      <c r="U21" s="480">
        <f t="shared" si="4"/>
        <v>5047</v>
      </c>
      <c r="V21" s="480">
        <f t="shared" si="5"/>
        <v>5047</v>
      </c>
      <c r="W21" s="480">
        <f t="shared" si="6"/>
        <v>5047</v>
      </c>
      <c r="X21" s="7"/>
      <c r="Y21" s="7"/>
      <c r="Z21" s="7"/>
    </row>
    <row r="22" spans="1:26" ht="12" customHeight="1" hidden="1">
      <c r="A22" s="13"/>
      <c r="D22" s="53">
        <v>7</v>
      </c>
      <c r="E22" s="51">
        <v>0.4</v>
      </c>
      <c r="H22" s="140">
        <v>0.4</v>
      </c>
      <c r="I22" s="315">
        <f t="shared" si="0"/>
        <v>4533</v>
      </c>
      <c r="J22" s="501">
        <v>4533</v>
      </c>
      <c r="K22" s="501">
        <v>2386</v>
      </c>
      <c r="L22" s="501">
        <v>2761</v>
      </c>
      <c r="M22" s="501">
        <v>2287</v>
      </c>
      <c r="N22" s="501">
        <v>2409</v>
      </c>
      <c r="O22" s="501">
        <v>2033</v>
      </c>
      <c r="P22" s="501">
        <v>5375</v>
      </c>
      <c r="Q22" s="501">
        <v>4497</v>
      </c>
      <c r="R22" s="274">
        <f t="shared" si="1"/>
        <v>5375</v>
      </c>
      <c r="S22" s="480">
        <f t="shared" si="2"/>
        <v>4533</v>
      </c>
      <c r="T22" s="480">
        <f t="shared" si="3"/>
        <v>4533</v>
      </c>
      <c r="U22" s="480">
        <f t="shared" si="4"/>
        <v>4533</v>
      </c>
      <c r="V22" s="480">
        <f t="shared" si="5"/>
        <v>4533</v>
      </c>
      <c r="W22" s="480">
        <f t="shared" si="6"/>
        <v>4533</v>
      </c>
      <c r="X22" s="7"/>
      <c r="Y22" s="7"/>
      <c r="Z22" s="7"/>
    </row>
    <row r="23" spans="1:26" ht="12" customHeight="1" hidden="1">
      <c r="A23" s="13"/>
      <c r="D23" s="53">
        <v>10</v>
      </c>
      <c r="E23" s="51">
        <v>0.5</v>
      </c>
      <c r="H23" s="140">
        <v>0.5</v>
      </c>
      <c r="I23" s="315">
        <f t="shared" si="0"/>
        <v>3918</v>
      </c>
      <c r="J23" s="501">
        <v>3918</v>
      </c>
      <c r="K23" s="501">
        <v>2573</v>
      </c>
      <c r="L23" s="501">
        <v>2761</v>
      </c>
      <c r="M23" s="501">
        <v>2287</v>
      </c>
      <c r="N23" s="501">
        <v>2409</v>
      </c>
      <c r="O23" s="501">
        <v>2033</v>
      </c>
      <c r="P23" s="501">
        <v>5704</v>
      </c>
      <c r="Q23" s="501">
        <v>4823</v>
      </c>
      <c r="R23" s="274">
        <f t="shared" si="1"/>
        <v>5704</v>
      </c>
      <c r="S23" s="480">
        <f t="shared" si="2"/>
        <v>3918</v>
      </c>
      <c r="T23" s="480">
        <f t="shared" si="3"/>
        <v>3918</v>
      </c>
      <c r="U23" s="480">
        <f t="shared" si="4"/>
        <v>3918</v>
      </c>
      <c r="V23" s="480">
        <f t="shared" si="5"/>
        <v>3918</v>
      </c>
      <c r="W23" s="480">
        <f t="shared" si="6"/>
        <v>3918</v>
      </c>
      <c r="X23" s="7"/>
      <c r="Y23" s="7"/>
      <c r="Z23" s="7"/>
    </row>
    <row r="24" spans="1:26" ht="12" customHeight="1" hidden="1">
      <c r="A24" s="13"/>
      <c r="D24" s="53">
        <v>12</v>
      </c>
      <c r="E24" s="51">
        <v>0.6</v>
      </c>
      <c r="H24" s="140">
        <v>0.6</v>
      </c>
      <c r="I24" s="315">
        <f t="shared" si="0"/>
        <v>3941</v>
      </c>
      <c r="J24" s="501">
        <v>3941</v>
      </c>
      <c r="K24" s="501">
        <v>2851</v>
      </c>
      <c r="L24" s="501">
        <v>2851</v>
      </c>
      <c r="M24" s="501">
        <v>2319</v>
      </c>
      <c r="N24" s="501">
        <v>2501</v>
      </c>
      <c r="O24" s="501">
        <v>2215</v>
      </c>
      <c r="P24" s="501">
        <v>6034</v>
      </c>
      <c r="Q24" s="501">
        <v>4968</v>
      </c>
      <c r="R24" s="274">
        <f t="shared" si="1"/>
        <v>6034</v>
      </c>
      <c r="S24" s="480">
        <f t="shared" si="2"/>
        <v>3941</v>
      </c>
      <c r="T24" s="480">
        <f t="shared" si="3"/>
        <v>3941</v>
      </c>
      <c r="U24" s="480">
        <f t="shared" si="4"/>
        <v>3941</v>
      </c>
      <c r="V24" s="480">
        <f t="shared" si="5"/>
        <v>3941</v>
      </c>
      <c r="W24" s="480">
        <f t="shared" si="6"/>
        <v>3941</v>
      </c>
      <c r="X24" s="7"/>
      <c r="Y24" s="7"/>
      <c r="Z24" s="7"/>
    </row>
    <row r="25" spans="1:26" ht="16.5" customHeight="1" hidden="1">
      <c r="A25" s="13"/>
      <c r="D25" s="53">
        <v>15</v>
      </c>
      <c r="E25" s="51">
        <v>0.7</v>
      </c>
      <c r="H25" s="140">
        <v>0.7</v>
      </c>
      <c r="I25" s="315">
        <f t="shared" si="0"/>
        <v>3759</v>
      </c>
      <c r="J25" s="501">
        <v>3759</v>
      </c>
      <c r="K25" s="501">
        <v>3085</v>
      </c>
      <c r="L25" s="501">
        <v>3830</v>
      </c>
      <c r="M25" s="501">
        <v>2573</v>
      </c>
      <c r="N25" s="501">
        <v>2501</v>
      </c>
      <c r="O25" s="501">
        <v>2215</v>
      </c>
      <c r="P25" s="501">
        <v>6178</v>
      </c>
      <c r="Q25" s="501">
        <v>5112</v>
      </c>
      <c r="R25" s="274">
        <f t="shared" si="1"/>
        <v>6178</v>
      </c>
      <c r="S25" s="480">
        <f t="shared" si="2"/>
        <v>3759</v>
      </c>
      <c r="T25" s="480">
        <f t="shared" si="3"/>
        <v>3759</v>
      </c>
      <c r="U25" s="480">
        <f t="shared" si="4"/>
        <v>3759</v>
      </c>
      <c r="V25" s="480">
        <f t="shared" si="5"/>
        <v>3759</v>
      </c>
      <c r="W25" s="480">
        <f t="shared" si="6"/>
        <v>3759</v>
      </c>
      <c r="X25" s="7"/>
      <c r="Y25" s="7"/>
      <c r="Z25" s="7"/>
    </row>
    <row r="26" spans="1:28" ht="12" customHeight="1" hidden="1">
      <c r="A26" s="6"/>
      <c r="D26" s="53">
        <v>17</v>
      </c>
      <c r="E26" s="51">
        <v>0.8</v>
      </c>
      <c r="H26" s="140">
        <v>0.8</v>
      </c>
      <c r="I26" s="315">
        <f t="shared" si="0"/>
        <v>4559</v>
      </c>
      <c r="J26" s="501">
        <v>4559</v>
      </c>
      <c r="K26" s="501">
        <v>3648</v>
      </c>
      <c r="L26" s="501">
        <v>4119</v>
      </c>
      <c r="M26" s="501">
        <v>3599</v>
      </c>
      <c r="N26" s="501">
        <v>3339</v>
      </c>
      <c r="O26" s="501">
        <v>2409</v>
      </c>
      <c r="P26" s="501">
        <v>6455</v>
      </c>
      <c r="Q26" s="501">
        <v>5205</v>
      </c>
      <c r="R26" s="274">
        <f t="shared" si="1"/>
        <v>6455</v>
      </c>
      <c r="S26" s="480">
        <f t="shared" si="2"/>
        <v>4559</v>
      </c>
      <c r="T26" s="480">
        <f t="shared" si="3"/>
        <v>4559</v>
      </c>
      <c r="U26" s="480">
        <f t="shared" si="4"/>
        <v>4559</v>
      </c>
      <c r="V26" s="480">
        <f t="shared" si="5"/>
        <v>4559</v>
      </c>
      <c r="W26" s="480">
        <f t="shared" si="6"/>
        <v>4559</v>
      </c>
      <c r="Z26" s="7"/>
      <c r="AA26" s="7"/>
      <c r="AB26" s="7"/>
    </row>
    <row r="27" spans="1:35" ht="12" customHeight="1" hidden="1">
      <c r="A27" s="6"/>
      <c r="D27" s="53">
        <v>20</v>
      </c>
      <c r="E27" s="51">
        <v>1</v>
      </c>
      <c r="H27" s="140">
        <v>1</v>
      </c>
      <c r="I27" s="315">
        <f t="shared" si="0"/>
        <v>5711</v>
      </c>
      <c r="J27" s="501">
        <v>5711</v>
      </c>
      <c r="K27" s="501">
        <v>4485</v>
      </c>
      <c r="L27" s="501">
        <v>4254</v>
      </c>
      <c r="M27" s="501">
        <v>3506</v>
      </c>
      <c r="N27" s="501">
        <v>3622</v>
      </c>
      <c r="O27" s="501">
        <v>2409</v>
      </c>
      <c r="P27" s="501">
        <v>6790</v>
      </c>
      <c r="Q27" s="501">
        <v>5343</v>
      </c>
      <c r="R27" s="274">
        <f t="shared" si="1"/>
        <v>6790</v>
      </c>
      <c r="S27" s="480">
        <f t="shared" si="2"/>
        <v>5711</v>
      </c>
      <c r="T27" s="480">
        <f t="shared" si="3"/>
        <v>5711</v>
      </c>
      <c r="U27" s="480">
        <f t="shared" si="4"/>
        <v>5711</v>
      </c>
      <c r="V27" s="480">
        <f t="shared" si="5"/>
        <v>5711</v>
      </c>
      <c r="W27" s="480">
        <f t="shared" si="6"/>
        <v>5711</v>
      </c>
      <c r="AG27" s="7"/>
      <c r="AH27" s="7"/>
      <c r="AI27" s="7"/>
    </row>
    <row r="28" spans="1:23" ht="12" customHeight="1" hidden="1">
      <c r="A28" s="6"/>
      <c r="D28" s="53">
        <v>22</v>
      </c>
      <c r="E28" s="51">
        <v>1.1</v>
      </c>
      <c r="H28" s="140">
        <v>1.1</v>
      </c>
      <c r="I28" s="315">
        <f t="shared" si="0"/>
        <v>6419</v>
      </c>
      <c r="J28" s="501">
        <v>6419</v>
      </c>
      <c r="K28" s="501">
        <v>5052</v>
      </c>
      <c r="L28" s="501">
        <v>4445</v>
      </c>
      <c r="M28" s="501">
        <v>3506</v>
      </c>
      <c r="N28" s="501">
        <v>3717</v>
      </c>
      <c r="O28" s="501">
        <v>2501</v>
      </c>
      <c r="P28" s="501">
        <v>7024</v>
      </c>
      <c r="Q28" s="501">
        <v>5485</v>
      </c>
      <c r="R28" s="274">
        <f t="shared" si="1"/>
        <v>7024</v>
      </c>
      <c r="S28" s="480">
        <f t="shared" si="2"/>
        <v>6419</v>
      </c>
      <c r="T28" s="480">
        <f t="shared" si="3"/>
        <v>6419</v>
      </c>
      <c r="U28" s="480">
        <f t="shared" si="4"/>
        <v>6419</v>
      </c>
      <c r="V28" s="480">
        <f t="shared" si="5"/>
        <v>6419</v>
      </c>
      <c r="W28" s="480">
        <f t="shared" si="6"/>
        <v>6419</v>
      </c>
    </row>
    <row r="29" spans="1:23" ht="12" customHeight="1" hidden="1" thickBot="1">
      <c r="A29" s="6"/>
      <c r="D29" s="54">
        <v>24</v>
      </c>
      <c r="E29" s="55">
        <v>1.2</v>
      </c>
      <c r="H29" s="141">
        <v>1.2</v>
      </c>
      <c r="I29" s="315">
        <f t="shared" si="0"/>
        <v>6644</v>
      </c>
      <c r="J29" s="501">
        <v>6644</v>
      </c>
      <c r="K29" s="501">
        <v>5190</v>
      </c>
      <c r="L29" s="501">
        <v>4907</v>
      </c>
      <c r="M29" s="501">
        <v>3553</v>
      </c>
      <c r="N29" s="501">
        <v>3810</v>
      </c>
      <c r="O29" s="501">
        <v>2501</v>
      </c>
      <c r="P29" s="501">
        <v>7070</v>
      </c>
      <c r="Q29" s="501">
        <v>5537</v>
      </c>
      <c r="R29" s="274">
        <f t="shared" si="1"/>
        <v>7070</v>
      </c>
      <c r="S29" s="480">
        <f t="shared" si="2"/>
        <v>6644</v>
      </c>
      <c r="T29" s="480">
        <f t="shared" si="3"/>
        <v>6644</v>
      </c>
      <c r="U29" s="480">
        <f t="shared" si="4"/>
        <v>6644</v>
      </c>
      <c r="V29" s="480">
        <f t="shared" si="5"/>
        <v>6644</v>
      </c>
      <c r="W29" s="480">
        <f t="shared" si="6"/>
        <v>6644</v>
      </c>
    </row>
    <row r="30" spans="1:23" s="7" customFormat="1" ht="12" customHeight="1" hidden="1">
      <c r="A30" s="9"/>
      <c r="D30" s="9"/>
      <c r="E30" s="45"/>
      <c r="H30" s="200"/>
      <c r="I30" s="498"/>
      <c r="J30" s="500"/>
      <c r="K30" s="500"/>
      <c r="L30" s="500"/>
      <c r="M30" s="500"/>
      <c r="N30" s="500"/>
      <c r="O30" s="500"/>
      <c r="P30" s="500"/>
      <c r="Q30" s="500"/>
      <c r="R30" s="499"/>
      <c r="S30" s="499"/>
      <c r="T30" s="499"/>
      <c r="U30" s="499"/>
      <c r="V30" s="499"/>
      <c r="W30" s="499"/>
    </row>
    <row r="31" spans="1:23" s="7" customFormat="1" ht="12" customHeight="1" hidden="1">
      <c r="A31" s="9"/>
      <c r="D31" s="9"/>
      <c r="E31" s="45"/>
      <c r="H31" s="200"/>
      <c r="I31" s="498"/>
      <c r="J31" s="500"/>
      <c r="K31" s="500"/>
      <c r="L31" s="500"/>
      <c r="M31" s="500"/>
      <c r="N31" s="500"/>
      <c r="O31" s="500"/>
      <c r="P31" s="500"/>
      <c r="Q31" s="500"/>
      <c r="R31" s="499"/>
      <c r="S31" s="499"/>
      <c r="T31" s="499"/>
      <c r="U31" s="499"/>
      <c r="V31" s="499"/>
      <c r="W31" s="499"/>
    </row>
    <row r="32" spans="1:23" s="7" customFormat="1" ht="12" customHeight="1" hidden="1">
      <c r="A32" s="9"/>
      <c r="D32" s="9"/>
      <c r="E32" s="45"/>
      <c r="H32" s="200"/>
      <c r="I32" s="498"/>
      <c r="J32" s="500"/>
      <c r="K32" s="500"/>
      <c r="L32" s="500"/>
      <c r="M32" s="500"/>
      <c r="N32" s="500"/>
      <c r="O32" s="500"/>
      <c r="P32" s="500"/>
      <c r="Q32" s="500"/>
      <c r="R32" s="499"/>
      <c r="S32" s="499"/>
      <c r="T32" s="499"/>
      <c r="U32" s="499"/>
      <c r="V32" s="499"/>
      <c r="W32" s="499"/>
    </row>
    <row r="33" spans="1:23" s="7" customFormat="1" ht="23.25" customHeight="1" hidden="1" thickBot="1">
      <c r="A33" s="9"/>
      <c r="D33" s="9"/>
      <c r="E33" s="45"/>
      <c r="H33" s="1"/>
      <c r="I33" s="392">
        <v>43525</v>
      </c>
      <c r="J33" s="9"/>
      <c r="K33" s="45"/>
      <c r="L33" s="392">
        <v>43525</v>
      </c>
      <c r="M33" s="286"/>
      <c r="N33" s="1"/>
      <c r="O33" s="1"/>
      <c r="P33" s="1"/>
      <c r="Q33" s="1"/>
      <c r="R33" s="1"/>
      <c r="S33" s="97"/>
      <c r="T33" s="97"/>
      <c r="U33" s="97"/>
      <c r="V33" s="97"/>
      <c r="W33" s="97"/>
    </row>
    <row r="34" spans="1:23" s="7" customFormat="1" ht="12" customHeight="1" hidden="1" thickBot="1" thickTop="1">
      <c r="A34" s="9"/>
      <c r="D34" s="9"/>
      <c r="E34" s="45"/>
      <c r="H34" s="1"/>
      <c r="I34" s="273" t="s">
        <v>366</v>
      </c>
      <c r="J34" s="46" t="s">
        <v>361</v>
      </c>
      <c r="K34" s="46" t="s">
        <v>362</v>
      </c>
      <c r="L34" s="275" t="s">
        <v>352</v>
      </c>
      <c r="M34" s="314" t="s">
        <v>353</v>
      </c>
      <c r="N34" s="275" t="s">
        <v>355</v>
      </c>
      <c r="O34" s="275" t="s">
        <v>354</v>
      </c>
      <c r="P34" s="275" t="s">
        <v>363</v>
      </c>
      <c r="Q34" s="275" t="s">
        <v>364</v>
      </c>
      <c r="R34" s="129" t="s">
        <v>365</v>
      </c>
      <c r="S34" s="481">
        <v>1</v>
      </c>
      <c r="T34" s="481">
        <v>2</v>
      </c>
      <c r="U34" s="481">
        <v>3</v>
      </c>
      <c r="V34" s="481">
        <v>4</v>
      </c>
      <c r="W34" s="481">
        <v>5</v>
      </c>
    </row>
    <row r="35" spans="1:23" s="7" customFormat="1" ht="12" customHeight="1" hidden="1">
      <c r="A35" s="9"/>
      <c r="D35" s="9"/>
      <c r="E35" s="45"/>
      <c r="H35" s="138">
        <v>0</v>
      </c>
      <c r="I35" s="315">
        <f aca="true" t="shared" si="7" ref="I35:I46">IF(OR(puntosproljor&lt;620,nina=1),W35,R35)</f>
        <v>3007</v>
      </c>
      <c r="J35" s="501">
        <v>3007</v>
      </c>
      <c r="K35" s="501">
        <v>1280</v>
      </c>
      <c r="L35" s="501">
        <v>0</v>
      </c>
      <c r="M35" s="501">
        <v>0</v>
      </c>
      <c r="N35" s="501">
        <v>0</v>
      </c>
      <c r="O35" s="501">
        <v>0</v>
      </c>
      <c r="P35" s="501">
        <v>2170</v>
      </c>
      <c r="Q35" s="501">
        <v>1620</v>
      </c>
      <c r="R35" s="274">
        <f aca="true" t="shared" si="8" ref="R35:R46">IF(PUNTOSbasicos&gt;971,Q35,P35)</f>
        <v>2170</v>
      </c>
      <c r="S35" s="480">
        <f aca="true" t="shared" si="9" ref="S35:S46">IF(PUNTOSbasicos&lt;972,J35,K35)</f>
        <v>3007</v>
      </c>
      <c r="T35" s="480">
        <f aca="true" t="shared" si="10" ref="T35:T46">IF(PUNTOSbasicos&lt;1170,S35,L35)</f>
        <v>3007</v>
      </c>
      <c r="U35" s="480">
        <f aca="true" t="shared" si="11" ref="U35:U46">IF(PUNTOSbasicos&lt;1401,T35,M35)</f>
        <v>3007</v>
      </c>
      <c r="V35" s="480">
        <f aca="true" t="shared" si="12" ref="V35:V46">IF(PUNTOSbasicos&lt;1943,U35,N35)</f>
        <v>3007</v>
      </c>
      <c r="W35" s="480">
        <f aca="true" t="shared" si="13" ref="W35:W46">IF(PUNTOSbasicos&lt;=2220,V35,O35)</f>
        <v>3007</v>
      </c>
    </row>
    <row r="36" spans="1:23" s="7" customFormat="1" ht="12" customHeight="1" hidden="1">
      <c r="A36" s="9"/>
      <c r="D36" s="9"/>
      <c r="E36" s="45"/>
      <c r="H36" s="139">
        <v>0.1</v>
      </c>
      <c r="I36" s="315">
        <f t="shared" si="7"/>
        <v>4357</v>
      </c>
      <c r="J36" s="501">
        <v>4357</v>
      </c>
      <c r="K36" s="501">
        <v>1385</v>
      </c>
      <c r="L36" s="501">
        <v>0</v>
      </c>
      <c r="M36" s="501">
        <v>0</v>
      </c>
      <c r="N36" s="501">
        <v>0</v>
      </c>
      <c r="O36" s="501">
        <v>0</v>
      </c>
      <c r="P36" s="501">
        <v>2275</v>
      </c>
      <c r="Q36" s="501">
        <v>1725</v>
      </c>
      <c r="R36" s="274">
        <f t="shared" si="8"/>
        <v>2275</v>
      </c>
      <c r="S36" s="480">
        <f t="shared" si="9"/>
        <v>4357</v>
      </c>
      <c r="T36" s="480">
        <f t="shared" si="10"/>
        <v>4357</v>
      </c>
      <c r="U36" s="480">
        <f t="shared" si="11"/>
        <v>4357</v>
      </c>
      <c r="V36" s="480">
        <f t="shared" si="12"/>
        <v>4357</v>
      </c>
      <c r="W36" s="480">
        <f t="shared" si="13"/>
        <v>4357</v>
      </c>
    </row>
    <row r="37" spans="1:23" s="7" customFormat="1" ht="12" customHeight="1" hidden="1">
      <c r="A37" s="9"/>
      <c r="D37" s="9"/>
      <c r="E37" s="45"/>
      <c r="H37" s="140">
        <v>0.15</v>
      </c>
      <c r="I37" s="315">
        <f t="shared" si="7"/>
        <v>5202</v>
      </c>
      <c r="J37" s="501">
        <v>5202</v>
      </c>
      <c r="K37" s="501">
        <v>2316</v>
      </c>
      <c r="L37" s="501">
        <v>2929</v>
      </c>
      <c r="M37" s="501">
        <v>2423</v>
      </c>
      <c r="N37" s="501">
        <v>2650</v>
      </c>
      <c r="O37" s="501">
        <v>0</v>
      </c>
      <c r="P37" s="501">
        <v>3625</v>
      </c>
      <c r="Q37" s="501">
        <v>3075</v>
      </c>
      <c r="R37" s="274">
        <f t="shared" si="8"/>
        <v>3625</v>
      </c>
      <c r="S37" s="480">
        <f t="shared" si="9"/>
        <v>5202</v>
      </c>
      <c r="T37" s="480">
        <f t="shared" si="10"/>
        <v>5202</v>
      </c>
      <c r="U37" s="480">
        <f t="shared" si="11"/>
        <v>5202</v>
      </c>
      <c r="V37" s="480">
        <f t="shared" si="12"/>
        <v>5202</v>
      </c>
      <c r="W37" s="480">
        <f t="shared" si="13"/>
        <v>5202</v>
      </c>
    </row>
    <row r="38" spans="1:23" s="7" customFormat="1" ht="12" customHeight="1" hidden="1">
      <c r="A38" s="9"/>
      <c r="D38" s="9"/>
      <c r="E38" s="45"/>
      <c r="H38" s="140">
        <v>0.3</v>
      </c>
      <c r="I38" s="315">
        <f t="shared" si="7"/>
        <v>5552</v>
      </c>
      <c r="J38" s="501">
        <v>5552</v>
      </c>
      <c r="K38" s="501">
        <v>2465</v>
      </c>
      <c r="L38" s="501">
        <v>2929</v>
      </c>
      <c r="M38" s="501">
        <v>2423</v>
      </c>
      <c r="N38" s="501">
        <v>2650</v>
      </c>
      <c r="O38" s="501">
        <v>0</v>
      </c>
      <c r="P38" s="501">
        <v>5287</v>
      </c>
      <c r="Q38" s="501">
        <v>4426</v>
      </c>
      <c r="R38" s="274">
        <f t="shared" si="8"/>
        <v>5287</v>
      </c>
      <c r="S38" s="480">
        <f t="shared" si="9"/>
        <v>5552</v>
      </c>
      <c r="T38" s="480">
        <f t="shared" si="10"/>
        <v>5552</v>
      </c>
      <c r="U38" s="480">
        <f t="shared" si="11"/>
        <v>5552</v>
      </c>
      <c r="V38" s="480">
        <f t="shared" si="12"/>
        <v>5552</v>
      </c>
      <c r="W38" s="480">
        <f t="shared" si="13"/>
        <v>5552</v>
      </c>
    </row>
    <row r="39" spans="1:23" s="7" customFormat="1" ht="12" customHeight="1" hidden="1">
      <c r="A39" s="9"/>
      <c r="D39" s="9"/>
      <c r="E39" s="45"/>
      <c r="H39" s="140">
        <v>0.4</v>
      </c>
      <c r="I39" s="315">
        <f t="shared" si="7"/>
        <v>4986</v>
      </c>
      <c r="J39" s="501">
        <v>4986</v>
      </c>
      <c r="K39" s="501">
        <v>2624</v>
      </c>
      <c r="L39" s="501">
        <v>3037</v>
      </c>
      <c r="M39" s="501">
        <v>2516</v>
      </c>
      <c r="N39" s="501">
        <v>2650</v>
      </c>
      <c r="O39" s="501">
        <v>2237</v>
      </c>
      <c r="P39" s="501">
        <v>5912</v>
      </c>
      <c r="Q39" s="501">
        <v>4947</v>
      </c>
      <c r="R39" s="274">
        <f t="shared" si="8"/>
        <v>5912</v>
      </c>
      <c r="S39" s="480">
        <f t="shared" si="9"/>
        <v>4986</v>
      </c>
      <c r="T39" s="480">
        <f t="shared" si="10"/>
        <v>4986</v>
      </c>
      <c r="U39" s="480">
        <f t="shared" si="11"/>
        <v>4986</v>
      </c>
      <c r="V39" s="480">
        <f t="shared" si="12"/>
        <v>4986</v>
      </c>
      <c r="W39" s="480">
        <f t="shared" si="13"/>
        <v>4986</v>
      </c>
    </row>
    <row r="40" spans="1:23" s="7" customFormat="1" ht="12" customHeight="1" hidden="1">
      <c r="A40" s="9"/>
      <c r="D40" s="9"/>
      <c r="E40" s="45"/>
      <c r="H40" s="140">
        <v>0.5</v>
      </c>
      <c r="I40" s="315">
        <f t="shared" si="7"/>
        <v>4309</v>
      </c>
      <c r="J40" s="501">
        <v>4309</v>
      </c>
      <c r="K40" s="501">
        <v>2831</v>
      </c>
      <c r="L40" s="501">
        <v>3037</v>
      </c>
      <c r="M40" s="501">
        <v>2516</v>
      </c>
      <c r="N40" s="501">
        <v>2650</v>
      </c>
      <c r="O40" s="501">
        <v>2237</v>
      </c>
      <c r="P40" s="501">
        <v>6275</v>
      </c>
      <c r="Q40" s="501">
        <v>5306</v>
      </c>
      <c r="R40" s="274">
        <f t="shared" si="8"/>
        <v>6275</v>
      </c>
      <c r="S40" s="480">
        <f t="shared" si="9"/>
        <v>4309</v>
      </c>
      <c r="T40" s="480">
        <f t="shared" si="10"/>
        <v>4309</v>
      </c>
      <c r="U40" s="480">
        <f t="shared" si="11"/>
        <v>4309</v>
      </c>
      <c r="V40" s="480">
        <f t="shared" si="12"/>
        <v>4309</v>
      </c>
      <c r="W40" s="480">
        <f t="shared" si="13"/>
        <v>4309</v>
      </c>
    </row>
    <row r="41" spans="1:23" s="7" customFormat="1" ht="12" customHeight="1" hidden="1">
      <c r="A41" s="9"/>
      <c r="D41" s="9"/>
      <c r="E41" s="45"/>
      <c r="H41" s="140">
        <v>0.6</v>
      </c>
      <c r="I41" s="315">
        <f t="shared" si="7"/>
        <v>4335</v>
      </c>
      <c r="J41" s="501">
        <v>4335</v>
      </c>
      <c r="K41" s="501">
        <v>3136</v>
      </c>
      <c r="L41" s="501">
        <v>3136</v>
      </c>
      <c r="M41" s="501">
        <v>2551</v>
      </c>
      <c r="N41" s="501">
        <v>2751</v>
      </c>
      <c r="O41" s="501">
        <v>2437</v>
      </c>
      <c r="P41" s="501">
        <v>6637</v>
      </c>
      <c r="Q41" s="501">
        <v>5465</v>
      </c>
      <c r="R41" s="274">
        <f t="shared" si="8"/>
        <v>6637</v>
      </c>
      <c r="S41" s="480">
        <f t="shared" si="9"/>
        <v>4335</v>
      </c>
      <c r="T41" s="480">
        <f t="shared" si="10"/>
        <v>4335</v>
      </c>
      <c r="U41" s="480">
        <f t="shared" si="11"/>
        <v>4335</v>
      </c>
      <c r="V41" s="480">
        <f t="shared" si="12"/>
        <v>4335</v>
      </c>
      <c r="W41" s="480">
        <f t="shared" si="13"/>
        <v>4335</v>
      </c>
    </row>
    <row r="42" spans="1:23" s="7" customFormat="1" ht="12" customHeight="1" hidden="1">
      <c r="A42" s="9"/>
      <c r="D42" s="9"/>
      <c r="E42" s="45"/>
      <c r="H42" s="140">
        <v>0.7</v>
      </c>
      <c r="I42" s="315">
        <f t="shared" si="7"/>
        <v>4135</v>
      </c>
      <c r="J42" s="501">
        <v>4135</v>
      </c>
      <c r="K42" s="501">
        <v>3393</v>
      </c>
      <c r="L42" s="501">
        <v>4213</v>
      </c>
      <c r="M42" s="501">
        <v>2831</v>
      </c>
      <c r="N42" s="501">
        <v>2751</v>
      </c>
      <c r="O42" s="501">
        <v>2437</v>
      </c>
      <c r="P42" s="501">
        <v>6796</v>
      </c>
      <c r="Q42" s="501">
        <v>5623</v>
      </c>
      <c r="R42" s="274">
        <f t="shared" si="8"/>
        <v>6796</v>
      </c>
      <c r="S42" s="480">
        <f t="shared" si="9"/>
        <v>4135</v>
      </c>
      <c r="T42" s="480">
        <f t="shared" si="10"/>
        <v>4135</v>
      </c>
      <c r="U42" s="480">
        <f t="shared" si="11"/>
        <v>4135</v>
      </c>
      <c r="V42" s="480">
        <f t="shared" si="12"/>
        <v>4135</v>
      </c>
      <c r="W42" s="480">
        <f t="shared" si="13"/>
        <v>4135</v>
      </c>
    </row>
    <row r="43" spans="1:23" s="7" customFormat="1" ht="12" customHeight="1" hidden="1">
      <c r="A43" s="9"/>
      <c r="D43" s="9"/>
      <c r="E43" s="45"/>
      <c r="H43" s="140">
        <v>0.8</v>
      </c>
      <c r="I43" s="315">
        <f t="shared" si="7"/>
        <v>5015</v>
      </c>
      <c r="J43" s="501">
        <v>5015</v>
      </c>
      <c r="K43" s="501">
        <v>4013</v>
      </c>
      <c r="L43" s="501">
        <v>4530</v>
      </c>
      <c r="M43" s="501">
        <v>3959</v>
      </c>
      <c r="N43" s="501">
        <v>3673</v>
      </c>
      <c r="O43" s="501">
        <v>2650</v>
      </c>
      <c r="P43" s="501">
        <v>7101</v>
      </c>
      <c r="Q43" s="501">
        <v>5725</v>
      </c>
      <c r="R43" s="274">
        <f t="shared" si="8"/>
        <v>7101</v>
      </c>
      <c r="S43" s="480">
        <f t="shared" si="9"/>
        <v>5015</v>
      </c>
      <c r="T43" s="480">
        <f t="shared" si="10"/>
        <v>5015</v>
      </c>
      <c r="U43" s="480">
        <f t="shared" si="11"/>
        <v>5015</v>
      </c>
      <c r="V43" s="480">
        <f t="shared" si="12"/>
        <v>5015</v>
      </c>
      <c r="W43" s="480">
        <f t="shared" si="13"/>
        <v>5015</v>
      </c>
    </row>
    <row r="44" spans="1:23" s="7" customFormat="1" ht="12" customHeight="1" hidden="1">
      <c r="A44" s="9"/>
      <c r="D44" s="9"/>
      <c r="E44" s="45"/>
      <c r="H44" s="140">
        <v>1</v>
      </c>
      <c r="I44" s="315">
        <f t="shared" si="7"/>
        <v>6282</v>
      </c>
      <c r="J44" s="501">
        <v>6282</v>
      </c>
      <c r="K44" s="501">
        <v>4934</v>
      </c>
      <c r="L44" s="501">
        <v>4680</v>
      </c>
      <c r="M44" s="501">
        <v>3857</v>
      </c>
      <c r="N44" s="501">
        <v>3984</v>
      </c>
      <c r="O44" s="501">
        <v>2650</v>
      </c>
      <c r="P44" s="501">
        <v>7469</v>
      </c>
      <c r="Q44" s="501">
        <v>5878</v>
      </c>
      <c r="R44" s="274">
        <f t="shared" si="8"/>
        <v>7469</v>
      </c>
      <c r="S44" s="480">
        <f t="shared" si="9"/>
        <v>6282</v>
      </c>
      <c r="T44" s="480">
        <f t="shared" si="10"/>
        <v>6282</v>
      </c>
      <c r="U44" s="480">
        <f t="shared" si="11"/>
        <v>6282</v>
      </c>
      <c r="V44" s="480">
        <f t="shared" si="12"/>
        <v>6282</v>
      </c>
      <c r="W44" s="480">
        <f t="shared" si="13"/>
        <v>6282</v>
      </c>
    </row>
    <row r="45" spans="1:23" s="7" customFormat="1" ht="12" customHeight="1" hidden="1">
      <c r="A45" s="9"/>
      <c r="D45" s="9"/>
      <c r="E45" s="45"/>
      <c r="H45" s="140">
        <v>1.1</v>
      </c>
      <c r="I45" s="315">
        <f t="shared" si="7"/>
        <v>7061</v>
      </c>
      <c r="J45" s="501">
        <v>7061</v>
      </c>
      <c r="K45" s="501">
        <v>5557</v>
      </c>
      <c r="L45" s="501">
        <v>4889</v>
      </c>
      <c r="M45" s="501">
        <v>3857</v>
      </c>
      <c r="N45" s="501">
        <v>4089</v>
      </c>
      <c r="O45" s="501">
        <v>2751</v>
      </c>
      <c r="P45" s="501">
        <v>7727</v>
      </c>
      <c r="Q45" s="501">
        <v>6033</v>
      </c>
      <c r="R45" s="274">
        <f t="shared" si="8"/>
        <v>7727</v>
      </c>
      <c r="S45" s="480">
        <f t="shared" si="9"/>
        <v>7061</v>
      </c>
      <c r="T45" s="480">
        <f t="shared" si="10"/>
        <v>7061</v>
      </c>
      <c r="U45" s="480">
        <f t="shared" si="11"/>
        <v>7061</v>
      </c>
      <c r="V45" s="480">
        <f t="shared" si="12"/>
        <v>7061</v>
      </c>
      <c r="W45" s="480">
        <f t="shared" si="13"/>
        <v>7061</v>
      </c>
    </row>
    <row r="46" spans="1:23" s="7" customFormat="1" ht="12" customHeight="1" hidden="1" thickBot="1">
      <c r="A46" s="9"/>
      <c r="D46" s="9"/>
      <c r="E46" s="45"/>
      <c r="H46" s="141">
        <v>1.2</v>
      </c>
      <c r="I46" s="315">
        <f t="shared" si="7"/>
        <v>7308</v>
      </c>
      <c r="J46" s="501">
        <v>7308</v>
      </c>
      <c r="K46" s="501">
        <v>5709</v>
      </c>
      <c r="L46" s="501">
        <v>5398</v>
      </c>
      <c r="M46" s="501">
        <v>3908</v>
      </c>
      <c r="N46" s="501">
        <v>4191</v>
      </c>
      <c r="O46" s="501">
        <v>2751</v>
      </c>
      <c r="P46" s="501">
        <v>7777</v>
      </c>
      <c r="Q46" s="501">
        <v>6090</v>
      </c>
      <c r="R46" s="274">
        <f t="shared" si="8"/>
        <v>7777</v>
      </c>
      <c r="S46" s="480">
        <f t="shared" si="9"/>
        <v>7308</v>
      </c>
      <c r="T46" s="480">
        <f t="shared" si="10"/>
        <v>7308</v>
      </c>
      <c r="U46" s="480">
        <f t="shared" si="11"/>
        <v>7308</v>
      </c>
      <c r="V46" s="480">
        <f t="shared" si="12"/>
        <v>7308</v>
      </c>
      <c r="W46" s="480">
        <f t="shared" si="13"/>
        <v>7308</v>
      </c>
    </row>
    <row r="47" spans="1:23" s="7" customFormat="1" ht="12" customHeight="1" hidden="1">
      <c r="A47" s="9"/>
      <c r="D47" s="9"/>
      <c r="E47" s="45"/>
      <c r="H47" s="200"/>
      <c r="I47" s="498"/>
      <c r="J47" s="500"/>
      <c r="K47" s="500"/>
      <c r="L47" s="500"/>
      <c r="M47" s="500"/>
      <c r="N47" s="500"/>
      <c r="O47" s="500"/>
      <c r="P47" s="500"/>
      <c r="Q47" s="500"/>
      <c r="R47" s="499"/>
      <c r="S47" s="499"/>
      <c r="T47" s="499"/>
      <c r="U47" s="499"/>
      <c r="V47" s="499"/>
      <c r="W47" s="499"/>
    </row>
    <row r="48" spans="1:23" s="7" customFormat="1" ht="12" customHeight="1" hidden="1">
      <c r="A48" s="9"/>
      <c r="D48" s="9"/>
      <c r="E48" s="45"/>
      <c r="H48" s="200"/>
      <c r="I48" s="498"/>
      <c r="J48" s="500"/>
      <c r="K48" s="500"/>
      <c r="L48" s="500"/>
      <c r="M48" s="500"/>
      <c r="N48" s="500"/>
      <c r="O48" s="500"/>
      <c r="P48" s="500"/>
      <c r="Q48" s="500"/>
      <c r="R48" s="499"/>
      <c r="S48" s="499"/>
      <c r="T48" s="499"/>
      <c r="U48" s="499"/>
      <c r="V48" s="499"/>
      <c r="W48" s="499"/>
    </row>
    <row r="49" spans="1:23" s="7" customFormat="1" ht="20.25" customHeight="1" hidden="1" thickBot="1">
      <c r="A49" s="9"/>
      <c r="D49" s="9"/>
      <c r="E49" s="45"/>
      <c r="H49" s="1"/>
      <c r="I49" s="392">
        <v>43586</v>
      </c>
      <c r="J49" s="9"/>
      <c r="K49" s="45"/>
      <c r="L49" s="392">
        <v>43586</v>
      </c>
      <c r="M49" s="286"/>
      <c r="N49" s="1"/>
      <c r="O49" s="1"/>
      <c r="P49" s="1"/>
      <c r="Q49" s="1"/>
      <c r="R49" s="1"/>
      <c r="S49" s="97"/>
      <c r="T49" s="97"/>
      <c r="U49" s="97"/>
      <c r="V49" s="97"/>
      <c r="W49" s="97"/>
    </row>
    <row r="50" spans="1:23" s="7" customFormat="1" ht="12" customHeight="1" hidden="1" thickBot="1" thickTop="1">
      <c r="A50" s="9"/>
      <c r="D50" s="9"/>
      <c r="E50" s="45"/>
      <c r="H50" s="1"/>
      <c r="I50" s="273" t="s">
        <v>366</v>
      </c>
      <c r="J50" s="46" t="s">
        <v>361</v>
      </c>
      <c r="K50" s="46" t="s">
        <v>362</v>
      </c>
      <c r="L50" s="275" t="s">
        <v>352</v>
      </c>
      <c r="M50" s="314" t="s">
        <v>353</v>
      </c>
      <c r="N50" s="275" t="s">
        <v>355</v>
      </c>
      <c r="O50" s="275" t="s">
        <v>354</v>
      </c>
      <c r="P50" s="275" t="s">
        <v>363</v>
      </c>
      <c r="Q50" s="275" t="s">
        <v>364</v>
      </c>
      <c r="R50" s="129" t="s">
        <v>365</v>
      </c>
      <c r="S50" s="481">
        <v>1</v>
      </c>
      <c r="T50" s="481">
        <v>2</v>
      </c>
      <c r="U50" s="481">
        <v>3</v>
      </c>
      <c r="V50" s="481">
        <v>4</v>
      </c>
      <c r="W50" s="481">
        <v>5</v>
      </c>
    </row>
    <row r="51" spans="1:23" s="7" customFormat="1" ht="12" customHeight="1" hidden="1">
      <c r="A51" s="9"/>
      <c r="D51" s="9"/>
      <c r="E51" s="45"/>
      <c r="H51" s="138">
        <v>0</v>
      </c>
      <c r="I51" s="315">
        <f aca="true" t="shared" si="14" ref="I51:I62">IF(OR(puntosproljor&lt;620,nina=1),W51,R51)</f>
        <v>3335</v>
      </c>
      <c r="J51" s="501">
        <v>3335</v>
      </c>
      <c r="K51" s="501">
        <v>1420</v>
      </c>
      <c r="L51" s="501">
        <v>0</v>
      </c>
      <c r="M51" s="501">
        <v>0</v>
      </c>
      <c r="N51" s="501">
        <v>0</v>
      </c>
      <c r="O51" s="501">
        <v>0</v>
      </c>
      <c r="P51" s="501">
        <v>2407</v>
      </c>
      <c r="Q51" s="501">
        <v>1797</v>
      </c>
      <c r="R51" s="274">
        <f aca="true" t="shared" si="15" ref="R51:R62">IF(PUNTOSbasicos&gt;971,Q51,P51)</f>
        <v>2407</v>
      </c>
      <c r="S51" s="480">
        <f aca="true" t="shared" si="16" ref="S51:S62">IF(PUNTOSbasicos&lt;972,J51,K51)</f>
        <v>3335</v>
      </c>
      <c r="T51" s="480">
        <f aca="true" t="shared" si="17" ref="T51:T62">IF(PUNTOSbasicos&lt;1170,S51,L51)</f>
        <v>3335</v>
      </c>
      <c r="U51" s="480">
        <f aca="true" t="shared" si="18" ref="U51:U62">IF(PUNTOSbasicos&lt;1401,T51,M51)</f>
        <v>3335</v>
      </c>
      <c r="V51" s="480">
        <f aca="true" t="shared" si="19" ref="V51:V62">IF(PUNTOSbasicos&lt;1943,U51,N51)</f>
        <v>3335</v>
      </c>
      <c r="W51" s="480">
        <f aca="true" t="shared" si="20" ref="W51:W62">IF(PUNTOSbasicos&lt;=2220,V51,O51)</f>
        <v>3335</v>
      </c>
    </row>
    <row r="52" spans="1:23" s="7" customFormat="1" ht="12" customHeight="1" hidden="1">
      <c r="A52" s="9"/>
      <c r="D52" s="9"/>
      <c r="E52" s="45"/>
      <c r="H52" s="139">
        <v>0.1</v>
      </c>
      <c r="I52" s="315">
        <f t="shared" si="14"/>
        <v>4832</v>
      </c>
      <c r="J52" s="501">
        <v>4832</v>
      </c>
      <c r="K52" s="501">
        <v>1536</v>
      </c>
      <c r="L52" s="501">
        <v>0</v>
      </c>
      <c r="M52" s="501">
        <v>0</v>
      </c>
      <c r="N52" s="501">
        <v>0</v>
      </c>
      <c r="O52" s="501">
        <v>0</v>
      </c>
      <c r="P52" s="501">
        <v>2523</v>
      </c>
      <c r="Q52" s="501">
        <v>1913</v>
      </c>
      <c r="R52" s="274">
        <f t="shared" si="15"/>
        <v>2523</v>
      </c>
      <c r="S52" s="480">
        <f t="shared" si="16"/>
        <v>4832</v>
      </c>
      <c r="T52" s="480">
        <f t="shared" si="17"/>
        <v>4832</v>
      </c>
      <c r="U52" s="480">
        <f t="shared" si="18"/>
        <v>4832</v>
      </c>
      <c r="V52" s="480">
        <f t="shared" si="19"/>
        <v>4832</v>
      </c>
      <c r="W52" s="480">
        <f t="shared" si="20"/>
        <v>4832</v>
      </c>
    </row>
    <row r="53" spans="1:23" s="7" customFormat="1" ht="12" customHeight="1" hidden="1">
      <c r="A53" s="9"/>
      <c r="D53" s="9"/>
      <c r="E53" s="45"/>
      <c r="H53" s="140">
        <v>0.15</v>
      </c>
      <c r="I53" s="315">
        <f t="shared" si="14"/>
        <v>5770</v>
      </c>
      <c r="J53" s="501">
        <v>5770</v>
      </c>
      <c r="K53" s="501">
        <v>2569</v>
      </c>
      <c r="L53" s="501">
        <v>3249</v>
      </c>
      <c r="M53" s="501">
        <v>2710</v>
      </c>
      <c r="N53" s="501">
        <v>2939</v>
      </c>
      <c r="O53" s="501">
        <v>0</v>
      </c>
      <c r="P53" s="501">
        <v>4020</v>
      </c>
      <c r="Q53" s="501">
        <v>3411</v>
      </c>
      <c r="R53" s="274">
        <f t="shared" si="15"/>
        <v>4020</v>
      </c>
      <c r="S53" s="480">
        <f t="shared" si="16"/>
        <v>5770</v>
      </c>
      <c r="T53" s="480">
        <f t="shared" si="17"/>
        <v>5770</v>
      </c>
      <c r="U53" s="480">
        <f t="shared" si="18"/>
        <v>5770</v>
      </c>
      <c r="V53" s="480">
        <f t="shared" si="19"/>
        <v>5770</v>
      </c>
      <c r="W53" s="480">
        <f t="shared" si="20"/>
        <v>5770</v>
      </c>
    </row>
    <row r="54" spans="1:23" s="7" customFormat="1" ht="12" customHeight="1" hidden="1">
      <c r="A54" s="9"/>
      <c r="D54" s="9"/>
      <c r="E54" s="45"/>
      <c r="H54" s="140">
        <v>0.3</v>
      </c>
      <c r="I54" s="315">
        <f t="shared" si="14"/>
        <v>6157</v>
      </c>
      <c r="J54" s="501">
        <v>6157</v>
      </c>
      <c r="K54" s="501">
        <v>2734</v>
      </c>
      <c r="L54" s="501">
        <v>3249</v>
      </c>
      <c r="M54" s="501">
        <v>2710</v>
      </c>
      <c r="N54" s="501">
        <v>2939</v>
      </c>
      <c r="O54" s="501">
        <v>0</v>
      </c>
      <c r="P54" s="501">
        <v>5863</v>
      </c>
      <c r="Q54" s="501">
        <v>4908</v>
      </c>
      <c r="R54" s="274">
        <f t="shared" si="15"/>
        <v>5863</v>
      </c>
      <c r="S54" s="480">
        <f t="shared" si="16"/>
        <v>6157</v>
      </c>
      <c r="T54" s="480">
        <f t="shared" si="17"/>
        <v>6157</v>
      </c>
      <c r="U54" s="480">
        <f t="shared" si="18"/>
        <v>6157</v>
      </c>
      <c r="V54" s="480">
        <f t="shared" si="19"/>
        <v>6157</v>
      </c>
      <c r="W54" s="480">
        <f t="shared" si="20"/>
        <v>6157</v>
      </c>
    </row>
    <row r="55" spans="1:23" s="7" customFormat="1" ht="12" customHeight="1" hidden="1">
      <c r="A55" s="9"/>
      <c r="D55" s="9"/>
      <c r="E55" s="45"/>
      <c r="H55" s="140">
        <v>0.4</v>
      </c>
      <c r="I55" s="315">
        <f t="shared" si="14"/>
        <v>5530</v>
      </c>
      <c r="J55" s="501">
        <v>5530</v>
      </c>
      <c r="K55" s="501">
        <v>2911</v>
      </c>
      <c r="L55" s="501">
        <v>3369</v>
      </c>
      <c r="M55" s="501">
        <v>2791</v>
      </c>
      <c r="N55" s="501">
        <v>2939</v>
      </c>
      <c r="O55" s="501">
        <v>2481</v>
      </c>
      <c r="P55" s="501">
        <v>6557</v>
      </c>
      <c r="Q55" s="501">
        <v>5486</v>
      </c>
      <c r="R55" s="274">
        <f t="shared" si="15"/>
        <v>6557</v>
      </c>
      <c r="S55" s="480">
        <f t="shared" si="16"/>
        <v>5530</v>
      </c>
      <c r="T55" s="480">
        <f t="shared" si="17"/>
        <v>5530</v>
      </c>
      <c r="U55" s="480">
        <f t="shared" si="18"/>
        <v>5530</v>
      </c>
      <c r="V55" s="480">
        <f t="shared" si="19"/>
        <v>5530</v>
      </c>
      <c r="W55" s="480">
        <f t="shared" si="20"/>
        <v>5530</v>
      </c>
    </row>
    <row r="56" spans="1:23" s="7" customFormat="1" ht="12" customHeight="1" hidden="1">
      <c r="A56" s="9"/>
      <c r="D56" s="9"/>
      <c r="E56" s="45"/>
      <c r="H56" s="140">
        <v>0.5</v>
      </c>
      <c r="I56" s="315">
        <f t="shared" si="14"/>
        <v>4779</v>
      </c>
      <c r="J56" s="501">
        <v>4779</v>
      </c>
      <c r="K56" s="501">
        <v>3140</v>
      </c>
      <c r="L56" s="501">
        <v>3369</v>
      </c>
      <c r="M56" s="501">
        <v>2791</v>
      </c>
      <c r="N56" s="501">
        <v>2939</v>
      </c>
      <c r="O56" s="501">
        <v>2481</v>
      </c>
      <c r="P56" s="501">
        <v>6959</v>
      </c>
      <c r="Q56" s="501">
        <v>5884</v>
      </c>
      <c r="R56" s="274">
        <f t="shared" si="15"/>
        <v>6959</v>
      </c>
      <c r="S56" s="480">
        <f t="shared" si="16"/>
        <v>4779</v>
      </c>
      <c r="T56" s="480">
        <f t="shared" si="17"/>
        <v>4779</v>
      </c>
      <c r="U56" s="480">
        <f t="shared" si="18"/>
        <v>4779</v>
      </c>
      <c r="V56" s="480">
        <f t="shared" si="19"/>
        <v>4779</v>
      </c>
      <c r="W56" s="480">
        <f t="shared" si="20"/>
        <v>4779</v>
      </c>
    </row>
    <row r="57" spans="1:23" s="7" customFormat="1" ht="12" customHeight="1" hidden="1">
      <c r="A57" s="9"/>
      <c r="D57" s="9"/>
      <c r="E57" s="45"/>
      <c r="H57" s="140">
        <v>0.6</v>
      </c>
      <c r="I57" s="315">
        <f t="shared" si="14"/>
        <v>4808</v>
      </c>
      <c r="J57" s="501">
        <v>4808</v>
      </c>
      <c r="K57" s="501">
        <v>3478</v>
      </c>
      <c r="L57" s="501">
        <v>3478</v>
      </c>
      <c r="M57" s="501">
        <v>2829</v>
      </c>
      <c r="N57" s="501">
        <v>3051</v>
      </c>
      <c r="O57" s="501">
        <v>2703</v>
      </c>
      <c r="P57" s="501">
        <v>7361</v>
      </c>
      <c r="Q57" s="501">
        <v>6061</v>
      </c>
      <c r="R57" s="274">
        <f t="shared" si="15"/>
        <v>7361</v>
      </c>
      <c r="S57" s="480">
        <f t="shared" si="16"/>
        <v>4808</v>
      </c>
      <c r="T57" s="480">
        <f t="shared" si="17"/>
        <v>4808</v>
      </c>
      <c r="U57" s="480">
        <f t="shared" si="18"/>
        <v>4808</v>
      </c>
      <c r="V57" s="480">
        <f t="shared" si="19"/>
        <v>4808</v>
      </c>
      <c r="W57" s="480">
        <f t="shared" si="20"/>
        <v>4808</v>
      </c>
    </row>
    <row r="58" spans="1:23" s="7" customFormat="1" ht="12" customHeight="1" hidden="1">
      <c r="A58" s="9"/>
      <c r="D58" s="9"/>
      <c r="E58" s="45"/>
      <c r="H58" s="140">
        <v>0.7</v>
      </c>
      <c r="I58" s="315">
        <f t="shared" si="14"/>
        <v>4586</v>
      </c>
      <c r="J58" s="501">
        <v>4586</v>
      </c>
      <c r="K58" s="501">
        <v>3763</v>
      </c>
      <c r="L58" s="501">
        <v>4672</v>
      </c>
      <c r="M58" s="501">
        <v>3140</v>
      </c>
      <c r="N58" s="501">
        <v>3051</v>
      </c>
      <c r="O58" s="501">
        <v>2703</v>
      </c>
      <c r="P58" s="501">
        <v>7537</v>
      </c>
      <c r="Q58" s="501">
        <v>6237</v>
      </c>
      <c r="R58" s="274">
        <f t="shared" si="15"/>
        <v>7537</v>
      </c>
      <c r="S58" s="480">
        <f t="shared" si="16"/>
        <v>4586</v>
      </c>
      <c r="T58" s="480">
        <f t="shared" si="17"/>
        <v>4586</v>
      </c>
      <c r="U58" s="480">
        <f t="shared" si="18"/>
        <v>4586</v>
      </c>
      <c r="V58" s="480">
        <f t="shared" si="19"/>
        <v>4586</v>
      </c>
      <c r="W58" s="480">
        <f t="shared" si="20"/>
        <v>4586</v>
      </c>
    </row>
    <row r="59" spans="1:23" s="7" customFormat="1" ht="12" customHeight="1" hidden="1">
      <c r="A59" s="9"/>
      <c r="D59" s="9"/>
      <c r="E59" s="45"/>
      <c r="H59" s="140">
        <v>0.8</v>
      </c>
      <c r="I59" s="315">
        <f t="shared" si="14"/>
        <v>5562</v>
      </c>
      <c r="J59" s="501">
        <v>5562</v>
      </c>
      <c r="K59" s="501">
        <v>4450</v>
      </c>
      <c r="L59" s="501">
        <v>5025</v>
      </c>
      <c r="M59" s="501">
        <v>4390</v>
      </c>
      <c r="N59" s="501">
        <v>4073</v>
      </c>
      <c r="O59" s="501">
        <v>2939</v>
      </c>
      <c r="P59" s="501">
        <v>7875</v>
      </c>
      <c r="Q59" s="501">
        <v>6350</v>
      </c>
      <c r="R59" s="274">
        <f t="shared" si="15"/>
        <v>7875</v>
      </c>
      <c r="S59" s="480">
        <f t="shared" si="16"/>
        <v>5562</v>
      </c>
      <c r="T59" s="480">
        <f t="shared" si="17"/>
        <v>5562</v>
      </c>
      <c r="U59" s="480">
        <f t="shared" si="18"/>
        <v>5562</v>
      </c>
      <c r="V59" s="480">
        <f t="shared" si="19"/>
        <v>5562</v>
      </c>
      <c r="W59" s="480">
        <f t="shared" si="20"/>
        <v>5562</v>
      </c>
    </row>
    <row r="60" spans="1:23" s="7" customFormat="1" ht="12" customHeight="1" hidden="1">
      <c r="A60" s="9"/>
      <c r="D60" s="9"/>
      <c r="E60" s="45"/>
      <c r="H60" s="140">
        <v>1</v>
      </c>
      <c r="I60" s="315">
        <f t="shared" si="14"/>
        <v>6968</v>
      </c>
      <c r="J60" s="501">
        <v>6968</v>
      </c>
      <c r="K60" s="501">
        <v>5472</v>
      </c>
      <c r="L60" s="501">
        <v>5190</v>
      </c>
      <c r="M60" s="501">
        <v>4278</v>
      </c>
      <c r="N60" s="501">
        <v>4419</v>
      </c>
      <c r="O60" s="501">
        <v>2939</v>
      </c>
      <c r="P60" s="501">
        <v>8284</v>
      </c>
      <c r="Q60" s="501">
        <v>6519</v>
      </c>
      <c r="R60" s="274">
        <f t="shared" si="15"/>
        <v>8284</v>
      </c>
      <c r="S60" s="480">
        <f t="shared" si="16"/>
        <v>6968</v>
      </c>
      <c r="T60" s="480">
        <f t="shared" si="17"/>
        <v>6968</v>
      </c>
      <c r="U60" s="480">
        <f t="shared" si="18"/>
        <v>6968</v>
      </c>
      <c r="V60" s="480">
        <f t="shared" si="19"/>
        <v>6968</v>
      </c>
      <c r="W60" s="480">
        <f t="shared" si="20"/>
        <v>6968</v>
      </c>
    </row>
    <row r="61" spans="1:23" s="7" customFormat="1" ht="12" customHeight="1" hidden="1">
      <c r="A61" s="9"/>
      <c r="D61" s="9"/>
      <c r="E61" s="45"/>
      <c r="H61" s="140">
        <v>1.1</v>
      </c>
      <c r="I61" s="315">
        <f t="shared" si="14"/>
        <v>7831</v>
      </c>
      <c r="J61" s="501">
        <v>7831</v>
      </c>
      <c r="K61" s="501">
        <v>6163</v>
      </c>
      <c r="L61" s="501">
        <v>5423</v>
      </c>
      <c r="M61" s="501">
        <v>4278</v>
      </c>
      <c r="N61" s="501">
        <v>4535</v>
      </c>
      <c r="O61" s="501">
        <v>3051</v>
      </c>
      <c r="P61" s="501">
        <v>8569</v>
      </c>
      <c r="Q61" s="501">
        <v>6691</v>
      </c>
      <c r="R61" s="274">
        <f t="shared" si="15"/>
        <v>8569</v>
      </c>
      <c r="S61" s="480">
        <f t="shared" si="16"/>
        <v>7831</v>
      </c>
      <c r="T61" s="480">
        <f t="shared" si="17"/>
        <v>7831</v>
      </c>
      <c r="U61" s="480">
        <f t="shared" si="18"/>
        <v>7831</v>
      </c>
      <c r="V61" s="480">
        <f t="shared" si="19"/>
        <v>7831</v>
      </c>
      <c r="W61" s="480">
        <f t="shared" si="20"/>
        <v>7831</v>
      </c>
    </row>
    <row r="62" spans="1:23" s="7" customFormat="1" ht="12" customHeight="1" hidden="1" thickBot="1">
      <c r="A62" s="9"/>
      <c r="D62" s="9"/>
      <c r="E62" s="45"/>
      <c r="H62" s="141">
        <v>1.2</v>
      </c>
      <c r="I62" s="315">
        <f t="shared" si="14"/>
        <v>8106</v>
      </c>
      <c r="J62" s="501">
        <v>8106</v>
      </c>
      <c r="K62" s="501">
        <v>6332</v>
      </c>
      <c r="L62" s="501">
        <v>5987</v>
      </c>
      <c r="M62" s="501">
        <v>4334</v>
      </c>
      <c r="N62" s="501">
        <v>4648</v>
      </c>
      <c r="O62" s="501">
        <v>3051</v>
      </c>
      <c r="P62" s="501">
        <v>8626</v>
      </c>
      <c r="Q62" s="501">
        <v>6755</v>
      </c>
      <c r="R62" s="274">
        <f t="shared" si="15"/>
        <v>8626</v>
      </c>
      <c r="S62" s="480">
        <f t="shared" si="16"/>
        <v>8106</v>
      </c>
      <c r="T62" s="480">
        <f t="shared" si="17"/>
        <v>8106</v>
      </c>
      <c r="U62" s="480">
        <f t="shared" si="18"/>
        <v>8106</v>
      </c>
      <c r="V62" s="480">
        <f t="shared" si="19"/>
        <v>8106</v>
      </c>
      <c r="W62" s="480">
        <f t="shared" si="20"/>
        <v>8106</v>
      </c>
    </row>
    <row r="63" spans="1:23" s="7" customFormat="1" ht="12" customHeight="1" hidden="1">
      <c r="A63" s="9"/>
      <c r="D63" s="9"/>
      <c r="E63" s="45"/>
      <c r="H63" s="200"/>
      <c r="I63" s="498"/>
      <c r="J63" s="500"/>
      <c r="K63" s="500"/>
      <c r="L63" s="500"/>
      <c r="M63" s="500"/>
      <c r="N63" s="500"/>
      <c r="O63" s="500"/>
      <c r="P63" s="500"/>
      <c r="Q63" s="500"/>
      <c r="R63" s="499"/>
      <c r="S63" s="499"/>
      <c r="T63" s="499"/>
      <c r="U63" s="499"/>
      <c r="V63" s="499"/>
      <c r="W63" s="499"/>
    </row>
    <row r="64" spans="1:23" s="7" customFormat="1" ht="12" customHeight="1" hidden="1">
      <c r="A64" s="9"/>
      <c r="D64" s="9"/>
      <c r="E64" s="45"/>
      <c r="H64" s="200"/>
      <c r="I64" s="498"/>
      <c r="J64" s="500"/>
      <c r="K64" s="500"/>
      <c r="L64" s="500"/>
      <c r="M64" s="500"/>
      <c r="N64" s="500"/>
      <c r="O64" s="500"/>
      <c r="P64" s="500"/>
      <c r="Q64" s="500"/>
      <c r="R64" s="499"/>
      <c r="S64" s="499"/>
      <c r="T64" s="499"/>
      <c r="U64" s="499"/>
      <c r="V64" s="499"/>
      <c r="W64" s="499"/>
    </row>
    <row r="65" spans="1:23" s="7" customFormat="1" ht="22.5" customHeight="1" hidden="1">
      <c r="A65" s="9"/>
      <c r="D65" s="9"/>
      <c r="E65" s="45"/>
      <c r="H65" s="200"/>
      <c r="I65" s="498"/>
      <c r="J65" s="500"/>
      <c r="K65" s="500"/>
      <c r="L65" s="500"/>
      <c r="M65" s="500"/>
      <c r="N65" s="500"/>
      <c r="O65" s="500"/>
      <c r="P65" s="500"/>
      <c r="Q65" s="500"/>
      <c r="R65" s="499"/>
      <c r="S65" s="499"/>
      <c r="T65" s="499"/>
      <c r="U65" s="499"/>
      <c r="V65" s="499"/>
      <c r="W65" s="499"/>
    </row>
    <row r="66" spans="1:23" s="7" customFormat="1" ht="20.25" customHeight="1" hidden="1" thickBot="1">
      <c r="A66" s="9"/>
      <c r="D66" s="9"/>
      <c r="E66" s="45"/>
      <c r="H66" s="1"/>
      <c r="I66" s="392">
        <v>43647</v>
      </c>
      <c r="J66" s="9"/>
      <c r="K66" s="45"/>
      <c r="L66" s="392">
        <v>43647</v>
      </c>
      <c r="M66" s="286"/>
      <c r="N66" s="1"/>
      <c r="O66" s="1"/>
      <c r="P66" s="1"/>
      <c r="Q66" s="1"/>
      <c r="R66" s="1"/>
      <c r="S66" s="97"/>
      <c r="T66" s="97"/>
      <c r="U66" s="97"/>
      <c r="V66" s="97"/>
      <c r="W66" s="97"/>
    </row>
    <row r="67" spans="1:23" s="7" customFormat="1" ht="12" customHeight="1" hidden="1" thickBot="1" thickTop="1">
      <c r="A67" s="9"/>
      <c r="D67" s="9"/>
      <c r="E67" s="45"/>
      <c r="H67" s="1"/>
      <c r="I67" s="273" t="s">
        <v>366</v>
      </c>
      <c r="J67" s="46" t="s">
        <v>361</v>
      </c>
      <c r="K67" s="46" t="s">
        <v>362</v>
      </c>
      <c r="L67" s="275" t="s">
        <v>352</v>
      </c>
      <c r="M67" s="314" t="s">
        <v>353</v>
      </c>
      <c r="N67" s="275" t="s">
        <v>355</v>
      </c>
      <c r="O67" s="275" t="s">
        <v>354</v>
      </c>
      <c r="P67" s="275" t="s">
        <v>363</v>
      </c>
      <c r="Q67" s="275" t="s">
        <v>364</v>
      </c>
      <c r="R67" s="129" t="s">
        <v>365</v>
      </c>
      <c r="S67" s="481">
        <v>1</v>
      </c>
      <c r="T67" s="481">
        <v>2</v>
      </c>
      <c r="U67" s="481">
        <v>3</v>
      </c>
      <c r="V67" s="481">
        <v>4</v>
      </c>
      <c r="W67" s="481">
        <v>5</v>
      </c>
    </row>
    <row r="68" spans="1:23" s="7" customFormat="1" ht="12" customHeight="1" hidden="1">
      <c r="A68" s="9"/>
      <c r="D68" s="9"/>
      <c r="E68" s="45"/>
      <c r="H68" s="138">
        <v>0</v>
      </c>
      <c r="I68" s="315">
        <f aca="true" t="shared" si="21" ref="I68:I79">IF(OR(puntosproljor&lt;620,nina=1),W68,R68)</f>
        <v>3646.631147540984</v>
      </c>
      <c r="J68" s="501">
        <f>J51*1.334/1.22</f>
        <v>3646.631147540984</v>
      </c>
      <c r="K68" s="501">
        <f aca="true" t="shared" si="22" ref="K68:Q68">K51*1.334/1.22</f>
        <v>1552.6885245901642</v>
      </c>
      <c r="L68" s="501">
        <f t="shared" si="22"/>
        <v>0</v>
      </c>
      <c r="M68" s="501">
        <f t="shared" si="22"/>
        <v>0</v>
      </c>
      <c r="N68" s="501">
        <f t="shared" si="22"/>
        <v>0</v>
      </c>
      <c r="O68" s="501">
        <f t="shared" si="22"/>
        <v>0</v>
      </c>
      <c r="P68" s="501">
        <f t="shared" si="22"/>
        <v>2631.9163934426233</v>
      </c>
      <c r="Q68" s="501">
        <f t="shared" si="22"/>
        <v>1964.9163934426233</v>
      </c>
      <c r="R68" s="274">
        <f aca="true" t="shared" si="23" ref="R68:R79">IF(PUNTOSbasicos&gt;971,Q68,P68)</f>
        <v>2631.9163934426233</v>
      </c>
      <c r="S68" s="480">
        <f aca="true" t="shared" si="24" ref="S68:S79">IF(PUNTOSbasicos&lt;972,J68,K68)</f>
        <v>3646.631147540984</v>
      </c>
      <c r="T68" s="480">
        <f aca="true" t="shared" si="25" ref="T68:T79">IF(PUNTOSbasicos&lt;1170,S68,L68)</f>
        <v>3646.631147540984</v>
      </c>
      <c r="U68" s="480">
        <f aca="true" t="shared" si="26" ref="U68:U79">IF(PUNTOSbasicos&lt;1401,T68,M68)</f>
        <v>3646.631147540984</v>
      </c>
      <c r="V68" s="480">
        <f aca="true" t="shared" si="27" ref="V68:V79">IF(PUNTOSbasicos&lt;1943,U68,N68)</f>
        <v>3646.631147540984</v>
      </c>
      <c r="W68" s="480">
        <f aca="true" t="shared" si="28" ref="W68:W79">IF(PUNTOSbasicos&lt;=2220,V68,O68)</f>
        <v>3646.631147540984</v>
      </c>
    </row>
    <row r="69" spans="1:23" s="7" customFormat="1" ht="12" customHeight="1" hidden="1">
      <c r="A69" s="9"/>
      <c r="D69" s="9"/>
      <c r="E69" s="45"/>
      <c r="H69" s="139">
        <v>0.1</v>
      </c>
      <c r="I69" s="315">
        <f t="shared" si="21"/>
        <v>5283.514754098361</v>
      </c>
      <c r="J69" s="501">
        <f aca="true" t="shared" si="29" ref="J69:Q79">J52*1.334/1.22</f>
        <v>5283.514754098361</v>
      </c>
      <c r="K69" s="501">
        <f t="shared" si="29"/>
        <v>1679.5278688524593</v>
      </c>
      <c r="L69" s="501">
        <f t="shared" si="29"/>
        <v>0</v>
      </c>
      <c r="M69" s="501">
        <f t="shared" si="29"/>
        <v>0</v>
      </c>
      <c r="N69" s="501">
        <f t="shared" si="29"/>
        <v>0</v>
      </c>
      <c r="O69" s="501">
        <f t="shared" si="29"/>
        <v>0</v>
      </c>
      <c r="P69" s="501">
        <f t="shared" si="29"/>
        <v>2758.7557377049184</v>
      </c>
      <c r="Q69" s="501">
        <f t="shared" si="29"/>
        <v>2091.755737704918</v>
      </c>
      <c r="R69" s="274">
        <f t="shared" si="23"/>
        <v>2758.7557377049184</v>
      </c>
      <c r="S69" s="480">
        <f t="shared" si="24"/>
        <v>5283.514754098361</v>
      </c>
      <c r="T69" s="480">
        <f t="shared" si="25"/>
        <v>5283.514754098361</v>
      </c>
      <c r="U69" s="480">
        <f t="shared" si="26"/>
        <v>5283.514754098361</v>
      </c>
      <c r="V69" s="480">
        <f t="shared" si="27"/>
        <v>5283.514754098361</v>
      </c>
      <c r="W69" s="480">
        <f t="shared" si="28"/>
        <v>5283.514754098361</v>
      </c>
    </row>
    <row r="70" spans="1:23" s="7" customFormat="1" ht="12" customHeight="1" hidden="1">
      <c r="A70" s="9"/>
      <c r="D70" s="9"/>
      <c r="E70" s="45"/>
      <c r="H70" s="140">
        <v>0.15</v>
      </c>
      <c r="I70" s="315">
        <f t="shared" si="21"/>
        <v>6309.16393442623</v>
      </c>
      <c r="J70" s="501">
        <f t="shared" si="29"/>
        <v>6309.16393442623</v>
      </c>
      <c r="K70" s="501">
        <f t="shared" si="29"/>
        <v>2809.054098360656</v>
      </c>
      <c r="L70" s="501">
        <f t="shared" si="29"/>
        <v>3552.5950819672134</v>
      </c>
      <c r="M70" s="501">
        <f t="shared" si="29"/>
        <v>2963.229508196722</v>
      </c>
      <c r="N70" s="501">
        <f t="shared" si="29"/>
        <v>3213.6278688524594</v>
      </c>
      <c r="O70" s="501">
        <f t="shared" si="29"/>
        <v>0</v>
      </c>
      <c r="P70" s="501">
        <f t="shared" si="29"/>
        <v>4395.639344262296</v>
      </c>
      <c r="Q70" s="501">
        <f t="shared" si="29"/>
        <v>3729.7327868852462</v>
      </c>
      <c r="R70" s="274">
        <f t="shared" si="23"/>
        <v>4395.639344262296</v>
      </c>
      <c r="S70" s="480">
        <f t="shared" si="24"/>
        <v>6309.16393442623</v>
      </c>
      <c r="T70" s="480">
        <f t="shared" si="25"/>
        <v>6309.16393442623</v>
      </c>
      <c r="U70" s="480">
        <f t="shared" si="26"/>
        <v>6309.16393442623</v>
      </c>
      <c r="V70" s="480">
        <f t="shared" si="27"/>
        <v>6309.16393442623</v>
      </c>
      <c r="W70" s="480">
        <f t="shared" si="28"/>
        <v>6309.16393442623</v>
      </c>
    </row>
    <row r="71" spans="1:23" s="7" customFormat="1" ht="12" customHeight="1" hidden="1">
      <c r="A71" s="9"/>
      <c r="D71" s="9"/>
      <c r="E71" s="45"/>
      <c r="H71" s="140">
        <v>0.3</v>
      </c>
      <c r="I71" s="315">
        <f t="shared" si="21"/>
        <v>6732.326229508197</v>
      </c>
      <c r="J71" s="501">
        <f t="shared" si="29"/>
        <v>6732.326229508197</v>
      </c>
      <c r="K71" s="501">
        <f t="shared" si="29"/>
        <v>2989.4721311475414</v>
      </c>
      <c r="L71" s="501">
        <f t="shared" si="29"/>
        <v>3552.5950819672134</v>
      </c>
      <c r="M71" s="501">
        <f t="shared" si="29"/>
        <v>2963.229508196722</v>
      </c>
      <c r="N71" s="501">
        <f t="shared" si="29"/>
        <v>3213.6278688524594</v>
      </c>
      <c r="O71" s="501">
        <f t="shared" si="29"/>
        <v>0</v>
      </c>
      <c r="P71" s="501">
        <f t="shared" si="29"/>
        <v>6410.854098360656</v>
      </c>
      <c r="Q71" s="501">
        <f t="shared" si="29"/>
        <v>5366.616393442623</v>
      </c>
      <c r="R71" s="274">
        <f t="shared" si="23"/>
        <v>6410.854098360656</v>
      </c>
      <c r="S71" s="480">
        <f t="shared" si="24"/>
        <v>6732.326229508197</v>
      </c>
      <c r="T71" s="480">
        <f t="shared" si="25"/>
        <v>6732.326229508197</v>
      </c>
      <c r="U71" s="480">
        <f t="shared" si="26"/>
        <v>6732.326229508197</v>
      </c>
      <c r="V71" s="480">
        <f t="shared" si="27"/>
        <v>6732.326229508197</v>
      </c>
      <c r="W71" s="480">
        <f t="shared" si="28"/>
        <v>6732.326229508197</v>
      </c>
    </row>
    <row r="72" spans="1:23" s="7" customFormat="1" ht="12" customHeight="1" hidden="1">
      <c r="A72" s="9"/>
      <c r="D72" s="9"/>
      <c r="E72" s="45"/>
      <c r="H72" s="140">
        <v>0.4</v>
      </c>
      <c r="I72" s="315">
        <f t="shared" si="21"/>
        <v>6046.737704918033</v>
      </c>
      <c r="J72" s="501">
        <f t="shared" si="29"/>
        <v>6046.737704918033</v>
      </c>
      <c r="K72" s="501">
        <f t="shared" si="29"/>
        <v>3183.0114754098363</v>
      </c>
      <c r="L72" s="501">
        <f t="shared" si="29"/>
        <v>3683.8081967213116</v>
      </c>
      <c r="M72" s="501">
        <f t="shared" si="29"/>
        <v>3051.798360655738</v>
      </c>
      <c r="N72" s="501">
        <f t="shared" si="29"/>
        <v>3213.6278688524594</v>
      </c>
      <c r="O72" s="501">
        <f t="shared" si="29"/>
        <v>2712.8311475409837</v>
      </c>
      <c r="P72" s="501">
        <f t="shared" si="29"/>
        <v>7169.703278688525</v>
      </c>
      <c r="Q72" s="501">
        <f t="shared" si="29"/>
        <v>5998.626229508197</v>
      </c>
      <c r="R72" s="274">
        <f t="shared" si="23"/>
        <v>7169.703278688525</v>
      </c>
      <c r="S72" s="480">
        <f t="shared" si="24"/>
        <v>6046.737704918033</v>
      </c>
      <c r="T72" s="480">
        <f t="shared" si="25"/>
        <v>6046.737704918033</v>
      </c>
      <c r="U72" s="480">
        <f t="shared" si="26"/>
        <v>6046.737704918033</v>
      </c>
      <c r="V72" s="480">
        <f t="shared" si="27"/>
        <v>6046.737704918033</v>
      </c>
      <c r="W72" s="480">
        <f t="shared" si="28"/>
        <v>6046.737704918033</v>
      </c>
    </row>
    <row r="73" spans="1:23" s="7" customFormat="1" ht="12" customHeight="1" hidden="1">
      <c r="A73" s="9"/>
      <c r="D73" s="9"/>
      <c r="E73" s="45"/>
      <c r="H73" s="140">
        <v>0.5</v>
      </c>
      <c r="I73" s="315">
        <f t="shared" si="21"/>
        <v>5225.562295081968</v>
      </c>
      <c r="J73" s="501">
        <f t="shared" si="29"/>
        <v>5225.562295081968</v>
      </c>
      <c r="K73" s="501">
        <f t="shared" si="29"/>
        <v>3433.409836065574</v>
      </c>
      <c r="L73" s="501">
        <f t="shared" si="29"/>
        <v>3683.8081967213116</v>
      </c>
      <c r="M73" s="501">
        <f t="shared" si="29"/>
        <v>3051.798360655738</v>
      </c>
      <c r="N73" s="501">
        <f t="shared" si="29"/>
        <v>3213.6278688524594</v>
      </c>
      <c r="O73" s="501">
        <f t="shared" si="29"/>
        <v>2712.8311475409837</v>
      </c>
      <c r="P73" s="501">
        <f t="shared" si="29"/>
        <v>7609.267213114755</v>
      </c>
      <c r="Q73" s="501">
        <f t="shared" si="29"/>
        <v>6433.816393442623</v>
      </c>
      <c r="R73" s="274">
        <f t="shared" si="23"/>
        <v>7609.267213114755</v>
      </c>
      <c r="S73" s="480">
        <f t="shared" si="24"/>
        <v>5225.562295081968</v>
      </c>
      <c r="T73" s="480">
        <f t="shared" si="25"/>
        <v>5225.562295081968</v>
      </c>
      <c r="U73" s="480">
        <f t="shared" si="26"/>
        <v>5225.562295081968</v>
      </c>
      <c r="V73" s="480">
        <f t="shared" si="27"/>
        <v>5225.562295081968</v>
      </c>
      <c r="W73" s="480">
        <f t="shared" si="28"/>
        <v>5225.562295081968</v>
      </c>
    </row>
    <row r="74" spans="1:23" s="7" customFormat="1" ht="12" customHeight="1" hidden="1">
      <c r="A74" s="9"/>
      <c r="D74" s="9"/>
      <c r="E74" s="45"/>
      <c r="H74" s="140">
        <v>0.6</v>
      </c>
      <c r="I74" s="315">
        <f t="shared" si="21"/>
        <v>5257.272131147542</v>
      </c>
      <c r="J74" s="501">
        <f t="shared" si="29"/>
        <v>5257.272131147542</v>
      </c>
      <c r="K74" s="501">
        <f t="shared" si="29"/>
        <v>3802.993442622951</v>
      </c>
      <c r="L74" s="501">
        <f t="shared" si="29"/>
        <v>3802.993442622951</v>
      </c>
      <c r="M74" s="501">
        <f t="shared" si="29"/>
        <v>3093.3491803278694</v>
      </c>
      <c r="N74" s="501">
        <f t="shared" si="29"/>
        <v>3336.093442622951</v>
      </c>
      <c r="O74" s="501">
        <f t="shared" si="29"/>
        <v>2955.575409836066</v>
      </c>
      <c r="P74" s="501">
        <f t="shared" si="29"/>
        <v>8048.831147540985</v>
      </c>
      <c r="Q74" s="501">
        <f t="shared" si="29"/>
        <v>6627.355737704919</v>
      </c>
      <c r="R74" s="274">
        <f t="shared" si="23"/>
        <v>8048.831147540985</v>
      </c>
      <c r="S74" s="480">
        <f t="shared" si="24"/>
        <v>5257.272131147542</v>
      </c>
      <c r="T74" s="480">
        <f t="shared" si="25"/>
        <v>5257.272131147542</v>
      </c>
      <c r="U74" s="480">
        <f t="shared" si="26"/>
        <v>5257.272131147542</v>
      </c>
      <c r="V74" s="480">
        <f t="shared" si="27"/>
        <v>5257.272131147542</v>
      </c>
      <c r="W74" s="480">
        <f t="shared" si="28"/>
        <v>5257.272131147542</v>
      </c>
    </row>
    <row r="75" spans="1:23" s="7" customFormat="1" ht="12" customHeight="1" hidden="1">
      <c r="A75" s="9"/>
      <c r="D75" s="9"/>
      <c r="E75" s="45"/>
      <c r="H75" s="140">
        <v>0.7</v>
      </c>
      <c r="I75" s="315">
        <f t="shared" si="21"/>
        <v>5014.5278688524595</v>
      </c>
      <c r="J75" s="501">
        <f t="shared" si="29"/>
        <v>5014.5278688524595</v>
      </c>
      <c r="K75" s="501">
        <f t="shared" si="29"/>
        <v>4114.624590163935</v>
      </c>
      <c r="L75" s="501">
        <f t="shared" si="29"/>
        <v>5108.56393442623</v>
      </c>
      <c r="M75" s="501">
        <f t="shared" si="29"/>
        <v>3433.409836065574</v>
      </c>
      <c r="N75" s="501">
        <f t="shared" si="29"/>
        <v>3336.093442622951</v>
      </c>
      <c r="O75" s="501">
        <f t="shared" si="29"/>
        <v>2955.575409836066</v>
      </c>
      <c r="P75" s="501">
        <f t="shared" si="29"/>
        <v>8241.277049180328</v>
      </c>
      <c r="Q75" s="501">
        <f t="shared" si="29"/>
        <v>6819.801639344263</v>
      </c>
      <c r="R75" s="274">
        <f t="shared" si="23"/>
        <v>8241.277049180328</v>
      </c>
      <c r="S75" s="480">
        <f t="shared" si="24"/>
        <v>5014.5278688524595</v>
      </c>
      <c r="T75" s="480">
        <f t="shared" si="25"/>
        <v>5014.5278688524595</v>
      </c>
      <c r="U75" s="480">
        <f t="shared" si="26"/>
        <v>5014.5278688524595</v>
      </c>
      <c r="V75" s="480">
        <f t="shared" si="27"/>
        <v>5014.5278688524595</v>
      </c>
      <c r="W75" s="480">
        <f t="shared" si="28"/>
        <v>5014.5278688524595</v>
      </c>
    </row>
    <row r="76" spans="1:23" s="7" customFormat="1" ht="12" customHeight="1" hidden="1">
      <c r="A76" s="9"/>
      <c r="D76" s="9"/>
      <c r="E76" s="45"/>
      <c r="H76" s="140">
        <v>0.8</v>
      </c>
      <c r="I76" s="315">
        <f t="shared" si="21"/>
        <v>6081.727868852459</v>
      </c>
      <c r="J76" s="501">
        <f t="shared" si="29"/>
        <v>6081.727868852459</v>
      </c>
      <c r="K76" s="501">
        <f t="shared" si="29"/>
        <v>4865.819672131148</v>
      </c>
      <c r="L76" s="501">
        <f t="shared" si="29"/>
        <v>5494.549180327869</v>
      </c>
      <c r="M76" s="501">
        <f t="shared" si="29"/>
        <v>4800.213114754099</v>
      </c>
      <c r="N76" s="501">
        <f t="shared" si="29"/>
        <v>4453.591803278689</v>
      </c>
      <c r="O76" s="501">
        <f t="shared" si="29"/>
        <v>3213.6278688524594</v>
      </c>
      <c r="P76" s="501">
        <f t="shared" si="29"/>
        <v>8610.860655737704</v>
      </c>
      <c r="Q76" s="501">
        <f t="shared" si="29"/>
        <v>6943.360655737705</v>
      </c>
      <c r="R76" s="274">
        <f t="shared" si="23"/>
        <v>8610.860655737704</v>
      </c>
      <c r="S76" s="480">
        <f t="shared" si="24"/>
        <v>6081.727868852459</v>
      </c>
      <c r="T76" s="480">
        <f t="shared" si="25"/>
        <v>6081.727868852459</v>
      </c>
      <c r="U76" s="480">
        <f t="shared" si="26"/>
        <v>6081.727868852459</v>
      </c>
      <c r="V76" s="480">
        <f t="shared" si="27"/>
        <v>6081.727868852459</v>
      </c>
      <c r="W76" s="480">
        <f t="shared" si="28"/>
        <v>6081.727868852459</v>
      </c>
    </row>
    <row r="77" spans="1:23" s="7" customFormat="1" ht="12" customHeight="1" hidden="1">
      <c r="A77" s="9"/>
      <c r="D77" s="9"/>
      <c r="E77" s="45"/>
      <c r="H77" s="140">
        <v>1</v>
      </c>
      <c r="I77" s="315">
        <f t="shared" si="21"/>
        <v>7619.108196721311</v>
      </c>
      <c r="J77" s="501">
        <f t="shared" si="29"/>
        <v>7619.108196721311</v>
      </c>
      <c r="K77" s="501">
        <f t="shared" si="29"/>
        <v>5983.318032786886</v>
      </c>
      <c r="L77" s="501">
        <f t="shared" si="29"/>
        <v>5674.9672131147545</v>
      </c>
      <c r="M77" s="501">
        <f t="shared" si="29"/>
        <v>4677.747540983607</v>
      </c>
      <c r="N77" s="501">
        <f t="shared" si="29"/>
        <v>4831.922950819672</v>
      </c>
      <c r="O77" s="501">
        <f t="shared" si="29"/>
        <v>3213.6278688524594</v>
      </c>
      <c r="P77" s="501">
        <f t="shared" si="29"/>
        <v>9058.07868852459</v>
      </c>
      <c r="Q77" s="501">
        <f t="shared" si="29"/>
        <v>7128.1524590163945</v>
      </c>
      <c r="R77" s="274">
        <f t="shared" si="23"/>
        <v>9058.07868852459</v>
      </c>
      <c r="S77" s="480">
        <f t="shared" si="24"/>
        <v>7619.108196721311</v>
      </c>
      <c r="T77" s="480">
        <f t="shared" si="25"/>
        <v>7619.108196721311</v>
      </c>
      <c r="U77" s="480">
        <f t="shared" si="26"/>
        <v>7619.108196721311</v>
      </c>
      <c r="V77" s="480">
        <f t="shared" si="27"/>
        <v>7619.108196721311</v>
      </c>
      <c r="W77" s="480">
        <f t="shared" si="28"/>
        <v>7619.108196721311</v>
      </c>
    </row>
    <row r="78" spans="1:23" s="7" customFormat="1" ht="12" customHeight="1" hidden="1">
      <c r="A78" s="9"/>
      <c r="D78" s="9"/>
      <c r="E78" s="45"/>
      <c r="H78" s="140">
        <v>1.1</v>
      </c>
      <c r="I78" s="315">
        <f t="shared" si="21"/>
        <v>8562.74918032787</v>
      </c>
      <c r="J78" s="501">
        <f t="shared" si="29"/>
        <v>8562.74918032787</v>
      </c>
      <c r="K78" s="501">
        <f t="shared" si="29"/>
        <v>6738.886885245903</v>
      </c>
      <c r="L78" s="501">
        <f t="shared" si="29"/>
        <v>5929.739344262295</v>
      </c>
      <c r="M78" s="501">
        <f t="shared" si="29"/>
        <v>4677.747540983607</v>
      </c>
      <c r="N78" s="501">
        <f t="shared" si="29"/>
        <v>4958.762295081968</v>
      </c>
      <c r="O78" s="501">
        <f t="shared" si="29"/>
        <v>3336.093442622951</v>
      </c>
      <c r="P78" s="501">
        <f t="shared" si="29"/>
        <v>9369.709836065575</v>
      </c>
      <c r="Q78" s="501">
        <f t="shared" si="29"/>
        <v>7316.224590163934</v>
      </c>
      <c r="R78" s="274">
        <f t="shared" si="23"/>
        <v>9369.709836065575</v>
      </c>
      <c r="S78" s="480">
        <f t="shared" si="24"/>
        <v>8562.74918032787</v>
      </c>
      <c r="T78" s="480">
        <f t="shared" si="25"/>
        <v>8562.74918032787</v>
      </c>
      <c r="U78" s="480">
        <f t="shared" si="26"/>
        <v>8562.74918032787</v>
      </c>
      <c r="V78" s="480">
        <f t="shared" si="27"/>
        <v>8562.74918032787</v>
      </c>
      <c r="W78" s="480">
        <f t="shared" si="28"/>
        <v>8562.74918032787</v>
      </c>
    </row>
    <row r="79" spans="1:23" s="7" customFormat="1" ht="12" customHeight="1" hidden="1" thickBot="1">
      <c r="A79" s="9"/>
      <c r="D79" s="9"/>
      <c r="E79" s="45"/>
      <c r="H79" s="141">
        <v>1.2</v>
      </c>
      <c r="I79" s="315">
        <f t="shared" si="21"/>
        <v>8863.445901639345</v>
      </c>
      <c r="J79" s="501">
        <f t="shared" si="29"/>
        <v>8863.445901639345</v>
      </c>
      <c r="K79" s="501">
        <f t="shared" si="29"/>
        <v>6923.678688524591</v>
      </c>
      <c r="L79" s="501">
        <f t="shared" si="29"/>
        <v>6546.440983606558</v>
      </c>
      <c r="M79" s="501">
        <f t="shared" si="29"/>
        <v>4738.980327868853</v>
      </c>
      <c r="N79" s="501">
        <f t="shared" si="29"/>
        <v>5082.321311475411</v>
      </c>
      <c r="O79" s="501">
        <f t="shared" si="29"/>
        <v>3336.093442622951</v>
      </c>
      <c r="P79" s="501">
        <f t="shared" si="29"/>
        <v>9432.036065573771</v>
      </c>
      <c r="Q79" s="501">
        <f t="shared" si="29"/>
        <v>7386.204918032787</v>
      </c>
      <c r="R79" s="274">
        <f t="shared" si="23"/>
        <v>9432.036065573771</v>
      </c>
      <c r="S79" s="480">
        <f t="shared" si="24"/>
        <v>8863.445901639345</v>
      </c>
      <c r="T79" s="480">
        <f t="shared" si="25"/>
        <v>8863.445901639345</v>
      </c>
      <c r="U79" s="480">
        <f t="shared" si="26"/>
        <v>8863.445901639345</v>
      </c>
      <c r="V79" s="480">
        <f t="shared" si="27"/>
        <v>8863.445901639345</v>
      </c>
      <c r="W79" s="480">
        <f t="shared" si="28"/>
        <v>8863.445901639345</v>
      </c>
    </row>
    <row r="80" spans="1:23" s="7" customFormat="1" ht="12" customHeight="1" hidden="1">
      <c r="A80" s="9"/>
      <c r="D80" s="9"/>
      <c r="E80" s="45"/>
      <c r="H80" s="200"/>
      <c r="I80" s="498"/>
      <c r="J80" s="500"/>
      <c r="K80" s="500"/>
      <c r="L80" s="500"/>
      <c r="M80" s="500"/>
      <c r="N80" s="500"/>
      <c r="O80" s="500"/>
      <c r="P80" s="500"/>
      <c r="Q80" s="500"/>
      <c r="R80" s="499"/>
      <c r="S80" s="499"/>
      <c r="T80" s="499"/>
      <c r="U80" s="499"/>
      <c r="V80" s="499"/>
      <c r="W80" s="499"/>
    </row>
    <row r="81" spans="1:23" s="7" customFormat="1" ht="12" customHeight="1" hidden="1">
      <c r="A81" s="9"/>
      <c r="D81" s="9"/>
      <c r="E81" s="45"/>
      <c r="H81" s="200"/>
      <c r="I81" s="498"/>
      <c r="J81" s="500"/>
      <c r="K81" s="500"/>
      <c r="L81" s="500"/>
      <c r="M81" s="500"/>
      <c r="N81" s="500"/>
      <c r="O81" s="500"/>
      <c r="P81" s="500"/>
      <c r="Q81" s="500"/>
      <c r="R81" s="499"/>
      <c r="S81" s="499"/>
      <c r="T81" s="499"/>
      <c r="U81" s="499"/>
      <c r="V81" s="499"/>
      <c r="W81" s="499"/>
    </row>
    <row r="82" spans="1:23" s="7" customFormat="1" ht="12" customHeight="1" hidden="1">
      <c r="A82" s="9"/>
      <c r="D82" s="9"/>
      <c r="E82" s="45"/>
      <c r="H82" s="200"/>
      <c r="I82" s="498"/>
      <c r="J82" s="500">
        <f>J68/1.334*1.459</f>
        <v>3988.331967213115</v>
      </c>
      <c r="K82" s="500">
        <f aca="true" t="shared" si="30" ref="K82:Q82">K68/1.334*1.459</f>
        <v>1698.1803278688526</v>
      </c>
      <c r="L82" s="500">
        <f t="shared" si="30"/>
        <v>0</v>
      </c>
      <c r="M82" s="500">
        <f t="shared" si="30"/>
        <v>0</v>
      </c>
      <c r="N82" s="500">
        <f t="shared" si="30"/>
        <v>0</v>
      </c>
      <c r="O82" s="500">
        <f t="shared" si="30"/>
        <v>0</v>
      </c>
      <c r="P82" s="500">
        <f t="shared" si="30"/>
        <v>2878.53524590164</v>
      </c>
      <c r="Q82" s="500">
        <f t="shared" si="30"/>
        <v>2149.0352459016394</v>
      </c>
      <c r="R82" s="499"/>
      <c r="S82" s="499"/>
      <c r="T82" s="499"/>
      <c r="U82" s="499"/>
      <c r="V82" s="499"/>
      <c r="W82" s="499"/>
    </row>
    <row r="83" spans="1:23" s="7" customFormat="1" ht="12" customHeight="1" hidden="1">
      <c r="A83" s="9"/>
      <c r="D83" s="9"/>
      <c r="E83" s="45"/>
      <c r="H83" s="200"/>
      <c r="I83" s="498"/>
      <c r="J83" s="500">
        <f aca="true" t="shared" si="31" ref="J83:Q93">J69/1.334*1.459</f>
        <v>5778.596721311475</v>
      </c>
      <c r="K83" s="500">
        <f t="shared" si="31"/>
        <v>1836.904918032787</v>
      </c>
      <c r="L83" s="500">
        <f t="shared" si="31"/>
        <v>0</v>
      </c>
      <c r="M83" s="500">
        <f t="shared" si="31"/>
        <v>0</v>
      </c>
      <c r="N83" s="500">
        <f t="shared" si="31"/>
        <v>0</v>
      </c>
      <c r="O83" s="500">
        <f t="shared" si="31"/>
        <v>0</v>
      </c>
      <c r="P83" s="500">
        <f t="shared" si="31"/>
        <v>3017.259836065574</v>
      </c>
      <c r="Q83" s="500">
        <f t="shared" si="31"/>
        <v>2287.759836065574</v>
      </c>
      <c r="R83" s="499"/>
      <c r="S83" s="499"/>
      <c r="T83" s="499"/>
      <c r="U83" s="499"/>
      <c r="V83" s="499"/>
      <c r="W83" s="499"/>
    </row>
    <row r="84" spans="1:23" s="7" customFormat="1" ht="12" customHeight="1" hidden="1">
      <c r="A84" s="9"/>
      <c r="D84" s="9"/>
      <c r="E84" s="45"/>
      <c r="H84" s="200"/>
      <c r="I84" s="498"/>
      <c r="J84" s="500">
        <f t="shared" si="31"/>
        <v>6900.352459016394</v>
      </c>
      <c r="K84" s="500">
        <f t="shared" si="31"/>
        <v>3072.2713114754106</v>
      </c>
      <c r="L84" s="500">
        <f t="shared" si="31"/>
        <v>3885.4844262295082</v>
      </c>
      <c r="M84" s="500">
        <f t="shared" si="31"/>
        <v>3240.8934426229516</v>
      </c>
      <c r="N84" s="500">
        <f t="shared" si="31"/>
        <v>3514.7549180327874</v>
      </c>
      <c r="O84" s="500">
        <f t="shared" si="31"/>
        <v>0</v>
      </c>
      <c r="P84" s="500">
        <f t="shared" si="31"/>
        <v>4807.5245901639355</v>
      </c>
      <c r="Q84" s="500">
        <f t="shared" si="31"/>
        <v>4079.2204918032794</v>
      </c>
      <c r="R84" s="499"/>
      <c r="S84" s="499"/>
      <c r="T84" s="499"/>
      <c r="U84" s="499"/>
      <c r="V84" s="499"/>
      <c r="W84" s="499"/>
    </row>
    <row r="85" spans="1:23" s="7" customFormat="1" ht="12" customHeight="1" hidden="1">
      <c r="A85" s="9"/>
      <c r="D85" s="9"/>
      <c r="E85" s="45"/>
      <c r="H85" s="200"/>
      <c r="I85" s="498"/>
      <c r="J85" s="500">
        <f t="shared" si="31"/>
        <v>7363.166393442622</v>
      </c>
      <c r="K85" s="500">
        <f t="shared" si="31"/>
        <v>3269.5950819672134</v>
      </c>
      <c r="L85" s="500">
        <f t="shared" si="31"/>
        <v>3885.4844262295082</v>
      </c>
      <c r="M85" s="500">
        <f t="shared" si="31"/>
        <v>3240.8934426229516</v>
      </c>
      <c r="N85" s="500">
        <f t="shared" si="31"/>
        <v>3514.7549180327874</v>
      </c>
      <c r="O85" s="500">
        <f t="shared" si="31"/>
        <v>0</v>
      </c>
      <c r="P85" s="500">
        <f t="shared" si="31"/>
        <v>7011.571311475411</v>
      </c>
      <c r="Q85" s="500">
        <f t="shared" si="31"/>
        <v>5869.48524590164</v>
      </c>
      <c r="R85" s="499"/>
      <c r="S85" s="499"/>
      <c r="T85" s="499"/>
      <c r="U85" s="499"/>
      <c r="V85" s="499"/>
      <c r="W85" s="499"/>
    </row>
    <row r="86" spans="1:23" s="7" customFormat="1" ht="12" customHeight="1" hidden="1">
      <c r="A86" s="9"/>
      <c r="D86" s="9"/>
      <c r="E86" s="45"/>
      <c r="H86" s="200"/>
      <c r="I86" s="498"/>
      <c r="J86" s="500">
        <f t="shared" si="31"/>
        <v>6613.336065573771</v>
      </c>
      <c r="K86" s="500">
        <f t="shared" si="31"/>
        <v>3481.269672131148</v>
      </c>
      <c r="L86" s="500">
        <f t="shared" si="31"/>
        <v>4028.9926229508196</v>
      </c>
      <c r="M86" s="500">
        <f t="shared" si="31"/>
        <v>3337.7614754098367</v>
      </c>
      <c r="N86" s="500">
        <f t="shared" si="31"/>
        <v>3514.7549180327874</v>
      </c>
      <c r="O86" s="500">
        <f t="shared" si="31"/>
        <v>2967.0319672131145</v>
      </c>
      <c r="P86" s="500">
        <f t="shared" si="31"/>
        <v>7841.527049180328</v>
      </c>
      <c r="Q86" s="500">
        <f t="shared" si="31"/>
        <v>6560.716393442623</v>
      </c>
      <c r="R86" s="499"/>
      <c r="S86" s="499"/>
      <c r="T86" s="499"/>
      <c r="U86" s="499"/>
      <c r="V86" s="499"/>
      <c r="W86" s="499"/>
    </row>
    <row r="87" spans="1:23" s="7" customFormat="1" ht="12" customHeight="1" hidden="1">
      <c r="A87" s="9"/>
      <c r="D87" s="9"/>
      <c r="E87" s="45"/>
      <c r="H87" s="200"/>
      <c r="I87" s="498"/>
      <c r="J87" s="500">
        <f t="shared" si="31"/>
        <v>5715.2139344262305</v>
      </c>
      <c r="K87" s="500">
        <f t="shared" si="31"/>
        <v>3755.131147540984</v>
      </c>
      <c r="L87" s="500">
        <f t="shared" si="31"/>
        <v>4028.9926229508196</v>
      </c>
      <c r="M87" s="500">
        <f t="shared" si="31"/>
        <v>3337.7614754098367</v>
      </c>
      <c r="N87" s="500">
        <f t="shared" si="31"/>
        <v>3514.7549180327874</v>
      </c>
      <c r="O87" s="500">
        <f t="shared" si="31"/>
        <v>2967.0319672131145</v>
      </c>
      <c r="P87" s="500">
        <f t="shared" si="31"/>
        <v>8322.279508196722</v>
      </c>
      <c r="Q87" s="500">
        <f t="shared" si="31"/>
        <v>7036.685245901639</v>
      </c>
      <c r="R87" s="499"/>
      <c r="S87" s="499"/>
      <c r="T87" s="499"/>
      <c r="U87" s="499"/>
      <c r="V87" s="499"/>
      <c r="W87" s="499"/>
    </row>
    <row r="88" spans="1:23" s="7" customFormat="1" ht="12" customHeight="1" hidden="1">
      <c r="A88" s="9"/>
      <c r="D88" s="9"/>
      <c r="E88" s="45"/>
      <c r="H88" s="200"/>
      <c r="I88" s="498"/>
      <c r="J88" s="500">
        <f t="shared" si="31"/>
        <v>5749.895081967214</v>
      </c>
      <c r="K88" s="500">
        <f t="shared" si="31"/>
        <v>4159.345901639344</v>
      </c>
      <c r="L88" s="500">
        <f t="shared" si="31"/>
        <v>4159.345901639344</v>
      </c>
      <c r="M88" s="500">
        <f t="shared" si="31"/>
        <v>3383.2057377049186</v>
      </c>
      <c r="N88" s="500">
        <f t="shared" si="31"/>
        <v>3648.6959016393444</v>
      </c>
      <c r="O88" s="500">
        <f t="shared" si="31"/>
        <v>3232.522131147541</v>
      </c>
      <c r="P88" s="500">
        <f t="shared" si="31"/>
        <v>8803.031967213115</v>
      </c>
      <c r="Q88" s="500">
        <f t="shared" si="31"/>
        <v>7248.359836065575</v>
      </c>
      <c r="R88" s="499"/>
      <c r="S88" s="499"/>
      <c r="T88" s="499"/>
      <c r="U88" s="499"/>
      <c r="V88" s="499"/>
      <c r="W88" s="499"/>
    </row>
    <row r="89" spans="1:23" s="7" customFormat="1" ht="15" customHeight="1" hidden="1">
      <c r="A89" s="9"/>
      <c r="D89" s="9"/>
      <c r="E89" s="45"/>
      <c r="H89" s="200"/>
      <c r="I89" s="498"/>
      <c r="J89" s="500">
        <f t="shared" si="31"/>
        <v>5484.4049180327875</v>
      </c>
      <c r="K89" s="500">
        <f t="shared" si="31"/>
        <v>4500.17786885246</v>
      </c>
      <c r="L89" s="500">
        <f t="shared" si="31"/>
        <v>5587.252459016394</v>
      </c>
      <c r="M89" s="500">
        <f t="shared" si="31"/>
        <v>3755.131147540984</v>
      </c>
      <c r="N89" s="500">
        <f t="shared" si="31"/>
        <v>3648.6959016393444</v>
      </c>
      <c r="O89" s="500">
        <f t="shared" si="31"/>
        <v>3232.522131147541</v>
      </c>
      <c r="P89" s="500">
        <f t="shared" si="31"/>
        <v>9013.510655737706</v>
      </c>
      <c r="Q89" s="500">
        <f t="shared" si="31"/>
        <v>7458.8385245901645</v>
      </c>
      <c r="R89" s="499"/>
      <c r="S89" s="499"/>
      <c r="T89" s="499"/>
      <c r="U89" s="499"/>
      <c r="V89" s="499"/>
      <c r="W89" s="499"/>
    </row>
    <row r="90" spans="1:23" s="7" customFormat="1" ht="18.75" customHeight="1" hidden="1">
      <c r="A90" s="9"/>
      <c r="D90" s="9"/>
      <c r="E90" s="45"/>
      <c r="H90" s="200"/>
      <c r="I90" s="498"/>
      <c r="J90" s="500">
        <f t="shared" si="31"/>
        <v>6651.604918032787</v>
      </c>
      <c r="K90" s="500">
        <f t="shared" si="31"/>
        <v>5321.762295081968</v>
      </c>
      <c r="L90" s="500">
        <f t="shared" si="31"/>
        <v>6009.4057377049185</v>
      </c>
      <c r="M90" s="500">
        <f t="shared" si="31"/>
        <v>5250.008196721312</v>
      </c>
      <c r="N90" s="500">
        <f t="shared" si="31"/>
        <v>4870.907377049181</v>
      </c>
      <c r="O90" s="500">
        <f t="shared" si="31"/>
        <v>3514.7549180327874</v>
      </c>
      <c r="P90" s="500">
        <f t="shared" si="31"/>
        <v>9417.725409836065</v>
      </c>
      <c r="Q90" s="500">
        <f t="shared" si="31"/>
        <v>7593.975409836066</v>
      </c>
      <c r="R90" s="499"/>
      <c r="S90" s="499">
        <f>7386*1.093703155</f>
        <v>8078.0915028300005</v>
      </c>
      <c r="T90" s="499"/>
      <c r="U90" s="499"/>
      <c r="V90" s="499"/>
      <c r="W90" s="499"/>
    </row>
    <row r="91" spans="1:23" s="7" customFormat="1" ht="12" customHeight="1" hidden="1">
      <c r="A91" s="9"/>
      <c r="D91" s="9"/>
      <c r="E91" s="45"/>
      <c r="H91" s="200"/>
      <c r="I91" s="498"/>
      <c r="J91" s="500">
        <f t="shared" si="31"/>
        <v>8333.04262295082</v>
      </c>
      <c r="K91" s="500">
        <f t="shared" si="31"/>
        <v>6543.973770491803</v>
      </c>
      <c r="L91" s="500">
        <f t="shared" si="31"/>
        <v>6206.729508196721</v>
      </c>
      <c r="M91" s="500">
        <f t="shared" si="31"/>
        <v>5116.067213114755</v>
      </c>
      <c r="N91" s="500">
        <f t="shared" si="31"/>
        <v>5284.689344262295</v>
      </c>
      <c r="O91" s="500">
        <f t="shared" si="31"/>
        <v>3514.7549180327874</v>
      </c>
      <c r="P91" s="500">
        <f t="shared" si="31"/>
        <v>9906.849180327868</v>
      </c>
      <c r="Q91" s="500">
        <f t="shared" si="31"/>
        <v>7796.082786885247</v>
      </c>
      <c r="R91" s="499"/>
      <c r="S91" s="499"/>
      <c r="T91" s="499"/>
      <c r="U91" s="499"/>
      <c r="V91" s="499"/>
      <c r="W91" s="499"/>
    </row>
    <row r="92" spans="1:23" s="7" customFormat="1" ht="12" customHeight="1" hidden="1">
      <c r="A92" s="9"/>
      <c r="D92" s="9"/>
      <c r="E92" s="45"/>
      <c r="H92" s="200"/>
      <c r="I92" s="498"/>
      <c r="J92" s="500">
        <f t="shared" si="31"/>
        <v>9365.10573770492</v>
      </c>
      <c r="K92" s="500">
        <f t="shared" si="31"/>
        <v>7370.341803278689</v>
      </c>
      <c r="L92" s="500">
        <f t="shared" si="31"/>
        <v>6485.374590163935</v>
      </c>
      <c r="M92" s="500">
        <f t="shared" si="31"/>
        <v>5116.067213114755</v>
      </c>
      <c r="N92" s="500">
        <f t="shared" si="31"/>
        <v>5423.41393442623</v>
      </c>
      <c r="O92" s="500">
        <f t="shared" si="31"/>
        <v>3648.6959016393444</v>
      </c>
      <c r="P92" s="500">
        <f t="shared" si="31"/>
        <v>10247.681147540985</v>
      </c>
      <c r="Q92" s="500">
        <f t="shared" si="31"/>
        <v>8001.777868852459</v>
      </c>
      <c r="R92" s="499"/>
      <c r="S92" s="499"/>
      <c r="T92" s="499"/>
      <c r="U92" s="499"/>
      <c r="V92" s="499"/>
      <c r="W92" s="499"/>
    </row>
    <row r="93" spans="1:23" s="7" customFormat="1" ht="12" customHeight="1" hidden="1">
      <c r="A93" s="9"/>
      <c r="D93" s="9"/>
      <c r="E93" s="45"/>
      <c r="H93" s="200"/>
      <c r="I93" s="498"/>
      <c r="J93" s="500">
        <f t="shared" si="31"/>
        <v>9693.97868852459</v>
      </c>
      <c r="K93" s="500">
        <f t="shared" si="31"/>
        <v>7572.449180327871</v>
      </c>
      <c r="L93" s="500">
        <f t="shared" si="31"/>
        <v>7159.863114754099</v>
      </c>
      <c r="M93" s="500">
        <f t="shared" si="31"/>
        <v>5183.037704918033</v>
      </c>
      <c r="N93" s="500">
        <f t="shared" si="31"/>
        <v>5558.550819672132</v>
      </c>
      <c r="O93" s="500">
        <f t="shared" si="31"/>
        <v>3648.6959016393444</v>
      </c>
      <c r="P93" s="500">
        <f t="shared" si="31"/>
        <v>10315.847540983608</v>
      </c>
      <c r="Q93" s="500">
        <f t="shared" si="31"/>
        <v>8078.315573770492</v>
      </c>
      <c r="R93" s="499"/>
      <c r="S93" s="499"/>
      <c r="T93" s="499"/>
      <c r="U93" s="499"/>
      <c r="V93" s="499"/>
      <c r="W93" s="499"/>
    </row>
    <row r="94" spans="1:23" s="7" customFormat="1" ht="12" customHeight="1" hidden="1">
      <c r="A94" s="9"/>
      <c r="D94" s="9"/>
      <c r="E94" s="45"/>
      <c r="H94" s="200"/>
      <c r="I94" s="498"/>
      <c r="J94" s="500"/>
      <c r="K94" s="500"/>
      <c r="L94" s="500"/>
      <c r="M94" s="500"/>
      <c r="N94" s="500"/>
      <c r="O94" s="500"/>
      <c r="P94" s="500"/>
      <c r="Q94" s="500"/>
      <c r="R94" s="499"/>
      <c r="S94" s="499"/>
      <c r="T94" s="499"/>
      <c r="U94" s="499"/>
      <c r="V94" s="499"/>
      <c r="W94" s="499"/>
    </row>
    <row r="95" spans="1:23" s="7" customFormat="1" ht="21.75" customHeight="1" hidden="1" thickBot="1">
      <c r="A95" s="9"/>
      <c r="D95" s="9"/>
      <c r="E95" s="45"/>
      <c r="H95" s="1"/>
      <c r="I95" s="392">
        <v>43739</v>
      </c>
      <c r="J95" s="9"/>
      <c r="K95" s="45"/>
      <c r="L95" s="392">
        <v>43739</v>
      </c>
      <c r="M95" s="286"/>
      <c r="N95" s="1"/>
      <c r="O95" s="1"/>
      <c r="P95" s="1"/>
      <c r="Q95" s="1"/>
      <c r="R95" s="1"/>
      <c r="S95" s="97"/>
      <c r="T95" s="97"/>
      <c r="U95" s="97"/>
      <c r="V95" s="97"/>
      <c r="W95" s="97"/>
    </row>
    <row r="96" spans="1:23" s="7" customFormat="1" ht="12" customHeight="1" hidden="1" thickBot="1" thickTop="1">
      <c r="A96" s="9"/>
      <c r="D96" s="9"/>
      <c r="E96" s="45"/>
      <c r="H96" s="1"/>
      <c r="I96" s="273" t="s">
        <v>366</v>
      </c>
      <c r="J96" s="46" t="s">
        <v>361</v>
      </c>
      <c r="K96" s="46" t="s">
        <v>362</v>
      </c>
      <c r="L96" s="275" t="s">
        <v>352</v>
      </c>
      <c r="M96" s="314" t="s">
        <v>353</v>
      </c>
      <c r="N96" s="275" t="s">
        <v>355</v>
      </c>
      <c r="O96" s="275" t="s">
        <v>354</v>
      </c>
      <c r="P96" s="275" t="s">
        <v>363</v>
      </c>
      <c r="Q96" s="275" t="s">
        <v>364</v>
      </c>
      <c r="R96" s="129" t="s">
        <v>365</v>
      </c>
      <c r="S96" s="481">
        <v>1</v>
      </c>
      <c r="T96" s="481">
        <v>2</v>
      </c>
      <c r="U96" s="481">
        <v>3</v>
      </c>
      <c r="V96" s="481">
        <v>4</v>
      </c>
      <c r="W96" s="481">
        <v>5</v>
      </c>
    </row>
    <row r="97" spans="1:23" s="7" customFormat="1" ht="12" customHeight="1" hidden="1">
      <c r="A97" s="9"/>
      <c r="D97" s="9"/>
      <c r="E97" s="45"/>
      <c r="H97" s="138">
        <v>0</v>
      </c>
      <c r="I97" s="315">
        <f aca="true" t="shared" si="32" ref="I97:I108">IF(OR(puntosproljor&lt;620,nina=1),W97,R97)</f>
        <v>3988.331967213115</v>
      </c>
      <c r="J97" s="501">
        <v>3988.331967213115</v>
      </c>
      <c r="K97" s="501">
        <v>1698.1803278688526</v>
      </c>
      <c r="L97" s="501">
        <v>0</v>
      </c>
      <c r="M97" s="501">
        <v>0</v>
      </c>
      <c r="N97" s="501">
        <v>0</v>
      </c>
      <c r="O97" s="501">
        <v>0</v>
      </c>
      <c r="P97" s="501">
        <v>2878.53524590164</v>
      </c>
      <c r="Q97" s="501">
        <v>2149.0352459016394</v>
      </c>
      <c r="R97" s="274">
        <f aca="true" t="shared" si="33" ref="R97:R108">IF(PUNTOSbasicos&gt;971,Q97,P97)</f>
        <v>2878.53524590164</v>
      </c>
      <c r="S97" s="480">
        <f aca="true" t="shared" si="34" ref="S97:S108">IF(PUNTOSbasicos&lt;972,J97,K97)</f>
        <v>3988.331967213115</v>
      </c>
      <c r="T97" s="480">
        <f aca="true" t="shared" si="35" ref="T97:T108">IF(PUNTOSbasicos&lt;1170,S97,L97)</f>
        <v>3988.331967213115</v>
      </c>
      <c r="U97" s="480">
        <f aca="true" t="shared" si="36" ref="U97:U108">IF(PUNTOSbasicos&lt;1401,T97,M97)</f>
        <v>3988.331967213115</v>
      </c>
      <c r="V97" s="480">
        <f aca="true" t="shared" si="37" ref="V97:V108">IF(PUNTOSbasicos&lt;1943,U97,N97)</f>
        <v>3988.331967213115</v>
      </c>
      <c r="W97" s="480">
        <f aca="true" t="shared" si="38" ref="W97:W108">IF(PUNTOSbasicos&lt;=2220,V97,O97)</f>
        <v>3988.331967213115</v>
      </c>
    </row>
    <row r="98" spans="1:23" s="7" customFormat="1" ht="12" customHeight="1" hidden="1">
      <c r="A98" s="9"/>
      <c r="D98" s="9"/>
      <c r="E98" s="45"/>
      <c r="H98" s="139">
        <v>0.1</v>
      </c>
      <c r="I98" s="315">
        <f t="shared" si="32"/>
        <v>5778.596721311475</v>
      </c>
      <c r="J98" s="501">
        <v>5778.596721311475</v>
      </c>
      <c r="K98" s="501">
        <v>1836.904918032787</v>
      </c>
      <c r="L98" s="501">
        <v>0</v>
      </c>
      <c r="M98" s="501">
        <v>0</v>
      </c>
      <c r="N98" s="501">
        <v>0</v>
      </c>
      <c r="O98" s="501">
        <v>0</v>
      </c>
      <c r="P98" s="501">
        <v>3017.259836065574</v>
      </c>
      <c r="Q98" s="501">
        <v>2287.759836065574</v>
      </c>
      <c r="R98" s="274">
        <f t="shared" si="33"/>
        <v>3017.259836065574</v>
      </c>
      <c r="S98" s="480">
        <f t="shared" si="34"/>
        <v>5778.596721311475</v>
      </c>
      <c r="T98" s="480">
        <f t="shared" si="35"/>
        <v>5778.596721311475</v>
      </c>
      <c r="U98" s="480">
        <f t="shared" si="36"/>
        <v>5778.596721311475</v>
      </c>
      <c r="V98" s="480">
        <f t="shared" si="37"/>
        <v>5778.596721311475</v>
      </c>
      <c r="W98" s="480">
        <f t="shared" si="38"/>
        <v>5778.596721311475</v>
      </c>
    </row>
    <row r="99" spans="1:23" s="7" customFormat="1" ht="12" customHeight="1" hidden="1">
      <c r="A99" s="9"/>
      <c r="D99" s="9"/>
      <c r="E99" s="45"/>
      <c r="H99" s="140">
        <v>0.15</v>
      </c>
      <c r="I99" s="315">
        <f t="shared" si="32"/>
        <v>6900.352459016394</v>
      </c>
      <c r="J99" s="501">
        <v>6900.352459016394</v>
      </c>
      <c r="K99" s="501">
        <v>3072.2713114754106</v>
      </c>
      <c r="L99" s="501">
        <v>3885.4844262295082</v>
      </c>
      <c r="M99" s="501">
        <v>3240.8934426229516</v>
      </c>
      <c r="N99" s="501">
        <v>3514.7549180327874</v>
      </c>
      <c r="O99" s="501">
        <v>0</v>
      </c>
      <c r="P99" s="501">
        <v>4807.5245901639355</v>
      </c>
      <c r="Q99" s="501">
        <v>4079.2204918032794</v>
      </c>
      <c r="R99" s="274">
        <f t="shared" si="33"/>
        <v>4807.5245901639355</v>
      </c>
      <c r="S99" s="480">
        <f t="shared" si="34"/>
        <v>6900.352459016394</v>
      </c>
      <c r="T99" s="480">
        <f t="shared" si="35"/>
        <v>6900.352459016394</v>
      </c>
      <c r="U99" s="480">
        <f t="shared" si="36"/>
        <v>6900.352459016394</v>
      </c>
      <c r="V99" s="480">
        <f t="shared" si="37"/>
        <v>6900.352459016394</v>
      </c>
      <c r="W99" s="480">
        <f t="shared" si="38"/>
        <v>6900.352459016394</v>
      </c>
    </row>
    <row r="100" spans="1:23" s="7" customFormat="1" ht="12" customHeight="1" hidden="1">
      <c r="A100" s="9"/>
      <c r="D100" s="9"/>
      <c r="E100" s="45"/>
      <c r="H100" s="140">
        <v>0.3</v>
      </c>
      <c r="I100" s="315">
        <f t="shared" si="32"/>
        <v>7363.166393442622</v>
      </c>
      <c r="J100" s="501">
        <v>7363.166393442622</v>
      </c>
      <c r="K100" s="501">
        <v>3269.5950819672134</v>
      </c>
      <c r="L100" s="501">
        <v>3885.4844262295082</v>
      </c>
      <c r="M100" s="501">
        <v>3240.8934426229516</v>
      </c>
      <c r="N100" s="501">
        <v>3514.7549180327874</v>
      </c>
      <c r="O100" s="501">
        <v>0</v>
      </c>
      <c r="P100" s="501">
        <v>7011.571311475411</v>
      </c>
      <c r="Q100" s="501">
        <v>5869.48524590164</v>
      </c>
      <c r="R100" s="274">
        <f t="shared" si="33"/>
        <v>7011.571311475411</v>
      </c>
      <c r="S100" s="480">
        <f t="shared" si="34"/>
        <v>7363.166393442622</v>
      </c>
      <c r="T100" s="480">
        <f t="shared" si="35"/>
        <v>7363.166393442622</v>
      </c>
      <c r="U100" s="480">
        <f t="shared" si="36"/>
        <v>7363.166393442622</v>
      </c>
      <c r="V100" s="480">
        <f t="shared" si="37"/>
        <v>7363.166393442622</v>
      </c>
      <c r="W100" s="480">
        <f t="shared" si="38"/>
        <v>7363.166393442622</v>
      </c>
    </row>
    <row r="101" spans="1:23" s="7" customFormat="1" ht="12" customHeight="1" hidden="1">
      <c r="A101" s="9"/>
      <c r="D101" s="9"/>
      <c r="E101" s="45"/>
      <c r="H101" s="140">
        <v>0.4</v>
      </c>
      <c r="I101" s="315">
        <f t="shared" si="32"/>
        <v>6613.336065573771</v>
      </c>
      <c r="J101" s="501">
        <v>6613.336065573771</v>
      </c>
      <c r="K101" s="501">
        <v>3481.269672131148</v>
      </c>
      <c r="L101" s="501">
        <v>4028.9926229508196</v>
      </c>
      <c r="M101" s="501">
        <v>3337.7614754098367</v>
      </c>
      <c r="N101" s="501">
        <v>3514.7549180327874</v>
      </c>
      <c r="O101" s="501">
        <v>2967.0319672131145</v>
      </c>
      <c r="P101" s="501">
        <v>7841.527049180328</v>
      </c>
      <c r="Q101" s="501">
        <v>6560.716393442623</v>
      </c>
      <c r="R101" s="274">
        <f t="shared" si="33"/>
        <v>7841.527049180328</v>
      </c>
      <c r="S101" s="480">
        <f t="shared" si="34"/>
        <v>6613.336065573771</v>
      </c>
      <c r="T101" s="480">
        <f t="shared" si="35"/>
        <v>6613.336065573771</v>
      </c>
      <c r="U101" s="480">
        <f t="shared" si="36"/>
        <v>6613.336065573771</v>
      </c>
      <c r="V101" s="480">
        <f t="shared" si="37"/>
        <v>6613.336065573771</v>
      </c>
      <c r="W101" s="480">
        <f t="shared" si="38"/>
        <v>6613.336065573771</v>
      </c>
    </row>
    <row r="102" spans="1:23" s="7" customFormat="1" ht="12" customHeight="1" hidden="1">
      <c r="A102" s="9"/>
      <c r="D102" s="9"/>
      <c r="E102" s="45"/>
      <c r="H102" s="140">
        <v>0.5</v>
      </c>
      <c r="I102" s="315">
        <f t="shared" si="32"/>
        <v>5715.2139344262305</v>
      </c>
      <c r="J102" s="501">
        <v>5715.2139344262305</v>
      </c>
      <c r="K102" s="501">
        <v>3755.131147540984</v>
      </c>
      <c r="L102" s="501">
        <v>4028.9926229508196</v>
      </c>
      <c r="M102" s="501">
        <v>3337.7614754098367</v>
      </c>
      <c r="N102" s="501">
        <v>3514.7549180327874</v>
      </c>
      <c r="O102" s="501">
        <v>2967.0319672131145</v>
      </c>
      <c r="P102" s="501">
        <v>8322.279508196722</v>
      </c>
      <c r="Q102" s="501">
        <v>7036.685245901639</v>
      </c>
      <c r="R102" s="274">
        <f t="shared" si="33"/>
        <v>8322.279508196722</v>
      </c>
      <c r="S102" s="480">
        <f t="shared" si="34"/>
        <v>5715.2139344262305</v>
      </c>
      <c r="T102" s="480">
        <f t="shared" si="35"/>
        <v>5715.2139344262305</v>
      </c>
      <c r="U102" s="480">
        <f t="shared" si="36"/>
        <v>5715.2139344262305</v>
      </c>
      <c r="V102" s="480">
        <f t="shared" si="37"/>
        <v>5715.2139344262305</v>
      </c>
      <c r="W102" s="480">
        <f t="shared" si="38"/>
        <v>5715.2139344262305</v>
      </c>
    </row>
    <row r="103" spans="1:23" s="7" customFormat="1" ht="12" customHeight="1" hidden="1">
      <c r="A103" s="9"/>
      <c r="D103" s="9"/>
      <c r="E103" s="45"/>
      <c r="H103" s="140">
        <v>0.6</v>
      </c>
      <c r="I103" s="315">
        <f t="shared" si="32"/>
        <v>5749.895081967214</v>
      </c>
      <c r="J103" s="501">
        <v>5749.895081967214</v>
      </c>
      <c r="K103" s="501">
        <v>4159.345901639344</v>
      </c>
      <c r="L103" s="501">
        <v>4159.345901639344</v>
      </c>
      <c r="M103" s="501">
        <v>3383.2057377049186</v>
      </c>
      <c r="N103" s="501">
        <v>3648.6959016393444</v>
      </c>
      <c r="O103" s="501">
        <v>3232.522131147541</v>
      </c>
      <c r="P103" s="501">
        <v>8803.031967213115</v>
      </c>
      <c r="Q103" s="501">
        <v>7248.359836065575</v>
      </c>
      <c r="R103" s="274">
        <f t="shared" si="33"/>
        <v>8803.031967213115</v>
      </c>
      <c r="S103" s="480">
        <f t="shared" si="34"/>
        <v>5749.895081967214</v>
      </c>
      <c r="T103" s="480">
        <f t="shared" si="35"/>
        <v>5749.895081967214</v>
      </c>
      <c r="U103" s="480">
        <f t="shared" si="36"/>
        <v>5749.895081967214</v>
      </c>
      <c r="V103" s="480">
        <f t="shared" si="37"/>
        <v>5749.895081967214</v>
      </c>
      <c r="W103" s="480">
        <f t="shared" si="38"/>
        <v>5749.895081967214</v>
      </c>
    </row>
    <row r="104" spans="1:23" s="7" customFormat="1" ht="12" customHeight="1" hidden="1">
      <c r="A104" s="9"/>
      <c r="D104" s="9"/>
      <c r="E104" s="45"/>
      <c r="H104" s="140">
        <v>0.7</v>
      </c>
      <c r="I104" s="315">
        <f t="shared" si="32"/>
        <v>5484.4049180327875</v>
      </c>
      <c r="J104" s="501">
        <v>5484.4049180327875</v>
      </c>
      <c r="K104" s="501">
        <v>4500.17786885246</v>
      </c>
      <c r="L104" s="501">
        <v>5587.252459016394</v>
      </c>
      <c r="M104" s="501">
        <v>3755.131147540984</v>
      </c>
      <c r="N104" s="501">
        <v>3648.6959016393444</v>
      </c>
      <c r="O104" s="501">
        <v>3232.522131147541</v>
      </c>
      <c r="P104" s="501">
        <v>9013.510655737706</v>
      </c>
      <c r="Q104" s="501">
        <v>7458.8385245901645</v>
      </c>
      <c r="R104" s="274">
        <f t="shared" si="33"/>
        <v>9013.510655737706</v>
      </c>
      <c r="S104" s="480">
        <f t="shared" si="34"/>
        <v>5484.4049180327875</v>
      </c>
      <c r="T104" s="480">
        <f t="shared" si="35"/>
        <v>5484.4049180327875</v>
      </c>
      <c r="U104" s="480">
        <f t="shared" si="36"/>
        <v>5484.4049180327875</v>
      </c>
      <c r="V104" s="480">
        <f t="shared" si="37"/>
        <v>5484.4049180327875</v>
      </c>
      <c r="W104" s="480">
        <f t="shared" si="38"/>
        <v>5484.4049180327875</v>
      </c>
    </row>
    <row r="105" spans="1:23" s="7" customFormat="1" ht="12" customHeight="1" hidden="1">
      <c r="A105" s="9"/>
      <c r="D105" s="9"/>
      <c r="E105" s="45"/>
      <c r="H105" s="140">
        <v>0.8</v>
      </c>
      <c r="I105" s="315">
        <f t="shared" si="32"/>
        <v>6651.604918032787</v>
      </c>
      <c r="J105" s="501">
        <v>6651.604918032787</v>
      </c>
      <c r="K105" s="501">
        <v>5321.762295081968</v>
      </c>
      <c r="L105" s="501">
        <v>6009.4057377049185</v>
      </c>
      <c r="M105" s="501">
        <v>5250.008196721312</v>
      </c>
      <c r="N105" s="501">
        <v>4870.907377049181</v>
      </c>
      <c r="O105" s="501">
        <v>3514.7549180327874</v>
      </c>
      <c r="P105" s="501">
        <v>9417.725409836065</v>
      </c>
      <c r="Q105" s="501">
        <v>7593.975409836066</v>
      </c>
      <c r="R105" s="274">
        <f t="shared" si="33"/>
        <v>9417.725409836065</v>
      </c>
      <c r="S105" s="480">
        <f t="shared" si="34"/>
        <v>6651.604918032787</v>
      </c>
      <c r="T105" s="480">
        <f t="shared" si="35"/>
        <v>6651.604918032787</v>
      </c>
      <c r="U105" s="480">
        <f t="shared" si="36"/>
        <v>6651.604918032787</v>
      </c>
      <c r="V105" s="480">
        <f t="shared" si="37"/>
        <v>6651.604918032787</v>
      </c>
      <c r="W105" s="480">
        <f t="shared" si="38"/>
        <v>6651.604918032787</v>
      </c>
    </row>
    <row r="106" spans="1:23" s="7" customFormat="1" ht="12" customHeight="1" hidden="1">
      <c r="A106" s="9"/>
      <c r="D106" s="9"/>
      <c r="E106" s="45"/>
      <c r="H106" s="140">
        <v>1</v>
      </c>
      <c r="I106" s="315">
        <f t="shared" si="32"/>
        <v>8333.04262295082</v>
      </c>
      <c r="J106" s="501">
        <v>8333.04262295082</v>
      </c>
      <c r="K106" s="501">
        <v>6543.973770491803</v>
      </c>
      <c r="L106" s="501">
        <v>6206.729508196721</v>
      </c>
      <c r="M106" s="501">
        <v>5116.067213114755</v>
      </c>
      <c r="N106" s="501">
        <v>5284.689344262295</v>
      </c>
      <c r="O106" s="501">
        <v>3514.7549180327874</v>
      </c>
      <c r="P106" s="501">
        <v>9906.849180327868</v>
      </c>
      <c r="Q106" s="501">
        <v>7796.082786885247</v>
      </c>
      <c r="R106" s="274">
        <f t="shared" si="33"/>
        <v>9906.849180327868</v>
      </c>
      <c r="S106" s="480">
        <f t="shared" si="34"/>
        <v>8333.04262295082</v>
      </c>
      <c r="T106" s="480">
        <f t="shared" si="35"/>
        <v>8333.04262295082</v>
      </c>
      <c r="U106" s="480">
        <f t="shared" si="36"/>
        <v>8333.04262295082</v>
      </c>
      <c r="V106" s="480">
        <f t="shared" si="37"/>
        <v>8333.04262295082</v>
      </c>
      <c r="W106" s="480">
        <f t="shared" si="38"/>
        <v>8333.04262295082</v>
      </c>
    </row>
    <row r="107" spans="1:23" s="7" customFormat="1" ht="12" customHeight="1" hidden="1">
      <c r="A107" s="9"/>
      <c r="D107" s="9"/>
      <c r="E107" s="45"/>
      <c r="H107" s="140">
        <v>1.1</v>
      </c>
      <c r="I107" s="315">
        <f t="shared" si="32"/>
        <v>9365.10573770492</v>
      </c>
      <c r="J107" s="501">
        <v>9365.10573770492</v>
      </c>
      <c r="K107" s="501">
        <v>7370.341803278689</v>
      </c>
      <c r="L107" s="501">
        <v>6485.374590163935</v>
      </c>
      <c r="M107" s="501">
        <v>5116.067213114755</v>
      </c>
      <c r="N107" s="501">
        <v>5423.41393442623</v>
      </c>
      <c r="O107" s="501">
        <v>3648.6959016393444</v>
      </c>
      <c r="P107" s="501">
        <v>10247.681147540985</v>
      </c>
      <c r="Q107" s="501">
        <v>8001.777868852459</v>
      </c>
      <c r="R107" s="274">
        <f t="shared" si="33"/>
        <v>10247.681147540985</v>
      </c>
      <c r="S107" s="480">
        <f t="shared" si="34"/>
        <v>9365.10573770492</v>
      </c>
      <c r="T107" s="480">
        <f t="shared" si="35"/>
        <v>9365.10573770492</v>
      </c>
      <c r="U107" s="480">
        <f t="shared" si="36"/>
        <v>9365.10573770492</v>
      </c>
      <c r="V107" s="480">
        <f t="shared" si="37"/>
        <v>9365.10573770492</v>
      </c>
      <c r="W107" s="480">
        <f t="shared" si="38"/>
        <v>9365.10573770492</v>
      </c>
    </row>
    <row r="108" spans="1:23" s="7" customFormat="1" ht="12" customHeight="1" hidden="1" thickBot="1">
      <c r="A108" s="9"/>
      <c r="D108" s="9"/>
      <c r="E108" s="45"/>
      <c r="H108" s="141">
        <v>1.2</v>
      </c>
      <c r="I108" s="315">
        <f t="shared" si="32"/>
        <v>9693.97868852459</v>
      </c>
      <c r="J108" s="501">
        <v>9693.97868852459</v>
      </c>
      <c r="K108" s="501">
        <v>7572.449180327871</v>
      </c>
      <c r="L108" s="501">
        <v>7159.863114754099</v>
      </c>
      <c r="M108" s="501">
        <v>5183.037704918033</v>
      </c>
      <c r="N108" s="501">
        <v>5558.550819672132</v>
      </c>
      <c r="O108" s="501">
        <v>3648.6959016393444</v>
      </c>
      <c r="P108" s="501">
        <v>10315.847540983608</v>
      </c>
      <c r="Q108" s="501">
        <v>8078.315573770492</v>
      </c>
      <c r="R108" s="274">
        <f t="shared" si="33"/>
        <v>10315.847540983608</v>
      </c>
      <c r="S108" s="480">
        <f t="shared" si="34"/>
        <v>9693.97868852459</v>
      </c>
      <c r="T108" s="480">
        <f t="shared" si="35"/>
        <v>9693.97868852459</v>
      </c>
      <c r="U108" s="480">
        <f t="shared" si="36"/>
        <v>9693.97868852459</v>
      </c>
      <c r="V108" s="480">
        <f t="shared" si="37"/>
        <v>9693.97868852459</v>
      </c>
      <c r="W108" s="480">
        <f t="shared" si="38"/>
        <v>9693.97868852459</v>
      </c>
    </row>
    <row r="109" spans="1:23" s="7" customFormat="1" ht="12" customHeight="1" hidden="1">
      <c r="A109" s="9"/>
      <c r="D109" s="9"/>
      <c r="E109" s="45"/>
      <c r="H109" s="200"/>
      <c r="I109" s="498"/>
      <c r="J109" s="500"/>
      <c r="K109" s="500"/>
      <c r="L109" s="500"/>
      <c r="M109" s="500"/>
      <c r="N109" s="500"/>
      <c r="O109" s="500"/>
      <c r="P109" s="500"/>
      <c r="Q109" s="500"/>
      <c r="R109" s="499"/>
      <c r="S109" s="499"/>
      <c r="T109" s="499"/>
      <c r="U109" s="499"/>
      <c r="V109" s="499"/>
      <c r="W109" s="499"/>
    </row>
    <row r="110" spans="1:23" s="7" customFormat="1" ht="12" customHeight="1" hidden="1">
      <c r="A110" s="9"/>
      <c r="D110" s="9"/>
      <c r="E110" s="45"/>
      <c r="H110" s="200"/>
      <c r="I110" s="498"/>
      <c r="J110" s="500"/>
      <c r="K110" s="500"/>
      <c r="L110" s="500"/>
      <c r="M110" s="500"/>
      <c r="N110" s="500"/>
      <c r="O110" s="500"/>
      <c r="P110" s="500"/>
      <c r="Q110" s="500"/>
      <c r="R110" s="499"/>
      <c r="S110" s="499"/>
      <c r="T110" s="499"/>
      <c r="U110" s="499"/>
      <c r="V110" s="499"/>
      <c r="W110" s="499"/>
    </row>
    <row r="111" spans="1:23" s="7" customFormat="1" ht="12" customHeight="1" hidden="1">
      <c r="A111" s="9"/>
      <c r="D111" s="9"/>
      <c r="E111" s="45"/>
      <c r="H111" s="200"/>
      <c r="I111" s="498"/>
      <c r="J111" s="500"/>
      <c r="K111" s="500"/>
      <c r="L111" s="500"/>
      <c r="M111" s="500"/>
      <c r="N111" s="500"/>
      <c r="O111" s="500"/>
      <c r="P111" s="500"/>
      <c r="Q111" s="500"/>
      <c r="R111" s="499"/>
      <c r="S111" s="499"/>
      <c r="T111" s="499"/>
      <c r="U111" s="499"/>
      <c r="V111" s="499"/>
      <c r="W111" s="499"/>
    </row>
    <row r="112" spans="1:23" s="7" customFormat="1" ht="12" customHeight="1" hidden="1">
      <c r="A112" s="9"/>
      <c r="D112" s="9"/>
      <c r="E112" s="45"/>
      <c r="H112" s="200"/>
      <c r="I112" s="498"/>
      <c r="J112" s="500"/>
      <c r="K112" s="500"/>
      <c r="L112" s="500"/>
      <c r="M112" s="500"/>
      <c r="N112" s="500"/>
      <c r="O112" s="500"/>
      <c r="P112" s="500"/>
      <c r="Q112" s="500"/>
      <c r="R112" s="499"/>
      <c r="S112" s="499"/>
      <c r="T112" s="499"/>
      <c r="U112" s="499"/>
      <c r="V112" s="499"/>
      <c r="W112" s="499"/>
    </row>
    <row r="113" spans="1:23" s="7" customFormat="1" ht="17.25" customHeight="1" hidden="1">
      <c r="A113" s="9"/>
      <c r="D113" s="9"/>
      <c r="E113" s="45"/>
      <c r="H113" s="200"/>
      <c r="I113" s="498"/>
      <c r="J113" s="500"/>
      <c r="K113" s="500"/>
      <c r="L113" s="782">
        <f>12.5/1.334</f>
        <v>9.37031484257871</v>
      </c>
      <c r="M113" s="500"/>
      <c r="N113" s="500"/>
      <c r="O113" s="500"/>
      <c r="P113" s="783">
        <f>1.459/1.334-1</f>
        <v>0.09370314842578709</v>
      </c>
      <c r="Q113" s="500"/>
      <c r="R113" s="499"/>
      <c r="S113" s="499"/>
      <c r="T113" s="499"/>
      <c r="U113" s="499"/>
      <c r="V113" s="499"/>
      <c r="W113" s="499"/>
    </row>
    <row r="114" spans="1:23" s="7" customFormat="1" ht="12" customHeight="1" hidden="1">
      <c r="A114" s="9"/>
      <c r="D114" s="9"/>
      <c r="E114" s="45"/>
      <c r="H114" s="200"/>
      <c r="I114" s="498"/>
      <c r="J114" s="500"/>
      <c r="K114" s="500"/>
      <c r="L114" s="500"/>
      <c r="M114" s="500"/>
      <c r="N114" s="500"/>
      <c r="O114" s="500"/>
      <c r="P114" s="500"/>
      <c r="Q114" s="500"/>
      <c r="R114" s="499"/>
      <c r="S114" s="499"/>
      <c r="T114" s="499"/>
      <c r="U114" s="499"/>
      <c r="V114" s="499"/>
      <c r="W114" s="499"/>
    </row>
    <row r="115" spans="1:23" s="7" customFormat="1" ht="12" customHeight="1" hidden="1">
      <c r="A115" s="9"/>
      <c r="D115" s="9"/>
      <c r="E115" s="45"/>
      <c r="H115" s="200"/>
      <c r="I115" s="498"/>
      <c r="J115" s="500"/>
      <c r="K115" s="500"/>
      <c r="L115" s="500"/>
      <c r="M115" s="500"/>
      <c r="N115" s="500"/>
      <c r="O115" s="500"/>
      <c r="P115" s="500"/>
      <c r="Q115" s="500"/>
      <c r="R115" s="499"/>
      <c r="S115" s="499"/>
      <c r="T115" s="499"/>
      <c r="U115" s="499"/>
      <c r="V115" s="499"/>
      <c r="W115" s="499"/>
    </row>
    <row r="116" spans="1:23" s="7" customFormat="1" ht="12" customHeight="1" hidden="1">
      <c r="A116" s="9"/>
      <c r="D116" s="9"/>
      <c r="E116" s="45"/>
      <c r="H116" s="200"/>
      <c r="I116" s="498"/>
      <c r="J116" s="500"/>
      <c r="K116" s="500"/>
      <c r="L116" s="500"/>
      <c r="M116" s="500"/>
      <c r="N116" s="500"/>
      <c r="O116" s="500"/>
      <c r="P116" s="500"/>
      <c r="Q116" s="500"/>
      <c r="R116" s="499"/>
      <c r="S116" s="499"/>
      <c r="T116" s="499"/>
      <c r="U116" s="499"/>
      <c r="V116" s="499"/>
      <c r="W116" s="499"/>
    </row>
    <row r="117" spans="1:27" s="7" customFormat="1" ht="12" customHeight="1" hidden="1">
      <c r="A117" s="9"/>
      <c r="B117" s="9"/>
      <c r="C117" s="9"/>
      <c r="D117" s="9"/>
      <c r="E117" s="3"/>
      <c r="H117" s="9"/>
      <c r="I117" s="45"/>
      <c r="L117" s="200"/>
      <c r="M117" s="498"/>
      <c r="N117" s="500"/>
      <c r="O117" s="500"/>
      <c r="P117" s="500"/>
      <c r="Q117" s="500"/>
      <c r="R117" s="500"/>
      <c r="S117" s="500"/>
      <c r="T117" s="500"/>
      <c r="U117" s="500"/>
      <c r="V117" s="499"/>
      <c r="W117" s="499"/>
      <c r="X117" s="499"/>
      <c r="Y117" s="499"/>
      <c r="Z117" s="499"/>
      <c r="AA117" s="499"/>
    </row>
    <row r="118" spans="1:27" s="7" customFormat="1" ht="12" customHeight="1" hidden="1">
      <c r="A118" s="9"/>
      <c r="B118" s="9"/>
      <c r="C118" s="9"/>
      <c r="D118" s="9"/>
      <c r="E118" s="3"/>
      <c r="H118" s="9"/>
      <c r="I118" s="45"/>
      <c r="L118" s="200"/>
      <c r="M118" s="498"/>
      <c r="N118" s="500"/>
      <c r="O118" s="500"/>
      <c r="P118" s="500"/>
      <c r="Q118" s="500"/>
      <c r="R118" s="500"/>
      <c r="S118" s="500"/>
      <c r="T118" s="500"/>
      <c r="U118" s="500"/>
      <c r="V118" s="499"/>
      <c r="W118" s="499"/>
      <c r="X118" s="499"/>
      <c r="Y118" s="499"/>
      <c r="Z118" s="499"/>
      <c r="AA118" s="499"/>
    </row>
    <row r="119" spans="1:27" s="7" customFormat="1" ht="12" customHeight="1" hidden="1" thickBot="1">
      <c r="A119" s="9"/>
      <c r="B119" s="9"/>
      <c r="C119" s="9"/>
      <c r="D119" s="9"/>
      <c r="E119" s="3"/>
      <c r="H119" s="9"/>
      <c r="I119" s="45"/>
      <c r="L119" s="200"/>
      <c r="M119" s="498"/>
      <c r="N119" s="500"/>
      <c r="O119" s="500"/>
      <c r="P119" s="500"/>
      <c r="Q119" s="500"/>
      <c r="R119" s="500"/>
      <c r="S119" s="500"/>
      <c r="T119" s="500"/>
      <c r="U119" s="500"/>
      <c r="V119" s="499"/>
      <c r="W119" s="499"/>
      <c r="X119" s="499"/>
      <c r="Y119" s="499"/>
      <c r="Z119" s="499"/>
      <c r="AA119" s="499"/>
    </row>
    <row r="120" spans="1:16" ht="12" customHeight="1" hidden="1" thickBot="1" thickTop="1">
      <c r="A120" s="6"/>
      <c r="B120" s="6"/>
      <c r="C120" s="6"/>
      <c r="D120" s="6"/>
      <c r="E120" s="5"/>
      <c r="F120" s="323"/>
      <c r="G120" s="324"/>
      <c r="H120" s="325"/>
      <c r="I120" s="326"/>
      <c r="J120" s="324"/>
      <c r="K120" s="324"/>
      <c r="L120" s="327"/>
      <c r="M120" s="328"/>
      <c r="N120" s="328"/>
      <c r="O120" s="328"/>
      <c r="P120" s="328"/>
    </row>
    <row r="121" spans="1:16" ht="17.25" customHeight="1" hidden="1" thickTop="1">
      <c r="A121" s="116"/>
      <c r="B121" s="6"/>
      <c r="C121" s="6"/>
      <c r="D121" s="6"/>
      <c r="E121" s="5"/>
      <c r="F121" s="329"/>
      <c r="G121" s="330" t="s">
        <v>403</v>
      </c>
      <c r="H121" s="331">
        <v>0.18</v>
      </c>
      <c r="I121" s="332" t="s">
        <v>398</v>
      </c>
      <c r="J121" s="333" t="e">
        <f>indicejul12*(1+H121)</f>
        <v>#NAME?</v>
      </c>
      <c r="K121" s="339"/>
      <c r="L121" s="334"/>
      <c r="M121" s="335"/>
      <c r="N121" s="334" t="s">
        <v>405</v>
      </c>
      <c r="O121" s="373"/>
      <c r="P121" s="335">
        <v>0.24</v>
      </c>
    </row>
    <row r="122" spans="1:16" ht="22.5" customHeight="1" hidden="1">
      <c r="A122" s="203" t="s">
        <v>426</v>
      </c>
      <c r="B122" s="6"/>
      <c r="C122" s="6"/>
      <c r="D122" s="6"/>
      <c r="E122" s="5"/>
      <c r="F122" s="336"/>
      <c r="G122" s="337" t="s">
        <v>397</v>
      </c>
      <c r="H122" s="338">
        <v>0.2</v>
      </c>
      <c r="I122" s="339" t="s">
        <v>399</v>
      </c>
      <c r="J122" s="340" t="e">
        <f>indiceproljorjul12*(1+H122)</f>
        <v>#NAME?</v>
      </c>
      <c r="K122" s="339"/>
      <c r="L122" s="341"/>
      <c r="M122" s="335"/>
      <c r="N122" s="341" t="s">
        <v>406</v>
      </c>
      <c r="O122" s="401"/>
      <c r="P122" s="335">
        <v>0.26</v>
      </c>
    </row>
    <row r="123" spans="4:16" ht="21.75" customHeight="1" hidden="1" thickBot="1">
      <c r="D123" s="6"/>
      <c r="E123" s="5"/>
      <c r="F123" s="336"/>
      <c r="G123" s="342" t="s">
        <v>400</v>
      </c>
      <c r="H123" s="343">
        <v>0.16</v>
      </c>
      <c r="I123" s="321" t="s">
        <v>401</v>
      </c>
      <c r="J123" s="294">
        <f>1+H123</f>
        <v>1.16</v>
      </c>
      <c r="K123" s="403"/>
      <c r="L123" s="341"/>
      <c r="M123" s="344"/>
      <c r="N123" s="341" t="s">
        <v>407</v>
      </c>
      <c r="O123" s="401"/>
      <c r="P123" s="335" t="e">
        <f>aum062013*1.07</f>
        <v>#NAME?</v>
      </c>
    </row>
    <row r="124" spans="2:36" ht="14.25" customHeight="1" hidden="1" thickBot="1" thickTop="1">
      <c r="B124" s="10"/>
      <c r="C124" s="10"/>
      <c r="D124" s="3"/>
      <c r="E124" s="5"/>
      <c r="F124" s="295"/>
      <c r="G124" s="296"/>
      <c r="H124" s="297"/>
      <c r="I124" s="298"/>
      <c r="J124" s="296"/>
      <c r="K124" s="296"/>
      <c r="L124" s="299"/>
      <c r="U124" s="279"/>
      <c r="V124" s="279"/>
      <c r="W124" s="279"/>
      <c r="X124" s="278"/>
      <c r="AA124" s="199" t="e">
        <f>SUM(#REF!)</f>
        <v>#REF!</v>
      </c>
      <c r="AC124" s="3"/>
      <c r="AD124" s="3"/>
      <c r="AE124" s="3"/>
      <c r="AF124" s="180"/>
      <c r="AG124" s="181"/>
      <c r="AH124" s="3"/>
      <c r="AI124" s="182"/>
      <c r="AJ124" s="3"/>
    </row>
    <row r="125" spans="2:36" ht="23.25" customHeight="1" hidden="1" thickTop="1">
      <c r="B125" s="196"/>
      <c r="C125" s="197"/>
      <c r="D125" s="198"/>
      <c r="F125" s="290" t="s">
        <v>396</v>
      </c>
      <c r="G125" s="291"/>
      <c r="H125" s="291"/>
      <c r="I125" s="292"/>
      <c r="J125" s="293"/>
      <c r="K125" s="292"/>
      <c r="U125" s="276"/>
      <c r="V125" s="276"/>
      <c r="W125" s="276"/>
      <c r="X125" s="278"/>
      <c r="AA125" s="199"/>
      <c r="AC125" s="3"/>
      <c r="AD125" s="3"/>
      <c r="AE125" s="3"/>
      <c r="AF125" s="180"/>
      <c r="AG125" s="181"/>
      <c r="AH125" s="3"/>
      <c r="AI125" s="182"/>
      <c r="AJ125" s="3"/>
    </row>
    <row r="126" spans="2:37" ht="18" customHeight="1" hidden="1" thickBot="1">
      <c r="B126" s="189"/>
      <c r="C126" s="272"/>
      <c r="D126" s="5"/>
      <c r="F126" s="300" t="s">
        <v>404</v>
      </c>
      <c r="G126" s="272"/>
      <c r="H126" s="12"/>
      <c r="I126" s="6"/>
      <c r="J126" s="190"/>
      <c r="K126" s="5"/>
      <c r="AH126" s="3"/>
      <c r="AI126" s="3"/>
      <c r="AJ126" s="3"/>
      <c r="AK126" s="183"/>
    </row>
    <row r="127" spans="2:39" ht="18" customHeight="1" hidden="1" thickBot="1">
      <c r="B127" s="5"/>
      <c r="C127" s="171"/>
      <c r="D127" s="5"/>
      <c r="F127" s="287" t="s">
        <v>402</v>
      </c>
      <c r="G127" s="288"/>
      <c r="H127" s="289"/>
      <c r="I127" s="6"/>
      <c r="J127" s="190"/>
      <c r="K127" s="5"/>
      <c r="W127" s="155" t="s">
        <v>292</v>
      </c>
      <c r="Z127" s="135"/>
      <c r="AA127" s="97"/>
      <c r="AB127" s="155" t="s">
        <v>292</v>
      </c>
      <c r="AE127" s="155" t="s">
        <v>292</v>
      </c>
      <c r="AH127" s="135"/>
      <c r="AI127" s="186"/>
      <c r="AJ127" s="3"/>
      <c r="AK127" s="187"/>
      <c r="AL127" s="3"/>
      <c r="AM127" s="184"/>
    </row>
    <row r="128" spans="2:31" ht="20.25" customHeight="1" hidden="1">
      <c r="B128" s="191"/>
      <c r="Z128" s="3"/>
      <c r="AA128" s="3"/>
      <c r="AB128" s="3"/>
      <c r="AC128" s="3"/>
      <c r="AD128" s="176"/>
      <c r="AE128" s="184"/>
    </row>
    <row r="129" spans="2:11" ht="18" customHeight="1" hidden="1">
      <c r="B129" s="1" t="s">
        <v>492</v>
      </c>
      <c r="C129" s="1">
        <v>7.0516</v>
      </c>
      <c r="D129" s="1" t="s">
        <v>497</v>
      </c>
      <c r="E129" s="1">
        <v>7.7568</v>
      </c>
      <c r="F129" s="1" t="s">
        <v>499</v>
      </c>
      <c r="G129" s="1">
        <v>8.603</v>
      </c>
      <c r="H129" s="1" t="s">
        <v>514</v>
      </c>
      <c r="I129" s="771">
        <f>indicemay19*1.334/1.22</f>
        <v>9.406886885245902</v>
      </c>
      <c r="J129" s="4" t="s">
        <v>517</v>
      </c>
      <c r="K129" s="771">
        <v>10.2883</v>
      </c>
    </row>
    <row r="130" spans="2:12" ht="19.5" customHeight="1" hidden="1">
      <c r="B130" s="387" t="s">
        <v>493</v>
      </c>
      <c r="C130" s="1">
        <v>12.1848</v>
      </c>
      <c r="D130" s="387" t="s">
        <v>498</v>
      </c>
      <c r="E130" s="1">
        <v>13.4033</v>
      </c>
      <c r="F130" s="387" t="s">
        <v>500</v>
      </c>
      <c r="G130" s="1">
        <v>14.8655</v>
      </c>
      <c r="H130" s="387" t="s">
        <v>515</v>
      </c>
      <c r="I130" s="771">
        <f>indiceproljormay19*1.334/1.22</f>
        <v>16.254571311475413</v>
      </c>
      <c r="J130" s="387" t="s">
        <v>518</v>
      </c>
      <c r="K130" s="771">
        <v>17.7777</v>
      </c>
      <c r="L130" s="387"/>
    </row>
    <row r="131" spans="2:12" ht="19.5" customHeight="1" hidden="1">
      <c r="B131" s="387"/>
      <c r="D131" s="387"/>
      <c r="F131" s="387"/>
      <c r="H131" s="387"/>
      <c r="I131" s="771"/>
      <c r="J131" s="387"/>
      <c r="K131" s="771"/>
      <c r="L131" s="387"/>
    </row>
    <row r="132" spans="2:12" ht="19.5" customHeight="1" hidden="1">
      <c r="B132" s="387" t="s">
        <v>519</v>
      </c>
      <c r="C132" s="1">
        <v>113.3</v>
      </c>
      <c r="D132" s="387"/>
      <c r="F132" s="387"/>
      <c r="H132" s="387"/>
      <c r="I132" s="771"/>
      <c r="J132" s="387"/>
      <c r="K132" s="771"/>
      <c r="L132" s="387"/>
    </row>
    <row r="133" spans="2:12" ht="19.5" customHeight="1" hidden="1">
      <c r="B133" s="387" t="s">
        <v>520</v>
      </c>
      <c r="C133" s="1">
        <v>90.85</v>
      </c>
      <c r="D133" s="387"/>
      <c r="F133" s="387"/>
      <c r="H133" s="387"/>
      <c r="I133" s="771"/>
      <c r="J133" s="387"/>
      <c r="K133" s="771"/>
      <c r="L133" s="387"/>
    </row>
    <row r="134" spans="2:12" ht="19.5" customHeight="1" hidden="1">
      <c r="B134" s="387" t="s">
        <v>521</v>
      </c>
      <c r="D134" s="387"/>
      <c r="F134" s="387"/>
      <c r="H134" s="387"/>
      <c r="I134" s="771"/>
      <c r="J134" s="387"/>
      <c r="K134" s="771"/>
      <c r="L134" s="387"/>
    </row>
    <row r="135" spans="2:12" ht="19.5" customHeight="1" hidden="1">
      <c r="B135" s="387" t="s">
        <v>522</v>
      </c>
      <c r="D135" s="387"/>
      <c r="F135" s="387"/>
      <c r="H135" s="387"/>
      <c r="I135" s="771"/>
      <c r="J135" s="387"/>
      <c r="K135" s="771"/>
      <c r="L135" s="387"/>
    </row>
    <row r="136" spans="2:12" ht="19.5" customHeight="1" hidden="1">
      <c r="B136" s="387" t="s">
        <v>523</v>
      </c>
      <c r="D136" s="387"/>
      <c r="F136" s="387"/>
      <c r="H136" s="387"/>
      <c r="I136" s="771"/>
      <c r="J136" s="387"/>
      <c r="K136" s="771"/>
      <c r="L136" s="387"/>
    </row>
    <row r="137" spans="2:12" ht="19.5" customHeight="1" hidden="1">
      <c r="B137" s="387" t="s">
        <v>524</v>
      </c>
      <c r="D137" s="387"/>
      <c r="F137" s="387"/>
      <c r="H137" s="387"/>
      <c r="I137" s="771"/>
      <c r="J137" s="387"/>
      <c r="K137" s="771"/>
      <c r="L137" s="387"/>
    </row>
    <row r="138" spans="2:12" ht="19.5" customHeight="1" hidden="1">
      <c r="B138" s="387" t="s">
        <v>525</v>
      </c>
      <c r="D138" s="387"/>
      <c r="F138" s="387"/>
      <c r="H138" s="387"/>
      <c r="I138" s="771"/>
      <c r="J138" s="387"/>
      <c r="K138" s="771"/>
      <c r="L138" s="387"/>
    </row>
    <row r="139" ht="20.25" customHeight="1">
      <c r="A139" s="148"/>
    </row>
    <row r="140" spans="1:2" ht="18" customHeight="1">
      <c r="A140" s="150"/>
      <c r="B140" s="9"/>
    </row>
    <row r="141" spans="1:17" ht="12.75">
      <c r="A141" s="147"/>
      <c r="G141" s="174"/>
      <c r="Q141" s="174"/>
    </row>
    <row r="142" ht="12.75"/>
    <row r="143" spans="1:17" ht="27">
      <c r="A143" s="174"/>
      <c r="C143" s="155" t="s">
        <v>292</v>
      </c>
      <c r="D143" s="174"/>
      <c r="E143" s="63"/>
      <c r="J143" s="200"/>
      <c r="K143" s="200"/>
      <c r="L143" s="10"/>
      <c r="M143" s="276"/>
      <c r="N143" s="319"/>
      <c r="O143" s="319"/>
      <c r="P143" s="319"/>
      <c r="Q143" s="320"/>
    </row>
    <row r="144" spans="1:17" ht="21" thickBot="1">
      <c r="A144" s="202" t="s">
        <v>374</v>
      </c>
      <c r="C144" s="62"/>
      <c r="E144" s="63"/>
      <c r="I144" s="5"/>
      <c r="J144" s="194"/>
      <c r="K144" s="194"/>
      <c r="L144" s="10"/>
      <c r="M144" s="276"/>
      <c r="N144" s="276"/>
      <c r="O144" s="276"/>
      <c r="P144" s="317"/>
      <c r="Q144" s="320"/>
    </row>
    <row r="145" spans="1:17" ht="18">
      <c r="A145" s="64" t="s">
        <v>17</v>
      </c>
      <c r="B145" s="64" t="s">
        <v>291</v>
      </c>
      <c r="C145" s="64" t="s">
        <v>290</v>
      </c>
      <c r="D145" s="424" t="s">
        <v>288</v>
      </c>
      <c r="E145" s="423" t="s">
        <v>289</v>
      </c>
      <c r="F145" s="378" t="s">
        <v>469</v>
      </c>
      <c r="G145" s="146" t="s">
        <v>470</v>
      </c>
      <c r="H145" s="146" t="s">
        <v>391</v>
      </c>
      <c r="I145" s="5"/>
      <c r="L145" s="276"/>
      <c r="M145" s="318"/>
      <c r="N145" s="318"/>
      <c r="O145" s="318"/>
      <c r="P145" s="318"/>
      <c r="Q145" s="320"/>
    </row>
    <row r="146" spans="1:19" ht="18.75" thickBot="1">
      <c r="A146" s="114">
        <v>749</v>
      </c>
      <c r="B146" s="65">
        <f>LOOKUP(A146,numcargo,punbascargo)</f>
        <v>971</v>
      </c>
      <c r="C146" s="65">
        <f>LOOKUP(A146,numcargo,puntardifcargo)</f>
        <v>0</v>
      </c>
      <c r="D146" s="425">
        <f>LOOKUP(A146,numcargo,punproljorcargo)</f>
        <v>0</v>
      </c>
      <c r="E146" s="423">
        <f>LOOKUP(A146,numcargo,Cargos!R3:R336)</f>
        <v>0</v>
      </c>
      <c r="F146" s="377">
        <f>LOOKUP(A146,numcargo,compbas15)</f>
        <v>350</v>
      </c>
      <c r="G146" s="313">
        <f>LOOKUP(A146,numcargo,adicdir2014)</f>
        <v>0</v>
      </c>
      <c r="H146" s="64">
        <f>IF(AND(D150=1,LOOKUP(A146,numcargo,adicnina)&gt;0),LOOKUP(A146,numcargo,adicnina),0)</f>
        <v>0</v>
      </c>
      <c r="L146" s="276"/>
      <c r="M146" s="276"/>
      <c r="N146" s="276"/>
      <c r="O146" s="276"/>
      <c r="P146" s="276"/>
      <c r="Q146" s="320"/>
      <c r="R146" s="9"/>
      <c r="S146" s="9"/>
    </row>
    <row r="147" spans="1:19" ht="19.5" customHeight="1" thickBot="1">
      <c r="A147" s="195" t="s">
        <v>345</v>
      </c>
      <c r="B147" s="173"/>
      <c r="C147" s="49" t="str">
        <f>LOOKUP(A146,numcargo,nombrecargo)</f>
        <v> MAESTRO DE GRADO</v>
      </c>
      <c r="D147" s="426"/>
      <c r="E147" s="285"/>
      <c r="F147" s="378" t="s">
        <v>469</v>
      </c>
      <c r="G147" s="146" t="s">
        <v>472</v>
      </c>
      <c r="L147" s="276"/>
      <c r="M147" s="276"/>
      <c r="N147" s="276"/>
      <c r="O147" s="276"/>
      <c r="P147" s="276"/>
      <c r="Q147" s="320"/>
      <c r="R147" s="9"/>
      <c r="S147" s="9"/>
    </row>
    <row r="148" spans="1:17" ht="21" thickBot="1">
      <c r="A148" s="119" t="s">
        <v>346</v>
      </c>
      <c r="D148" s="427"/>
      <c r="F148" s="377">
        <f>LOOKUP(A146,numcargo,compbas16)</f>
        <v>414.7</v>
      </c>
      <c r="G148" s="313">
        <f>LOOKUP(A146,numcargo,adicdir2016)</f>
        <v>0</v>
      </c>
      <c r="M148" s="276"/>
      <c r="N148" s="276"/>
      <c r="O148" s="276"/>
      <c r="P148" s="276"/>
      <c r="Q148" s="278"/>
    </row>
    <row r="149" spans="1:21" ht="21" thickBot="1">
      <c r="A149" s="483"/>
      <c r="B149" s="174"/>
      <c r="C149" s="174"/>
      <c r="D149" s="427"/>
      <c r="L149" s="276"/>
      <c r="M149" s="276"/>
      <c r="N149" s="276"/>
      <c r="O149" s="276"/>
      <c r="P149" s="276"/>
      <c r="Q149" s="278"/>
      <c r="R149" s="456"/>
      <c r="T149" s="278"/>
      <c r="U149" s="456"/>
    </row>
    <row r="150" spans="2:41" ht="21" thickBot="1">
      <c r="B150" s="400" t="s">
        <v>476</v>
      </c>
      <c r="C150" s="277"/>
      <c r="D150" s="428">
        <v>0</v>
      </c>
      <c r="E150" s="63" t="s">
        <v>390</v>
      </c>
      <c r="P150" s="170"/>
      <c r="AN150" s="185"/>
      <c r="AO150" s="3"/>
    </row>
    <row r="151" spans="2:24" ht="27" customHeight="1" thickBot="1">
      <c r="B151" s="93" t="s">
        <v>319</v>
      </c>
      <c r="C151" s="42"/>
      <c r="D151" s="429">
        <v>0</v>
      </c>
      <c r="F151" s="134" t="s">
        <v>317</v>
      </c>
      <c r="G151" s="135">
        <f>IF(D155&gt;921,1,0)</f>
        <v>1</v>
      </c>
      <c r="W151" s="188"/>
      <c r="X151" s="3"/>
    </row>
    <row r="152" spans="2:24" ht="16.5" thickBot="1">
      <c r="B152" s="5"/>
      <c r="C152" s="5"/>
      <c r="D152" s="430">
        <f>LOOKUP(D151,escalaañosantig,escalaporcantig)</f>
        <v>0</v>
      </c>
      <c r="E152" s="174"/>
      <c r="W152" s="177"/>
      <c r="X152" s="3"/>
    </row>
    <row r="153" spans="2:31" ht="17.25" thickBot="1" thickTop="1">
      <c r="B153" s="386" t="s">
        <v>394</v>
      </c>
      <c r="C153" s="322"/>
      <c r="D153" s="431">
        <v>0</v>
      </c>
      <c r="E153" s="174"/>
      <c r="F153" s="174"/>
      <c r="AD153" s="177"/>
      <c r="AE153" s="3"/>
    </row>
    <row r="154" spans="2:31" ht="17.25" thickBot="1" thickTop="1">
      <c r="B154" s="356"/>
      <c r="C154" s="3"/>
      <c r="D154" s="432"/>
      <c r="E154" s="174"/>
      <c r="AD154" s="177"/>
      <c r="AE154" s="3"/>
    </row>
    <row r="155" spans="2:31" ht="18.75" thickBot="1">
      <c r="B155" s="131" t="s">
        <v>5</v>
      </c>
      <c r="C155" s="131"/>
      <c r="D155" s="491">
        <f>PUNTOSbasicos</f>
        <v>971</v>
      </c>
      <c r="E155" s="68" t="s">
        <v>327</v>
      </c>
      <c r="F155" s="69"/>
      <c r="G155" s="615">
        <f>E146+D146</f>
        <v>0</v>
      </c>
      <c r="AD155" s="179"/>
      <c r="AE155" s="3"/>
    </row>
    <row r="156" spans="2:31" s="517" customFormat="1" ht="15.75">
      <c r="B156" s="612"/>
      <c r="C156" s="613"/>
      <c r="D156" s="614"/>
      <c r="E156" s="527"/>
      <c r="F156" s="528"/>
      <c r="G156" s="201"/>
      <c r="J156" s="489"/>
      <c r="AD156" s="499"/>
      <c r="AE156" s="10"/>
    </row>
    <row r="157" spans="2:19" ht="33.75" thickBot="1">
      <c r="B157" s="484"/>
      <c r="C157" s="485"/>
      <c r="D157" s="486"/>
      <c r="E157" s="779" t="s">
        <v>516</v>
      </c>
      <c r="F157" s="780"/>
      <c r="G157" s="781"/>
      <c r="H157" s="769" t="s">
        <v>513</v>
      </c>
      <c r="I157" s="770"/>
      <c r="J157" s="372"/>
      <c r="K157" s="761" t="s">
        <v>502</v>
      </c>
      <c r="L157" s="762"/>
      <c r="M157" s="372"/>
      <c r="N157" s="763" t="s">
        <v>501</v>
      </c>
      <c r="O157" s="764"/>
      <c r="P157" s="747"/>
      <c r="Q157" s="495" t="s">
        <v>495</v>
      </c>
      <c r="R157" s="496"/>
      <c r="S157" s="747"/>
    </row>
    <row r="158" spans="2:19" s="7" customFormat="1" ht="13.5" thickBot="1">
      <c r="B158" s="537" t="s">
        <v>349</v>
      </c>
      <c r="C158" s="538" t="s">
        <v>348</v>
      </c>
      <c r="D158" s="539" t="s">
        <v>320</v>
      </c>
      <c r="E158" s="538" t="s">
        <v>321</v>
      </c>
      <c r="F158" s="540" t="s">
        <v>322</v>
      </c>
      <c r="G158" s="372"/>
      <c r="H158" s="538" t="s">
        <v>321</v>
      </c>
      <c r="I158" s="540" t="s">
        <v>322</v>
      </c>
      <c r="J158" s="372"/>
      <c r="K158" s="538" t="s">
        <v>321</v>
      </c>
      <c r="L158" s="540" t="s">
        <v>322</v>
      </c>
      <c r="M158" s="372"/>
      <c r="N158" s="538" t="s">
        <v>321</v>
      </c>
      <c r="O158" s="540" t="s">
        <v>322</v>
      </c>
      <c r="P158" s="748"/>
      <c r="Q158" s="538" t="s">
        <v>321</v>
      </c>
      <c r="R158" s="540" t="s">
        <v>322</v>
      </c>
      <c r="S158" s="748"/>
    </row>
    <row r="159" spans="1:19" s="7" customFormat="1" ht="12.75">
      <c r="A159" s="389"/>
      <c r="B159" s="583" t="s">
        <v>297</v>
      </c>
      <c r="C159" s="616"/>
      <c r="D159" s="633" t="s">
        <v>298</v>
      </c>
      <c r="E159" s="649">
        <f>punbascar*indiceoct19</f>
        <v>9989.9393</v>
      </c>
      <c r="F159" s="650"/>
      <c r="G159" s="388"/>
      <c r="H159" s="649">
        <f>punbascar*indicejul19</f>
        <v>9134.08716557377</v>
      </c>
      <c r="I159" s="650"/>
      <c r="J159" s="388"/>
      <c r="K159" s="649">
        <f>punbascar*indicemay19</f>
        <v>8353.512999999999</v>
      </c>
      <c r="L159" s="650"/>
      <c r="M159" s="388"/>
      <c r="N159" s="584">
        <f>punbascar*indicemar19</f>
        <v>7531.852800000001</v>
      </c>
      <c r="O159" s="584"/>
      <c r="P159" s="749"/>
      <c r="Q159" s="649">
        <f>punbascar*indicedic18</f>
        <v>6847.1035999999995</v>
      </c>
      <c r="R159" s="650"/>
      <c r="S159" s="749"/>
    </row>
    <row r="160" spans="1:19" s="7" customFormat="1" ht="12.75">
      <c r="A160" s="389"/>
      <c r="B160" s="573" t="s">
        <v>371</v>
      </c>
      <c r="C160" s="617"/>
      <c r="D160" s="634" t="s">
        <v>368</v>
      </c>
      <c r="E160" s="651">
        <f>compbas2016*indiceoct19</f>
        <v>4266.55801</v>
      </c>
      <c r="F160" s="652"/>
      <c r="G160" s="416"/>
      <c r="H160" s="651">
        <f>compbas2016*indicejul19</f>
        <v>3901.0359913114753</v>
      </c>
      <c r="I160" s="652"/>
      <c r="J160" s="416"/>
      <c r="K160" s="651">
        <f>compbas2016*indicemay19</f>
        <v>3567.6641</v>
      </c>
      <c r="L160" s="652"/>
      <c r="M160" s="416"/>
      <c r="N160" s="586">
        <f>compbas2016*indicemar19</f>
        <v>3216.74496</v>
      </c>
      <c r="O160" s="587"/>
      <c r="P160" s="750"/>
      <c r="Q160" s="651">
        <f>compbas2016*indicedic18</f>
        <v>2924.29852</v>
      </c>
      <c r="R160" s="652"/>
      <c r="S160" s="750"/>
    </row>
    <row r="161" spans="1:19" s="7" customFormat="1" ht="12.75">
      <c r="A161" s="389"/>
      <c r="B161" s="588" t="s">
        <v>433</v>
      </c>
      <c r="C161" s="618"/>
      <c r="D161" s="635" t="s">
        <v>378</v>
      </c>
      <c r="E161" s="653">
        <f>compdir16*indiceoct19</f>
        <v>0</v>
      </c>
      <c r="F161" s="654"/>
      <c r="G161" s="416"/>
      <c r="H161" s="653">
        <f>compdir16*indicejul19</f>
        <v>0</v>
      </c>
      <c r="I161" s="654"/>
      <c r="J161" s="416"/>
      <c r="K161" s="653">
        <f>compdir16*indicemay19</f>
        <v>0</v>
      </c>
      <c r="L161" s="654"/>
      <c r="M161" s="416"/>
      <c r="N161" s="589">
        <f>compdir16*indicemar19</f>
        <v>0</v>
      </c>
      <c r="O161" s="590"/>
      <c r="P161" s="750"/>
      <c r="Q161" s="653">
        <f>compdir16*indicedic18</f>
        <v>0</v>
      </c>
      <c r="R161" s="654"/>
      <c r="S161" s="750"/>
    </row>
    <row r="162" spans="1:19" s="7" customFormat="1" ht="12.75">
      <c r="A162" s="389"/>
      <c r="B162" s="573" t="s">
        <v>427</v>
      </c>
      <c r="C162" s="619"/>
      <c r="D162" s="634" t="s">
        <v>428</v>
      </c>
      <c r="E162" s="655">
        <f>puntosadicnina*indiceproljoroct19</f>
        <v>0</v>
      </c>
      <c r="F162" s="656"/>
      <c r="G162" s="416"/>
      <c r="H162" s="655">
        <f>puntosadicnina*indiceproljorjul19</f>
        <v>0</v>
      </c>
      <c r="I162" s="656"/>
      <c r="J162" s="416"/>
      <c r="K162" s="655">
        <f>puntosadicnina*indiceproljormay19</f>
        <v>0</v>
      </c>
      <c r="L162" s="656"/>
      <c r="M162" s="416"/>
      <c r="N162" s="591">
        <f>puntosadicnina*indiceproljormar19</f>
        <v>0</v>
      </c>
      <c r="O162" s="586"/>
      <c r="P162" s="750"/>
      <c r="Q162" s="655">
        <f>puntosadicnina*indiceproljordic18</f>
        <v>0</v>
      </c>
      <c r="R162" s="656"/>
      <c r="S162" s="750"/>
    </row>
    <row r="163" spans="1:19" s="7" customFormat="1" ht="12.75">
      <c r="A163" s="389"/>
      <c r="B163" s="44" t="s">
        <v>301</v>
      </c>
      <c r="C163" s="620"/>
      <c r="D163" s="636" t="s">
        <v>328</v>
      </c>
      <c r="E163" s="657">
        <f>LOOKUP(porantigcargo,porant,codigo06cargosoct19)</f>
        <v>3988.331967213115</v>
      </c>
      <c r="F163" s="654"/>
      <c r="G163" s="418"/>
      <c r="H163" s="657">
        <f>LOOKUP(porantigcargo,porant,codigo06cargosjul19)</f>
        <v>3646.631147540984</v>
      </c>
      <c r="I163" s="654"/>
      <c r="J163" s="418"/>
      <c r="K163" s="657">
        <f>LOOKUP(porantigcargo,porant,codigo06cargosmay19)</f>
        <v>3335</v>
      </c>
      <c r="L163" s="654"/>
      <c r="M163" s="418"/>
      <c r="N163" s="657">
        <f>LOOKUP(porantigcargo,porant,codigo06cargosmar19)</f>
        <v>3007</v>
      </c>
      <c r="O163" s="590"/>
      <c r="P163" s="751"/>
      <c r="Q163" s="657">
        <f>LOOKUP(porantigcargo,porant,codigo06cargosdic18)</f>
        <v>2733</v>
      </c>
      <c r="R163" s="654"/>
      <c r="S163" s="751"/>
    </row>
    <row r="164" spans="1:19" s="7" customFormat="1" ht="12.75">
      <c r="A164" s="389"/>
      <c r="B164" s="569" t="s">
        <v>296</v>
      </c>
      <c r="C164" s="621">
        <f>porantigcargo</f>
        <v>0</v>
      </c>
      <c r="D164" s="637" t="s">
        <v>0</v>
      </c>
      <c r="E164" s="651">
        <f>(E159+E160+E161+E162+E167+E168)*porantigcargo</f>
        <v>0</v>
      </c>
      <c r="F164" s="656"/>
      <c r="G164" s="611"/>
      <c r="H164" s="651">
        <f>(H159+H160+H161+H162+H167+H168)*porantigcargo</f>
        <v>0</v>
      </c>
      <c r="I164" s="656"/>
      <c r="J164" s="611"/>
      <c r="K164" s="651">
        <f>(K159+K160+K161+K162+K167+K168)*porantigcargo</f>
        <v>0</v>
      </c>
      <c r="L164" s="656"/>
      <c r="M164" s="611"/>
      <c r="N164" s="586">
        <f>(N159+N160+N161+N162+N167+N168)*porantigcargo</f>
        <v>0</v>
      </c>
      <c r="O164" s="586"/>
      <c r="P164" s="752"/>
      <c r="Q164" s="651">
        <f>(Q159+Q160+Q161+Q162+Q167+Q168)*porantigcargo</f>
        <v>0</v>
      </c>
      <c r="R164" s="656"/>
      <c r="S164" s="752"/>
    </row>
    <row r="165" spans="1:19" s="7" customFormat="1" ht="12.75">
      <c r="A165" s="389"/>
      <c r="B165" s="44" t="s">
        <v>302</v>
      </c>
      <c r="C165" s="620"/>
      <c r="D165" s="636" t="s">
        <v>329</v>
      </c>
      <c r="E165" s="657">
        <f>E163*0.07</f>
        <v>279.1832377049181</v>
      </c>
      <c r="F165" s="656"/>
      <c r="G165" s="579">
        <f>IF(puntosproljor&gt;600,G172,G170)</f>
        <v>5062.358863392265</v>
      </c>
      <c r="H165" s="657">
        <f>H163*0.07</f>
        <v>255.2641803278689</v>
      </c>
      <c r="I165" s="654"/>
      <c r="J165" s="579">
        <f>IF(puntosproljor&gt;600,J172,J170)</f>
        <v>4487.164694039389</v>
      </c>
      <c r="K165" s="657">
        <f>K163*0.07</f>
        <v>233.45000000000002</v>
      </c>
      <c r="L165" s="654"/>
      <c r="M165" s="579">
        <f>IF(puntosproljor&gt;600,M172,M170)</f>
        <v>3945.466550904358</v>
      </c>
      <c r="N165" s="590">
        <f>N163*0.07</f>
        <v>210.49</v>
      </c>
      <c r="O165" s="590"/>
      <c r="P165" s="753">
        <f>IF(puntosproljor&gt;600,P172,P170)</f>
        <v>3516.9358337136728</v>
      </c>
      <c r="Q165" s="657">
        <f>Q163*0.07</f>
        <v>191.31000000000003</v>
      </c>
      <c r="R165" s="654"/>
      <c r="S165" s="753">
        <f>IF(puntosproljor&gt;600,S172,S170)</f>
        <v>3169.418031578557</v>
      </c>
    </row>
    <row r="166" spans="1:19" s="7" customFormat="1" ht="12.75">
      <c r="A166" s="389"/>
      <c r="B166" s="570" t="s">
        <v>299</v>
      </c>
      <c r="C166" s="621">
        <v>0.07</v>
      </c>
      <c r="D166" s="637" t="s">
        <v>330</v>
      </c>
      <c r="E166" s="658">
        <f>(E159+E160+E161+E162+E164+E167+E168+E169+E170+E173)*0.07</f>
        <v>1413.6665321374587</v>
      </c>
      <c r="F166" s="656"/>
      <c r="G166" s="580"/>
      <c r="H166" s="658">
        <f>(H159+H160+H161+H162+H164+H167+H168+H169+H170+H173)*0.07</f>
        <v>1282.6511495647246</v>
      </c>
      <c r="I166" s="656"/>
      <c r="J166" s="580"/>
      <c r="K166" s="658">
        <f>(K159+K160+K161+K162+K164+K167+K168+K169+K170+K173)*0.07</f>
        <v>1163.165055563305</v>
      </c>
      <c r="L166" s="656"/>
      <c r="M166" s="580"/>
      <c r="N166" s="593">
        <f>(N159+N160+N161+N162+N164+N167+N168+N169+N170+N173)*0.07</f>
        <v>1044.7873515599572</v>
      </c>
      <c r="O166" s="586"/>
      <c r="P166" s="754"/>
      <c r="Q166" s="658">
        <f>(Q159+Q160+Q161+Q162+Q164+Q167+Q168+Q169+Q170+Q173)*0.07</f>
        <v>937.357410610499</v>
      </c>
      <c r="R166" s="656"/>
      <c r="S166" s="754"/>
    </row>
    <row r="167" spans="1:19" s="7" customFormat="1" ht="12.75">
      <c r="A167" s="389"/>
      <c r="B167" s="44" t="s">
        <v>295</v>
      </c>
      <c r="C167" s="622"/>
      <c r="D167" s="636" t="s">
        <v>311</v>
      </c>
      <c r="E167" s="657">
        <f>puntosproljor*indiceproljoroct19</f>
        <v>0</v>
      </c>
      <c r="F167" s="654"/>
      <c r="G167" s="679">
        <v>19495.59</v>
      </c>
      <c r="H167" s="657">
        <f>puntosproljor*indiceproljorjul19</f>
        <v>0</v>
      </c>
      <c r="I167" s="654"/>
      <c r="J167" s="679">
        <v>17825.3</v>
      </c>
      <c r="K167" s="657">
        <f>puntosproljor*indiceproljormay19</f>
        <v>0</v>
      </c>
      <c r="L167" s="654"/>
      <c r="M167" s="679">
        <v>16302</v>
      </c>
      <c r="N167" s="590">
        <f>puntosproljor*indiceproljormar19</f>
        <v>0</v>
      </c>
      <c r="O167" s="590"/>
      <c r="P167" s="755">
        <v>14790</v>
      </c>
      <c r="Q167" s="657">
        <f>puntosproljor*indiceproljordic18</f>
        <v>0</v>
      </c>
      <c r="R167" s="654"/>
      <c r="S167" s="755">
        <v>13421</v>
      </c>
    </row>
    <row r="168" spans="1:19" s="7" customFormat="1" ht="12.75">
      <c r="A168" s="389"/>
      <c r="B168" s="573" t="s">
        <v>294</v>
      </c>
      <c r="C168" s="617"/>
      <c r="D168" s="637" t="s">
        <v>312</v>
      </c>
      <c r="E168" s="651">
        <f>puntostardif*indiceoct19</f>
        <v>0</v>
      </c>
      <c r="F168" s="656"/>
      <c r="G168" s="579">
        <f>IF((totalremoct19-E169*1.07)*0.804&lt;G167-E175-E177,(G167-E175-E177-(totalremoct19-E169*1.07)*0.804)/0.804,0)/1.07</f>
        <v>1890.077745616659</v>
      </c>
      <c r="H168" s="651">
        <f>puntostardif*indicejul19</f>
        <v>0</v>
      </c>
      <c r="I168" s="656"/>
      <c r="J168" s="579">
        <f>IF((totalremjul19-H169*1.07)*0.804&lt;J167-H175-H177,(J167-H175-H177-(totalremjul19-H169*1.07)*0.804)/0.804,0)/1.07</f>
        <v>1586.6671816015769</v>
      </c>
      <c r="K168" s="651">
        <f>puntostardif*indicemay19</f>
        <v>0</v>
      </c>
      <c r="L168" s="656"/>
      <c r="M168" s="579">
        <f>IF((totalremmay19-K169*1.07)*0.804&lt;M167-K175-K177,(M167-K175-K177-(totalremmay19-K169*1.07)*0.804)/0.804,0)/1.07</f>
        <v>1292.8418240712344</v>
      </c>
      <c r="N168" s="586">
        <f>puntostardif*indicemar19</f>
        <v>0</v>
      </c>
      <c r="O168" s="586"/>
      <c r="P168" s="753">
        <f>IF((totalremmar19-N169*1.07)*0.804&lt;P167-N175-N177,(P167-N175-N177-(totalremmar19-N169*1.07)*0.804)/0.804,0)/1.07</f>
        <v>1125.8538604026576</v>
      </c>
      <c r="Q168" s="651">
        <f>puntostardif*indicedic18</f>
        <v>0</v>
      </c>
      <c r="R168" s="656"/>
      <c r="S168" s="753">
        <f>IF((totalremdic18-Q169*1.07)*0.804&lt;S167-Q175-Q177,(S167-Q175-Q177-(totalremdic18-Q169*1.07)*0.804)/0.804,0)</f>
        <v>1065.4066470228872</v>
      </c>
    </row>
    <row r="169" spans="1:19" s="7" customFormat="1" ht="15">
      <c r="A169" s="389"/>
      <c r="B169" s="44" t="s">
        <v>293</v>
      </c>
      <c r="C169" s="623">
        <v>0</v>
      </c>
      <c r="D169" s="638" t="s">
        <v>351</v>
      </c>
      <c r="E169" s="659">
        <f>(E159+E160+E161+E162+E167+E168)*porzonacargo</f>
        <v>0</v>
      </c>
      <c r="F169" s="654"/>
      <c r="G169" s="581">
        <v>22224.64</v>
      </c>
      <c r="H169" s="659">
        <f>(H159+H160+H161+H162+H167+H168)*porzonacargo</f>
        <v>0</v>
      </c>
      <c r="I169" s="654"/>
      <c r="J169" s="581">
        <v>20320.54</v>
      </c>
      <c r="K169" s="659">
        <f>(K159+K160+K161+K162+K167+K168)*porzonacargo</f>
        <v>0</v>
      </c>
      <c r="L169" s="654"/>
      <c r="M169" s="581">
        <v>18584</v>
      </c>
      <c r="N169" s="594">
        <f>(N159+N160+N161+N162+N167+N168)*porzonacargo</f>
        <v>0</v>
      </c>
      <c r="O169" s="590"/>
      <c r="P169" s="756">
        <v>16847</v>
      </c>
      <c r="Q169" s="659">
        <f>(Q159+Q160+Q161+Q162+Q167+Q168)*porzonacargo</f>
        <v>0</v>
      </c>
      <c r="R169" s="654"/>
      <c r="S169" s="756">
        <v>15291</v>
      </c>
    </row>
    <row r="170" spans="1:19" s="7" customFormat="1" ht="12.75">
      <c r="A170" s="389"/>
      <c r="B170" s="570" t="s">
        <v>300</v>
      </c>
      <c r="C170" s="617"/>
      <c r="D170" s="639" t="s">
        <v>317</v>
      </c>
      <c r="E170" s="660">
        <f>IF(punbascar&lt;913,G168,G165)</f>
        <v>5062.358863392265</v>
      </c>
      <c r="F170" s="656"/>
      <c r="G170" s="579">
        <f>IF((totalremoct19-E169*1.07)*0.804&lt;G169-E175-E177,(G169-E175-E177-(totalremoct19-E169*1.07)*0.804)/0.804,0)/1.07</f>
        <v>5062.358863392265</v>
      </c>
      <c r="H170" s="660">
        <f>IF(punbascar&lt;913,J168,J165)</f>
        <v>4487.164694039389</v>
      </c>
      <c r="I170" s="656"/>
      <c r="J170" s="579">
        <f>IF((totalremjul19-H169*1.07)*0.804&lt;J169-H175-H177,(J169-H175-H177-(totalremjul19-H169*1.07)*0.804)/0.804,0)/1.07</f>
        <v>4487.164694039389</v>
      </c>
      <c r="K170" s="660">
        <f>IF(punbascar&lt;913,M168,M165)</f>
        <v>3945.466550904358</v>
      </c>
      <c r="L170" s="656"/>
      <c r="M170" s="579">
        <f>IF((totalremmay19-K169*1.07)*0.804&lt;M169-K175-K177,(M169-K175-K177-(totalremmay19-K169*1.07)*0.804)/0.804,0)/1.07</f>
        <v>3945.466550904358</v>
      </c>
      <c r="N170" s="660">
        <f>IF(punbascar&lt;913,P168,P165)</f>
        <v>3516.9358337136728</v>
      </c>
      <c r="O170" s="586"/>
      <c r="P170" s="753">
        <f>IF((totalremmar19-N169*1.07)*0.804&lt;P169-N175-N177,(P169-N175-N177-(totalremmar19-N169*1.07)*0.804)/0.804,0)/1.07</f>
        <v>3516.9358337136728</v>
      </c>
      <c r="Q170" s="660">
        <f>IF(punbascar&lt;913,S168,S165)</f>
        <v>3169.418031578557</v>
      </c>
      <c r="R170" s="656"/>
      <c r="S170" s="753">
        <f>IF((totalremdic18-Q169*1.07)*0.804&lt;S169-Q175-Q177,(S169-Q175-Q177-(totalremdic18-Q169*1.07)*0.804)/0.804,0)/1.07</f>
        <v>3169.418031578557</v>
      </c>
    </row>
    <row r="171" spans="1:19" s="7" customFormat="1" ht="12.75">
      <c r="A171" s="389"/>
      <c r="B171" s="543" t="s">
        <v>392</v>
      </c>
      <c r="C171" s="620">
        <f>cantkm</f>
        <v>0</v>
      </c>
      <c r="D171" s="640" t="s">
        <v>393</v>
      </c>
      <c r="E171" s="661">
        <f>IF(kmsem&lt;300,kmsem*3.4721*4,4166.52)</f>
        <v>0</v>
      </c>
      <c r="F171" s="654"/>
      <c r="G171" s="581">
        <v>31938.94</v>
      </c>
      <c r="H171" s="661">
        <f>IF(kmsem&lt;300,kmsem*3.1746*4,3809.55)</f>
        <v>0</v>
      </c>
      <c r="I171" s="654"/>
      <c r="J171" s="581">
        <v>29202.57</v>
      </c>
      <c r="K171" s="661">
        <f>IF(kmsem&lt;300,kmsem*2.9036*4,3484)</f>
        <v>0</v>
      </c>
      <c r="L171" s="654"/>
      <c r="M171" s="581">
        <v>26707</v>
      </c>
      <c r="N171" s="595">
        <f>IF(kmsem&lt;300,kmsem*2.9036*4,3484)</f>
        <v>0</v>
      </c>
      <c r="O171" s="590"/>
      <c r="P171" s="756">
        <v>24262</v>
      </c>
      <c r="Q171" s="661">
        <f>IF(kmsem&lt;300,kmsem*2.38*4,2856)</f>
        <v>0</v>
      </c>
      <c r="R171" s="654"/>
      <c r="S171" s="756">
        <v>22008</v>
      </c>
    </row>
    <row r="172" spans="2:19" s="7" customFormat="1" ht="15">
      <c r="B172" s="571" t="s">
        <v>313</v>
      </c>
      <c r="C172" s="617" t="s">
        <v>314</v>
      </c>
      <c r="D172" s="641"/>
      <c r="E172" s="662">
        <v>0</v>
      </c>
      <c r="F172" s="663"/>
      <c r="G172" s="579">
        <f>IF((totalremjul19-E169*1.07)*0.804&lt;G171-E175-E177,(G171-E175-E177-(totalremjul19-E169*1.07)*0.804)/0.804,0)/1.07</f>
        <v>17992.53503857837</v>
      </c>
      <c r="H172" s="662">
        <v>0</v>
      </c>
      <c r="I172" s="663"/>
      <c r="J172" s="579">
        <f>IF((totalremjul19-H169*1.07)*0.804&lt;J171-H175-H177,(J171-H175-H177-(totalremjul19-H169*1.07)*0.804)/0.804,0)/1.07</f>
        <v>14811.745063221513</v>
      </c>
      <c r="K172" s="662">
        <v>0</v>
      </c>
      <c r="L172" s="663"/>
      <c r="M172" s="579">
        <f>IF((totalremmay19-K169*1.07)*0.804&lt;M171-K175-K177,(M171-K175-K177-(totalremmay19-K169*1.07)*0.804)/0.804,0)/1.07</f>
        <v>13387.741159171434</v>
      </c>
      <c r="N172" s="572">
        <v>0</v>
      </c>
      <c r="O172" s="596"/>
      <c r="P172" s="753">
        <f>IF((totalremmar19-N169*1.07)*0.804&lt;P171-N175-N177,(P171-N175-N177-(totalremmar19-N169*1.07)*0.804)/0.804,0)/1.07</f>
        <v>12136.222577564511</v>
      </c>
      <c r="Q172" s="662">
        <v>0</v>
      </c>
      <c r="R172" s="663"/>
      <c r="S172" s="753">
        <f>IF((totalremdic18-Q169*1.07)*0.804&lt;S171-Q175-Q177,(S171-Q175-Q177-(totalremdic18-Q169*1.07)*0.804)/0.804,0)/1.07</f>
        <v>10977.34103339192</v>
      </c>
    </row>
    <row r="173" spans="2:19" s="7" customFormat="1" ht="15.75">
      <c r="B173" s="544" t="s">
        <v>494</v>
      </c>
      <c r="C173" s="624">
        <v>1</v>
      </c>
      <c r="D173" s="636" t="s">
        <v>481</v>
      </c>
      <c r="E173" s="664">
        <f>IF(AND(puntosproljor&lt;620,punbascar&lt;2200),876.38,1752.77)*C173</f>
        <v>876.38</v>
      </c>
      <c r="F173" s="665"/>
      <c r="G173" s="580"/>
      <c r="H173" s="664">
        <f>IF(AND(puntosproljor&lt;620,punbascar&lt;2200),801.3,1602.6)*C173</f>
        <v>801.3</v>
      </c>
      <c r="I173" s="665"/>
      <c r="J173" s="580"/>
      <c r="K173" s="664">
        <f>IF(AND(puntosproljor&lt;620,punbascar&lt;2200),750,1500)*C173</f>
        <v>750</v>
      </c>
      <c r="L173" s="665"/>
      <c r="M173" s="580"/>
      <c r="N173" s="597">
        <f>IF(AND(puntosproljor&lt;620,punbascar&lt;2200),660,1320)*C173</f>
        <v>660</v>
      </c>
      <c r="O173" s="598"/>
      <c r="P173" s="754"/>
      <c r="Q173" s="664">
        <f>IF(AND(puntosproljor&lt;620,punbascar&lt;2200),450,900)*C173</f>
        <v>450</v>
      </c>
      <c r="R173" s="665"/>
      <c r="S173" s="754"/>
    </row>
    <row r="174" spans="2:19" s="7" customFormat="1" ht="15.75">
      <c r="B174" s="571"/>
      <c r="C174" s="617"/>
      <c r="D174" s="642" t="s">
        <v>316</v>
      </c>
      <c r="E174" s="666">
        <f>SUM(E159:E173)</f>
        <v>25876.41791044776</v>
      </c>
      <c r="F174" s="667"/>
      <c r="G174" s="580"/>
      <c r="H174" s="666">
        <f>SUM(H159:H173)</f>
        <v>23508.134328358206</v>
      </c>
      <c r="I174" s="667"/>
      <c r="J174" s="580"/>
      <c r="K174" s="666">
        <f>SUM(K159:K173)</f>
        <v>21348.258706467663</v>
      </c>
      <c r="L174" s="667"/>
      <c r="M174" s="580"/>
      <c r="N174" s="600">
        <f>SUM(N159:N173)</f>
        <v>19187.81094527363</v>
      </c>
      <c r="O174" s="601"/>
      <c r="P174" s="754"/>
      <c r="Q174" s="666">
        <f>SUM(Q159:Q173)</f>
        <v>17252.487562189053</v>
      </c>
      <c r="R174" s="667"/>
      <c r="S174" s="754"/>
    </row>
    <row r="175" spans="2:19" s="7" customFormat="1" ht="15">
      <c r="B175" s="541" t="s">
        <v>303</v>
      </c>
      <c r="C175" s="625">
        <v>1</v>
      </c>
      <c r="D175" s="643" t="s">
        <v>315</v>
      </c>
      <c r="E175" s="664">
        <f>IF(AND(puntosproljor&lt;620,punbascar&lt;2200),1210,2420)*C175</f>
        <v>1210</v>
      </c>
      <c r="F175" s="665"/>
      <c r="G175" s="580"/>
      <c r="H175" s="664">
        <f>IF(AND(puntosproljor&lt;620,punbascar&lt;2200),1210,2420)*C175</f>
        <v>1210</v>
      </c>
      <c r="I175" s="665"/>
      <c r="J175" s="580"/>
      <c r="K175" s="664">
        <f>IF(AND(puntosproljor&lt;620,punbascar&lt;2200),1210,2420)*C175</f>
        <v>1210</v>
      </c>
      <c r="L175" s="665"/>
      <c r="M175" s="580"/>
      <c r="N175" s="597">
        <f>IF(AND(puntosproljor&lt;620,punbascar&lt;2200),1210,2420)*C175</f>
        <v>1210</v>
      </c>
      <c r="O175" s="598"/>
      <c r="P175" s="754"/>
      <c r="Q175" s="664">
        <f>IF(AND(puntosproljor&lt;620,punbascar&lt;2200),1210,2420)*C175</f>
        <v>1210</v>
      </c>
      <c r="R175" s="665"/>
      <c r="S175" s="754"/>
    </row>
    <row r="176" spans="2:19" s="7" customFormat="1" ht="15.75">
      <c r="B176" s="569" t="s">
        <v>309</v>
      </c>
      <c r="C176" s="626"/>
      <c r="D176" s="641" t="s">
        <v>318</v>
      </c>
      <c r="E176" s="668">
        <v>0</v>
      </c>
      <c r="F176" s="663"/>
      <c r="G176" s="580"/>
      <c r="H176" s="668">
        <v>0</v>
      </c>
      <c r="I176" s="663"/>
      <c r="J176" s="580"/>
      <c r="K176" s="668">
        <v>0</v>
      </c>
      <c r="L176" s="663"/>
      <c r="M176" s="580"/>
      <c r="N176" s="602">
        <v>0</v>
      </c>
      <c r="O176" s="596"/>
      <c r="P176" s="754"/>
      <c r="Q176" s="668">
        <v>0</v>
      </c>
      <c r="R176" s="663"/>
      <c r="S176" s="754"/>
    </row>
    <row r="177" spans="2:19" s="7" customFormat="1" ht="15.75">
      <c r="B177" s="544" t="s">
        <v>478</v>
      </c>
      <c r="C177" s="624">
        <v>1</v>
      </c>
      <c r="D177" s="636" t="s">
        <v>479</v>
      </c>
      <c r="E177" s="664">
        <f>IF(AND(puntosproljor&lt;620,punbascar&lt;2200),210,420)*C177</f>
        <v>210</v>
      </c>
      <c r="F177" s="665"/>
      <c r="G177" s="580"/>
      <c r="H177" s="664">
        <f>IF(AND(puntosproljor&lt;620,punbascar&lt;2200),210,420)*C177</f>
        <v>210</v>
      </c>
      <c r="I177" s="665"/>
      <c r="J177" s="580"/>
      <c r="K177" s="664">
        <f>IF(AND(puntosproljor&lt;620,punbascar&lt;2200),210,420)*C177</f>
        <v>210</v>
      </c>
      <c r="L177" s="665"/>
      <c r="M177" s="580"/>
      <c r="N177" s="597">
        <f>IF(AND(puntosproljor&lt;620,punbascar&lt;2200),210,420)*C177</f>
        <v>210</v>
      </c>
      <c r="O177" s="598"/>
      <c r="P177" s="754"/>
      <c r="Q177" s="664">
        <f>IF(AND(puntosproljor&lt;620,punbascar&lt;2200),210,420)*C177</f>
        <v>210</v>
      </c>
      <c r="R177" s="665"/>
      <c r="S177" s="754"/>
    </row>
    <row r="178" spans="2:19" s="7" customFormat="1" ht="15.75">
      <c r="B178" s="571"/>
      <c r="C178" s="627"/>
      <c r="D178" s="644" t="s">
        <v>1</v>
      </c>
      <c r="E178" s="666">
        <f>E174+E175+E176+E177</f>
        <v>27296.41791044776</v>
      </c>
      <c r="F178" s="669"/>
      <c r="G178" s="580"/>
      <c r="H178" s="666">
        <f>H174+H175+H176+H177</f>
        <v>24928.134328358206</v>
      </c>
      <c r="I178" s="669"/>
      <c r="J178" s="580"/>
      <c r="K178" s="666">
        <f>K174+K175+K176+K177</f>
        <v>22768.258706467663</v>
      </c>
      <c r="L178" s="669"/>
      <c r="M178" s="580"/>
      <c r="N178" s="600">
        <f>N174+N175+N176+N177</f>
        <v>20607.81094527363</v>
      </c>
      <c r="O178" s="593"/>
      <c r="P178" s="754"/>
      <c r="Q178" s="666">
        <f>Q174+Q175+Q176+Q177</f>
        <v>18672.487562189053</v>
      </c>
      <c r="R178" s="669"/>
      <c r="S178" s="754"/>
    </row>
    <row r="179" spans="2:19" s="7" customFormat="1" ht="15">
      <c r="B179" s="541" t="s">
        <v>335</v>
      </c>
      <c r="C179" s="568"/>
      <c r="D179" s="636" t="s">
        <v>336</v>
      </c>
      <c r="E179" s="670">
        <v>0</v>
      </c>
      <c r="F179" s="671">
        <f>-E179</f>
        <v>0</v>
      </c>
      <c r="G179" s="609"/>
      <c r="H179" s="670">
        <v>0</v>
      </c>
      <c r="I179" s="671">
        <f>-H179</f>
        <v>0</v>
      </c>
      <c r="J179" s="609"/>
      <c r="K179" s="670">
        <v>0</v>
      </c>
      <c r="L179" s="671">
        <f>-K179</f>
        <v>0</v>
      </c>
      <c r="M179" s="609"/>
      <c r="N179" s="545">
        <v>0</v>
      </c>
      <c r="O179" s="217">
        <f>-N179</f>
        <v>0</v>
      </c>
      <c r="P179" s="757"/>
      <c r="Q179" s="670">
        <v>0</v>
      </c>
      <c r="R179" s="671">
        <f>-Q179</f>
        <v>0</v>
      </c>
      <c r="S179" s="757"/>
    </row>
    <row r="180" spans="2:19" s="7" customFormat="1" ht="15.75">
      <c r="B180" s="573" t="s">
        <v>305</v>
      </c>
      <c r="C180" s="628">
        <v>0.16</v>
      </c>
      <c r="D180" s="645" t="s">
        <v>326</v>
      </c>
      <c r="E180" s="672"/>
      <c r="F180" s="673">
        <f>-totalremoct19*porjub-porjub*1.07*E170</f>
        <v>-4140.2268656716415</v>
      </c>
      <c r="G180" s="610"/>
      <c r="H180" s="672"/>
      <c r="I180" s="673">
        <f>-totalremjul19*porjub-porjub*1.07*H170</f>
        <v>-3761.3014925373136</v>
      </c>
      <c r="J180" s="610"/>
      <c r="K180" s="672"/>
      <c r="L180" s="673">
        <f>-totalremmay19*porjub-porjub*1.07*K170</f>
        <v>-3415.7213930348257</v>
      </c>
      <c r="M180" s="610"/>
      <c r="N180" s="604"/>
      <c r="O180" s="575">
        <f>-totalremmar19*porjub-porjub*1.07*N170</f>
        <v>-3070.0497512437805</v>
      </c>
      <c r="P180" s="758"/>
      <c r="Q180" s="672"/>
      <c r="R180" s="673">
        <f>-totalremdic18*porjub-porjub*1.07*Q170</f>
        <v>-2760.3980099502487</v>
      </c>
      <c r="S180" s="758"/>
    </row>
    <row r="181" spans="1:19" s="7" customFormat="1" ht="15.75">
      <c r="A181" s="548"/>
      <c r="B181" s="44" t="s">
        <v>306</v>
      </c>
      <c r="C181" s="629">
        <v>0.006</v>
      </c>
      <c r="D181" s="643" t="s">
        <v>323</v>
      </c>
      <c r="E181" s="674"/>
      <c r="F181" s="675">
        <f>-totalremoct19*porley-porley*1.07*E170</f>
        <v>-155.25850746268657</v>
      </c>
      <c r="G181" s="610"/>
      <c r="H181" s="674"/>
      <c r="I181" s="675">
        <f>-totalremjul19*porley-porley*1.07*H170</f>
        <v>-141.04880597014926</v>
      </c>
      <c r="J181" s="610"/>
      <c r="K181" s="674"/>
      <c r="L181" s="675">
        <f>-totalremmay19*porley-porley*1.07*K170</f>
        <v>-128.08955223880596</v>
      </c>
      <c r="M181" s="610"/>
      <c r="N181" s="605"/>
      <c r="O181" s="547">
        <f>-totalremmar19*porley-porley*1.07*N170</f>
        <v>-115.12686567164178</v>
      </c>
      <c r="P181" s="758"/>
      <c r="Q181" s="674"/>
      <c r="R181" s="675">
        <f>-totalremdic18*porley-porley*1.07*Q170</f>
        <v>-103.51492537313433</v>
      </c>
      <c r="S181" s="758"/>
    </row>
    <row r="182" spans="2:19" s="7" customFormat="1" ht="15.75">
      <c r="B182" s="573" t="s">
        <v>307</v>
      </c>
      <c r="C182" s="628">
        <v>0.03</v>
      </c>
      <c r="D182" s="645" t="s">
        <v>325</v>
      </c>
      <c r="E182" s="672"/>
      <c r="F182" s="673">
        <f>-totalremoct19*poros-E170*1.07*poros</f>
        <v>-776.2925373134327</v>
      </c>
      <c r="G182" s="610"/>
      <c r="H182" s="672"/>
      <c r="I182" s="673">
        <f>-totalremjul19*poros-H170*1.07*poros</f>
        <v>-705.2440298507463</v>
      </c>
      <c r="J182" s="610"/>
      <c r="K182" s="672"/>
      <c r="L182" s="673">
        <f>-totalremmay19*poros-K170*1.07*poros</f>
        <v>-640.4477611940298</v>
      </c>
      <c r="M182" s="610"/>
      <c r="N182" s="604"/>
      <c r="O182" s="575">
        <f>-totalremmar19*poros-N170*1.07*poros</f>
        <v>-575.6343283582089</v>
      </c>
      <c r="P182" s="758"/>
      <c r="Q182" s="672"/>
      <c r="R182" s="673">
        <f>-totalremdic18*poros-Q170*1.07*poros</f>
        <v>-517.5746268656716</v>
      </c>
      <c r="S182" s="758"/>
    </row>
    <row r="183" spans="2:19" s="7" customFormat="1" ht="15">
      <c r="B183" s="44" t="s">
        <v>308</v>
      </c>
      <c r="C183" s="630"/>
      <c r="D183" s="646" t="s">
        <v>324</v>
      </c>
      <c r="E183" s="670">
        <v>0</v>
      </c>
      <c r="F183" s="671">
        <f>-E183</f>
        <v>0</v>
      </c>
      <c r="G183" s="610"/>
      <c r="H183" s="670">
        <v>0</v>
      </c>
      <c r="I183" s="671">
        <f>-H183</f>
        <v>0</v>
      </c>
      <c r="J183" s="610"/>
      <c r="K183" s="670">
        <v>0</v>
      </c>
      <c r="L183" s="671">
        <f>-K183</f>
        <v>0</v>
      </c>
      <c r="M183" s="610"/>
      <c r="N183" s="545">
        <v>0</v>
      </c>
      <c r="O183" s="217">
        <f>-N183</f>
        <v>0</v>
      </c>
      <c r="P183" s="758"/>
      <c r="Q183" s="670">
        <v>0</v>
      </c>
      <c r="R183" s="671">
        <f>-Q183</f>
        <v>0</v>
      </c>
      <c r="S183" s="758"/>
    </row>
    <row r="184" spans="2:19" s="7" customFormat="1" ht="15">
      <c r="B184" s="573">
        <v>332</v>
      </c>
      <c r="C184" s="631">
        <v>0</v>
      </c>
      <c r="D184" s="647" t="s">
        <v>471</v>
      </c>
      <c r="E184" s="668"/>
      <c r="F184" s="673">
        <f>-totalremoct19*C184-E170*C184-(E175+E176)*C184</f>
        <v>0</v>
      </c>
      <c r="G184" s="610"/>
      <c r="H184" s="668"/>
      <c r="I184" s="673">
        <f>-totalremjul19*C184-H170*C184-(H175+H176)*C184</f>
        <v>0</v>
      </c>
      <c r="J184" s="610"/>
      <c r="K184" s="668"/>
      <c r="L184" s="673">
        <f>-totalremmay19*poragmer-K170*poragmer-(K175+K176)*poragmer</f>
        <v>0</v>
      </c>
      <c r="M184" s="610"/>
      <c r="N184" s="602"/>
      <c r="O184" s="575">
        <f>-totalremmar19*poragmer-N170*poragmer-(N175+N176)*poragmer</f>
        <v>0</v>
      </c>
      <c r="P184" s="758"/>
      <c r="Q184" s="668"/>
      <c r="R184" s="673">
        <f>-totalremdic18*poragmer-Q170*poragmer-(Q175+Q176)*poragmer</f>
        <v>0</v>
      </c>
      <c r="S184" s="758"/>
    </row>
    <row r="185" spans="2:19" s="7" customFormat="1" ht="15">
      <c r="B185" s="550"/>
      <c r="C185" s="632"/>
      <c r="D185" s="643" t="s">
        <v>2</v>
      </c>
      <c r="E185" s="676">
        <v>0</v>
      </c>
      <c r="F185" s="671">
        <f>-E185</f>
        <v>0</v>
      </c>
      <c r="G185" s="610"/>
      <c r="H185" s="676">
        <v>0</v>
      </c>
      <c r="I185" s="671">
        <f>-H185</f>
        <v>0</v>
      </c>
      <c r="J185" s="610"/>
      <c r="K185" s="676">
        <v>0</v>
      </c>
      <c r="L185" s="671">
        <f>-K185</f>
        <v>0</v>
      </c>
      <c r="M185" s="610"/>
      <c r="N185" s="606">
        <v>0</v>
      </c>
      <c r="O185" s="217">
        <f>-N185</f>
        <v>0</v>
      </c>
      <c r="P185" s="758"/>
      <c r="Q185" s="676">
        <v>0</v>
      </c>
      <c r="R185" s="671">
        <f>-Q185</f>
        <v>0</v>
      </c>
      <c r="S185" s="758"/>
    </row>
    <row r="186" spans="2:19" s="7" customFormat="1" ht="16.5" thickBot="1">
      <c r="B186" s="577"/>
      <c r="C186" s="627"/>
      <c r="D186" s="648" t="s">
        <v>3</v>
      </c>
      <c r="E186" s="677"/>
      <c r="F186" s="678">
        <f>SUM(F179:F185)</f>
        <v>-5071.777910447761</v>
      </c>
      <c r="G186" s="417"/>
      <c r="H186" s="677"/>
      <c r="I186" s="678">
        <f>SUM(I179:I185)</f>
        <v>-4607.594328358209</v>
      </c>
      <c r="J186" s="417"/>
      <c r="K186" s="677"/>
      <c r="L186" s="678">
        <f>SUM(L179:L185)</f>
        <v>-4184.258706467662</v>
      </c>
      <c r="M186" s="417"/>
      <c r="N186" s="607"/>
      <c r="O186" s="608">
        <f>SUM(O179:O185)</f>
        <v>-3760.8109452736317</v>
      </c>
      <c r="P186" s="759"/>
      <c r="Q186" s="677"/>
      <c r="R186" s="678">
        <f>SUM(R179:R185)</f>
        <v>-3381.4875621890546</v>
      </c>
      <c r="S186" s="759"/>
    </row>
    <row r="187" spans="2:19" s="7" customFormat="1" ht="13.5" thickBot="1">
      <c r="B187" s="582"/>
      <c r="D187" s="551"/>
      <c r="F187" s="3"/>
      <c r="G187" s="372"/>
      <c r="I187" s="3"/>
      <c r="J187" s="372"/>
      <c r="L187" s="3"/>
      <c r="M187" s="372"/>
      <c r="O187" s="3"/>
      <c r="P187" s="372"/>
      <c r="R187" s="3"/>
      <c r="S187" s="372"/>
    </row>
    <row r="188" spans="2:19" s="7" customFormat="1" ht="24.75" thickBot="1" thickTop="1">
      <c r="B188" s="368"/>
      <c r="D188" s="448"/>
      <c r="E188" s="552" t="s">
        <v>4</v>
      </c>
      <c r="F188" s="553">
        <f>E178+F186</f>
        <v>22224.64</v>
      </c>
      <c r="G188" s="372"/>
      <c r="H188" s="552" t="s">
        <v>4</v>
      </c>
      <c r="I188" s="553">
        <f>H178+I186</f>
        <v>20320.539999999997</v>
      </c>
      <c r="J188" s="372"/>
      <c r="K188" s="552" t="s">
        <v>4</v>
      </c>
      <c r="L188" s="553">
        <f>K178+L186</f>
        <v>18584</v>
      </c>
      <c r="M188" s="372"/>
      <c r="N188" s="552" t="s">
        <v>4</v>
      </c>
      <c r="O188" s="553">
        <f>N178+O186</f>
        <v>16847</v>
      </c>
      <c r="P188" s="372"/>
      <c r="Q188" s="552" t="s">
        <v>4</v>
      </c>
      <c r="R188" s="553">
        <f>Q178+R186</f>
        <v>15290.999999999998</v>
      </c>
      <c r="S188" s="372"/>
    </row>
    <row r="189" spans="2:19" s="7" customFormat="1" ht="16.5" thickTop="1">
      <c r="B189" s="368"/>
      <c r="C189" s="176"/>
      <c r="D189" s="791"/>
      <c r="E189" s="554"/>
      <c r="F189" s="555"/>
      <c r="G189" s="372"/>
      <c r="H189" s="554"/>
      <c r="I189" s="555"/>
      <c r="J189" s="372"/>
      <c r="K189" s="554"/>
      <c r="L189" s="555"/>
      <c r="M189" s="372"/>
      <c r="N189" s="554"/>
      <c r="O189" s="555"/>
      <c r="P189" s="372"/>
      <c r="Q189" s="554"/>
      <c r="R189" s="555"/>
      <c r="S189" s="372"/>
    </row>
    <row r="190" spans="2:19" ht="15.75">
      <c r="B190" s="117"/>
      <c r="C190" s="116"/>
      <c r="D190" s="787"/>
      <c r="E190" s="4" t="s">
        <v>381</v>
      </c>
      <c r="F190" s="12"/>
      <c r="G190" s="372"/>
      <c r="H190" s="4" t="s">
        <v>381</v>
      </c>
      <c r="I190" s="12"/>
      <c r="J190" s="372"/>
      <c r="K190" s="4" t="s">
        <v>381</v>
      </c>
      <c r="L190" s="12"/>
      <c r="M190" s="372"/>
      <c r="N190" s="4" t="s">
        <v>381</v>
      </c>
      <c r="O190" s="12"/>
      <c r="P190" s="372"/>
      <c r="Q190" s="4" t="s">
        <v>381</v>
      </c>
      <c r="R190" s="12"/>
      <c r="S190" s="372"/>
    </row>
    <row r="191" spans="2:19" ht="15.75">
      <c r="B191" s="117"/>
      <c r="C191" s="116"/>
      <c r="D191" s="787"/>
      <c r="E191" s="11">
        <f>E159+E160+E161+E162+E163+E164+E167+E168+E169+F179+E173+((E159+E160+E161+E162+E163+E164+E167+E168+E169+E179+E173)*0.07)</f>
        <v>20459.693926618034</v>
      </c>
      <c r="F191" s="12"/>
      <c r="G191" s="372"/>
      <c r="H191" s="11">
        <f>H159+H160+H161+H162+H163+H164+H167+H168+H169+I179+H173+((H159+H160+H161+H162+H163+H164+H167+H168+H169+H179+H173)*0.07)</f>
        <v>18706.868105736063</v>
      </c>
      <c r="I191" s="12"/>
      <c r="J191" s="372"/>
      <c r="K191" s="11">
        <f>K159+K160+K161+K162+K163+K164+K167+K168+K169+L179+K173+((K159+K160+K161+K162+K163+K164+K167+K168+K169+K179+K173)*0.07)</f>
        <v>17126.609496999998</v>
      </c>
      <c r="L191" s="12"/>
      <c r="M191" s="372"/>
      <c r="N191" s="11">
        <f>N159+N160+N161+N162+N163+N164+N167+N168+N169+O179+N173+((N159+N160+N161+N162+N163+N164+N167+N168+N169+N179+N173)*0.07)</f>
        <v>15424.6896032</v>
      </c>
      <c r="O191" s="12"/>
      <c r="P191" s="372"/>
      <c r="Q191" s="11">
        <f>Q159+Q160+Q161+Q162+Q163+Q164+Q167+Q168+Q169+R179+Q173+((Q159+Q160+Q161+Q162+Q163+Q164+Q167+Q168+Q169+Q179+Q173)*0.07)</f>
        <v>13861.210268399998</v>
      </c>
      <c r="R191" s="12"/>
      <c r="S191" s="372"/>
    </row>
    <row r="192" spans="2:19" ht="16.5" thickBot="1">
      <c r="B192" s="117"/>
      <c r="C192" s="116"/>
      <c r="D192" s="787"/>
      <c r="E192" s="95"/>
      <c r="F192" s="12"/>
      <c r="G192" s="372"/>
      <c r="H192" s="95"/>
      <c r="I192" s="12"/>
      <c r="J192" s="372"/>
      <c r="K192" s="95"/>
      <c r="L192" s="12"/>
      <c r="M192" s="372"/>
      <c r="N192" s="95"/>
      <c r="O192" s="12"/>
      <c r="P192" s="372"/>
      <c r="Q192" s="95"/>
      <c r="R192" s="12"/>
      <c r="S192" s="372"/>
    </row>
    <row r="193" spans="2:19" ht="18">
      <c r="B193" s="117"/>
      <c r="C193" s="116"/>
      <c r="D193" s="787"/>
      <c r="E193" s="405" t="s">
        <v>372</v>
      </c>
      <c r="F193" s="406">
        <f>F188-I188</f>
        <v>1904.1000000000022</v>
      </c>
      <c r="G193" s="372"/>
      <c r="H193" s="405" t="s">
        <v>372</v>
      </c>
      <c r="I193" s="406">
        <f>I188-L188</f>
        <v>1736.5399999999972</v>
      </c>
      <c r="J193" s="372"/>
      <c r="K193" s="405" t="s">
        <v>372</v>
      </c>
      <c r="L193" s="406">
        <f>L188-O188</f>
        <v>1737</v>
      </c>
      <c r="M193" s="372"/>
      <c r="N193" s="405" t="s">
        <v>372</v>
      </c>
      <c r="O193" s="406">
        <f>O188-R188</f>
        <v>1556.0000000000018</v>
      </c>
      <c r="P193" s="372"/>
      <c r="Q193" s="405" t="s">
        <v>372</v>
      </c>
      <c r="R193" s="406"/>
      <c r="S193" s="372"/>
    </row>
    <row r="194" spans="4:19" ht="18.75" thickBot="1">
      <c r="D194" s="435"/>
      <c r="E194" s="407" t="s">
        <v>373</v>
      </c>
      <c r="F194" s="408">
        <f>F193/R188</f>
        <v>0.12452422993918007</v>
      </c>
      <c r="G194" s="412"/>
      <c r="H194" s="407" t="s">
        <v>373</v>
      </c>
      <c r="I194" s="408">
        <f>I193/R188</f>
        <v>0.11356615002288911</v>
      </c>
      <c r="J194" s="412"/>
      <c r="K194" s="407" t="s">
        <v>373</v>
      </c>
      <c r="L194" s="408">
        <f>L193/R188</f>
        <v>0.11359623307828136</v>
      </c>
      <c r="M194" s="412"/>
      <c r="N194" s="407" t="s">
        <v>373</v>
      </c>
      <c r="O194" s="408">
        <f>O193/R188</f>
        <v>0.10175920476097064</v>
      </c>
      <c r="P194" s="412"/>
      <c r="Q194" s="407" t="s">
        <v>373</v>
      </c>
      <c r="R194" s="408"/>
      <c r="S194" s="412"/>
    </row>
    <row r="195" spans="2:19" ht="24" customHeight="1" thickBot="1">
      <c r="B195" s="117"/>
      <c r="C195" s="176"/>
      <c r="D195" s="437"/>
      <c r="G195" s="95" t="s">
        <v>496</v>
      </c>
      <c r="J195" s="95" t="s">
        <v>496</v>
      </c>
      <c r="M195" s="95" t="s">
        <v>496</v>
      </c>
      <c r="N195" s="95" t="s">
        <v>496</v>
      </c>
      <c r="P195" s="95" t="s">
        <v>496</v>
      </c>
      <c r="Q195" s="95"/>
      <c r="S195" s="413"/>
    </row>
    <row r="196" spans="2:19" ht="21" customHeight="1" thickBot="1">
      <c r="B196" s="117"/>
      <c r="C196" s="176"/>
      <c r="D196" s="437"/>
      <c r="E196" s="784" t="s">
        <v>526</v>
      </c>
      <c r="F196" s="525">
        <f>F188-R188</f>
        <v>6933.640000000001</v>
      </c>
      <c r="G196" s="419" t="s">
        <v>372</v>
      </c>
      <c r="H196" s="524"/>
      <c r="I196" s="525">
        <f>I188-R188</f>
        <v>5029.539999999999</v>
      </c>
      <c r="J196" s="419" t="s">
        <v>372</v>
      </c>
      <c r="K196" s="524"/>
      <c r="L196" s="525">
        <f>L188-R188</f>
        <v>3293.000000000002</v>
      </c>
      <c r="M196" s="419" t="s">
        <v>372</v>
      </c>
      <c r="N196" s="419" t="s">
        <v>372</v>
      </c>
      <c r="O196" s="525">
        <f>O188-R188</f>
        <v>1556.0000000000018</v>
      </c>
      <c r="P196" s="419" t="s">
        <v>372</v>
      </c>
      <c r="Q196" s="419"/>
      <c r="R196" s="420"/>
      <c r="S196" s="414"/>
    </row>
    <row r="197" spans="2:19" ht="21" customHeight="1" thickBot="1">
      <c r="B197" s="117"/>
      <c r="C197" s="176"/>
      <c r="D197" s="437"/>
      <c r="E197" s="784" t="s">
        <v>527</v>
      </c>
      <c r="F197" s="526">
        <f>F196/R188</f>
        <v>0.45344581780132115</v>
      </c>
      <c r="G197" s="421" t="s">
        <v>373</v>
      </c>
      <c r="H197" s="524"/>
      <c r="I197" s="526">
        <f>I196/R188</f>
        <v>0.3289215878621411</v>
      </c>
      <c r="J197" s="421" t="s">
        <v>373</v>
      </c>
      <c r="K197" s="524"/>
      <c r="L197" s="526">
        <f>L196/R188</f>
        <v>0.21535543783925198</v>
      </c>
      <c r="M197" s="421" t="s">
        <v>373</v>
      </c>
      <c r="N197" s="421" t="s">
        <v>373</v>
      </c>
      <c r="O197" s="526">
        <f>O196/R188</f>
        <v>0.10175920476097064</v>
      </c>
      <c r="P197" s="421" t="s">
        <v>373</v>
      </c>
      <c r="Q197" s="421"/>
      <c r="R197" s="422"/>
      <c r="S197" s="415"/>
    </row>
    <row r="198" spans="2:19" ht="21" customHeight="1" thickBot="1">
      <c r="B198" s="117"/>
      <c r="C198" s="176"/>
      <c r="D198" s="437"/>
      <c r="Q198" s="457"/>
      <c r="R198" s="458"/>
      <c r="S198" s="415"/>
    </row>
    <row r="199" spans="2:19" ht="21" customHeight="1" thickBot="1" thickTop="1">
      <c r="B199" s="117"/>
      <c r="C199" s="176"/>
      <c r="D199" s="437"/>
      <c r="E199" s="459" t="s">
        <v>483</v>
      </c>
      <c r="F199" s="460"/>
      <c r="H199" s="459" t="s">
        <v>483</v>
      </c>
      <c r="I199" s="460"/>
      <c r="K199" s="459" t="s">
        <v>483</v>
      </c>
      <c r="L199" s="460"/>
      <c r="N199" s="459" t="s">
        <v>483</v>
      </c>
      <c r="O199" s="460"/>
      <c r="Q199" s="459" t="s">
        <v>483</v>
      </c>
      <c r="R199" s="460"/>
      <c r="S199" s="415"/>
    </row>
    <row r="200" spans="2:19" ht="21" customHeight="1" thickBot="1">
      <c r="B200" s="117"/>
      <c r="C200" s="176"/>
      <c r="D200" s="437"/>
      <c r="E200" s="461" t="s">
        <v>484</v>
      </c>
      <c r="F200" s="462">
        <f>(E159+E160+E161+E162+E163+E164+E165+E166+E167+E168+E169+E170+E173)*0.5</f>
        <v>12938.20895522388</v>
      </c>
      <c r="H200" s="461" t="s">
        <v>484</v>
      </c>
      <c r="I200" s="462">
        <f>(H159+H160+H161+H162+H163+H164+H165+H166+H167+H168+H169+H170+H173)*0.5</f>
        <v>11754.067164179103</v>
      </c>
      <c r="K200" s="461" t="s">
        <v>484</v>
      </c>
      <c r="L200" s="462">
        <f>(K159+K160+K161+K162+K163+K164+K165+K166+K167+K168+K169+K170+K173)*0.5</f>
        <v>10674.129353233831</v>
      </c>
      <c r="N200" s="461" t="s">
        <v>484</v>
      </c>
      <c r="O200" s="462">
        <f>(N159+N160+N161+N162+N163+N164+N165+N166+N167+N168+N169+N170+N173)*0.5</f>
        <v>9593.905472636816</v>
      </c>
      <c r="Q200" s="461" t="s">
        <v>484</v>
      </c>
      <c r="R200" s="462">
        <f>(Q159+Q160+Q161+Q162+Q163+Q164+Q165+Q166+Q167+Q168+Q169+Q170+Q173)*0.5</f>
        <v>8626.243781094527</v>
      </c>
      <c r="S200" s="415"/>
    </row>
    <row r="201" spans="2:19" ht="21" customHeight="1" thickBot="1">
      <c r="B201" s="117"/>
      <c r="C201" s="176"/>
      <c r="D201" s="437"/>
      <c r="E201" s="463" t="s">
        <v>485</v>
      </c>
      <c r="F201" s="464"/>
      <c r="H201" s="463" t="s">
        <v>485</v>
      </c>
      <c r="I201" s="464"/>
      <c r="K201" s="463" t="s">
        <v>485</v>
      </c>
      <c r="L201" s="464"/>
      <c r="N201" s="463" t="s">
        <v>485</v>
      </c>
      <c r="O201" s="464"/>
      <c r="Q201" s="463" t="s">
        <v>485</v>
      </c>
      <c r="R201" s="464"/>
      <c r="S201" s="415"/>
    </row>
    <row r="202" spans="2:19" ht="21" customHeight="1">
      <c r="B202" s="117"/>
      <c r="C202" s="176"/>
      <c r="D202" s="437"/>
      <c r="E202" s="477" t="s">
        <v>489</v>
      </c>
      <c r="F202" s="476">
        <f>F200*0.804</f>
        <v>10402.32</v>
      </c>
      <c r="H202" s="477" t="s">
        <v>489</v>
      </c>
      <c r="I202" s="476">
        <f>I200*0.804</f>
        <v>9450.27</v>
      </c>
      <c r="K202" s="477" t="s">
        <v>489</v>
      </c>
      <c r="L202" s="476">
        <f>L200*0.804</f>
        <v>8582.000000000002</v>
      </c>
      <c r="N202" s="477" t="s">
        <v>489</v>
      </c>
      <c r="O202" s="476">
        <f>O200*0.804</f>
        <v>7713.5</v>
      </c>
      <c r="Q202" s="477" t="s">
        <v>489</v>
      </c>
      <c r="R202" s="476">
        <f>R200*0.804</f>
        <v>6935.5</v>
      </c>
      <c r="S202" s="415"/>
    </row>
    <row r="203" spans="2:19" ht="21" customHeight="1">
      <c r="B203" s="117"/>
      <c r="C203" s="176"/>
      <c r="D203" s="437"/>
      <c r="E203" s="465" t="s">
        <v>486</v>
      </c>
      <c r="F203" s="466"/>
      <c r="H203" s="465" t="s">
        <v>486</v>
      </c>
      <c r="I203" s="466"/>
      <c r="K203" s="465" t="s">
        <v>486</v>
      </c>
      <c r="L203" s="466"/>
      <c r="N203" s="465" t="s">
        <v>486</v>
      </c>
      <c r="O203" s="466"/>
      <c r="Q203" s="465" t="s">
        <v>486</v>
      </c>
      <c r="R203" s="466"/>
      <c r="S203" s="415"/>
    </row>
    <row r="204" spans="2:19" ht="21" customHeight="1">
      <c r="B204" s="117"/>
      <c r="C204" s="176"/>
      <c r="D204" s="437"/>
      <c r="E204" s="465">
        <v>502</v>
      </c>
      <c r="F204" s="467">
        <f>-(totalremoct19+F200+E170)*0.16</f>
        <v>-6153.641879237469</v>
      </c>
      <c r="H204" s="465">
        <v>502</v>
      </c>
      <c r="I204" s="467">
        <f>-(totalremjul19+I200+H170)*0.16</f>
        <v>-5591.695994232729</v>
      </c>
      <c r="K204" s="465">
        <v>502</v>
      </c>
      <c r="L204" s="467">
        <f>-(totalremmay19+L200+K170)*0.16</f>
        <v>-5079.39286418211</v>
      </c>
      <c r="N204" s="465">
        <v>502</v>
      </c>
      <c r="O204" s="467">
        <f>-(totalremmar19+O200+N170)*0.16</f>
        <v>-4565.684945528078</v>
      </c>
      <c r="Q204" s="465">
        <v>502</v>
      </c>
      <c r="R204" s="467">
        <f>-(totalremdic18+R200+Q170)*0.16</f>
        <v>-4105.099532971693</v>
      </c>
      <c r="S204" s="415"/>
    </row>
    <row r="205" spans="2:19" ht="21" customHeight="1">
      <c r="B205" s="117"/>
      <c r="C205" s="176"/>
      <c r="D205" s="437"/>
      <c r="E205" s="465">
        <v>504</v>
      </c>
      <c r="F205" s="467">
        <f>-(totalremoct19+F200+E170)*0.006</f>
        <v>-230.7615704714051</v>
      </c>
      <c r="H205" s="465">
        <v>504</v>
      </c>
      <c r="I205" s="467">
        <f>-(totalremjul19+I200+H170)*0.006</f>
        <v>-209.68859978372734</v>
      </c>
      <c r="K205" s="465">
        <v>504</v>
      </c>
      <c r="L205" s="467">
        <f>-(totalremmay19+L200+K170)*0.006</f>
        <v>-190.47723240682913</v>
      </c>
      <c r="N205" s="465">
        <v>504</v>
      </c>
      <c r="O205" s="467">
        <f>-(totalremmar19+O200+N170)*0.006</f>
        <v>-171.21318545730293</v>
      </c>
      <c r="Q205" s="465">
        <v>504</v>
      </c>
      <c r="R205" s="467">
        <f>-(totalremdic18+R200+Q170)*0.006</f>
        <v>-153.94123248643848</v>
      </c>
      <c r="S205" s="415"/>
    </row>
    <row r="206" spans="2:19" ht="21" customHeight="1">
      <c r="B206" s="117"/>
      <c r="C206" s="176"/>
      <c r="D206" s="437"/>
      <c r="E206" s="465">
        <v>505</v>
      </c>
      <c r="F206" s="467">
        <f>-(totalremoct19+F200+E170)*0.03</f>
        <v>-1153.8078523570255</v>
      </c>
      <c r="H206" s="465">
        <v>505</v>
      </c>
      <c r="I206" s="467">
        <f>-(totalremjul19+I200+H170)*0.03</f>
        <v>-1048.4429989186367</v>
      </c>
      <c r="K206" s="465">
        <v>505</v>
      </c>
      <c r="L206" s="467">
        <f>-(totalremmay19+L200+K170)*0.03</f>
        <v>-952.3861620341456</v>
      </c>
      <c r="N206" s="465">
        <v>505</v>
      </c>
      <c r="O206" s="467">
        <f>-(totalremmar19+O200+N170)*0.03</f>
        <v>-856.0659272865147</v>
      </c>
      <c r="Q206" s="465">
        <v>505</v>
      </c>
      <c r="R206" s="467">
        <f>-(totalremdic18+R200+Q170)*0.03</f>
        <v>-769.7061624321924</v>
      </c>
      <c r="S206" s="415"/>
    </row>
    <row r="207" spans="2:19" ht="21" customHeight="1">
      <c r="B207" s="117"/>
      <c r="C207" s="176"/>
      <c r="D207" s="437"/>
      <c r="E207" s="468"/>
      <c r="F207" s="466"/>
      <c r="H207" s="468"/>
      <c r="I207" s="466"/>
      <c r="K207" s="468"/>
      <c r="L207" s="466"/>
      <c r="N207" s="468"/>
      <c r="O207" s="466"/>
      <c r="Q207" s="468"/>
      <c r="R207" s="466"/>
      <c r="S207" s="415"/>
    </row>
    <row r="208" spans="2:19" ht="21" customHeight="1" thickBot="1">
      <c r="B208" s="117"/>
      <c r="C208" s="176"/>
      <c r="D208" s="437"/>
      <c r="E208" s="469" t="s">
        <v>487</v>
      </c>
      <c r="F208" s="470"/>
      <c r="H208" s="469" t="s">
        <v>487</v>
      </c>
      <c r="I208" s="470"/>
      <c r="K208" s="469" t="s">
        <v>487</v>
      </c>
      <c r="L208" s="470"/>
      <c r="N208" s="469" t="s">
        <v>487</v>
      </c>
      <c r="O208" s="470"/>
      <c r="Q208" s="469" t="s">
        <v>487</v>
      </c>
      <c r="R208" s="470"/>
      <c r="S208" s="415"/>
    </row>
    <row r="209" spans="2:19" ht="21" customHeight="1" thickBot="1">
      <c r="B209" s="117"/>
      <c r="C209" s="176"/>
      <c r="D209" s="437"/>
      <c r="E209" s="469"/>
      <c r="F209" s="471">
        <f>E178+F200+F201+F204+F205+F206</f>
        <v>32696.415563605744</v>
      </c>
      <c r="H209" s="469"/>
      <c r="I209" s="471">
        <f>H178+I200+I201+I204+I205+I206</f>
        <v>29832.373899602215</v>
      </c>
      <c r="K209" s="469"/>
      <c r="L209" s="471">
        <f>K178+L200+L201+L204+L205+L206</f>
        <v>27220.13180107841</v>
      </c>
      <c r="N209" s="469"/>
      <c r="O209" s="471">
        <f>N178+O200+O201+O204+O205+O206</f>
        <v>24608.75235963855</v>
      </c>
      <c r="Q209" s="469"/>
      <c r="R209" s="471">
        <f>Q178+R200+R201+R204+R205+R206</f>
        <v>22269.984415393254</v>
      </c>
      <c r="S209" s="415"/>
    </row>
    <row r="210" spans="2:19" ht="21" customHeight="1">
      <c r="B210" s="117"/>
      <c r="C210" s="176"/>
      <c r="D210" s="437"/>
      <c r="E210" s="472" t="s">
        <v>488</v>
      </c>
      <c r="F210" s="473"/>
      <c r="H210" s="472" t="s">
        <v>488</v>
      </c>
      <c r="I210" s="473"/>
      <c r="K210" s="472" t="s">
        <v>488</v>
      </c>
      <c r="L210" s="473"/>
      <c r="N210" s="472" t="s">
        <v>488</v>
      </c>
      <c r="O210" s="473"/>
      <c r="Q210" s="472" t="s">
        <v>488</v>
      </c>
      <c r="R210" s="473"/>
      <c r="S210" s="415"/>
    </row>
    <row r="211" spans="2:19" ht="21" customHeight="1" thickBot="1">
      <c r="B211" s="117"/>
      <c r="C211" s="176"/>
      <c r="D211" s="437"/>
      <c r="E211" s="474"/>
      <c r="F211" s="475">
        <f>F209-F188+F184</f>
        <v>10471.775563605745</v>
      </c>
      <c r="H211" s="474"/>
      <c r="I211" s="475">
        <f>I209-I188+I184</f>
        <v>9511.833899602218</v>
      </c>
      <c r="K211" s="474"/>
      <c r="L211" s="475">
        <f>L209-L188+L184</f>
        <v>8636.131801078409</v>
      </c>
      <c r="N211" s="474"/>
      <c r="O211" s="475">
        <f>O209-O188+O184</f>
        <v>7761.752359638551</v>
      </c>
      <c r="Q211" s="474"/>
      <c r="R211" s="475">
        <f>R209-R188+R184</f>
        <v>6978.984415393255</v>
      </c>
      <c r="S211" s="415"/>
    </row>
    <row r="212" spans="2:19" ht="21" customHeight="1" thickTop="1">
      <c r="B212" s="117"/>
      <c r="C212" s="176"/>
      <c r="D212" s="437"/>
      <c r="F212" s="516">
        <f>(F211-R211)/R211</f>
        <v>0.5004726963580238</v>
      </c>
      <c r="I212" s="516">
        <f>(I211-R211)/R211</f>
        <v>0.3629252242808225</v>
      </c>
      <c r="L212" s="516">
        <f>(L211-R211)/R211</f>
        <v>0.23744821410262107</v>
      </c>
      <c r="O212" s="516">
        <f>(O211-R211)/R211</f>
        <v>0.11216072391833642</v>
      </c>
      <c r="R212" s="479"/>
      <c r="S212" s="415"/>
    </row>
    <row r="213" spans="2:19" ht="28.5" customHeight="1">
      <c r="B213" s="117"/>
      <c r="C213" s="176"/>
      <c r="D213" s="437"/>
      <c r="O213" s="9"/>
      <c r="R213" s="9"/>
      <c r="S213" s="373"/>
    </row>
    <row r="214" spans="1:19" ht="33">
      <c r="A214" s="3"/>
      <c r="B214" s="3"/>
      <c r="D214" s="435"/>
      <c r="E214" s="779" t="s">
        <v>516</v>
      </c>
      <c r="F214" s="780"/>
      <c r="G214" s="781"/>
      <c r="H214" s="769" t="s">
        <v>513</v>
      </c>
      <c r="I214" s="770"/>
      <c r="K214" s="504">
        <v>43586</v>
      </c>
      <c r="L214" s="512"/>
      <c r="N214" s="503">
        <v>43525</v>
      </c>
      <c r="O214" s="511"/>
      <c r="Q214" s="495" t="s">
        <v>495</v>
      </c>
      <c r="R214" s="496"/>
      <c r="S214" s="497"/>
    </row>
    <row r="215" spans="2:19" s="147" customFormat="1" ht="22.5" customHeight="1">
      <c r="B215" s="151"/>
      <c r="C215" s="149"/>
      <c r="D215" s="438"/>
      <c r="Q215" s="149"/>
      <c r="R215" s="149"/>
      <c r="S215" s="372"/>
    </row>
    <row r="216" ht="12.75">
      <c r="D216" s="435"/>
    </row>
    <row r="217" spans="3:4" ht="27">
      <c r="C217" s="155" t="s">
        <v>6</v>
      </c>
      <c r="D217" s="435"/>
    </row>
    <row r="218" ht="13.5" thickBot="1">
      <c r="D218" s="435"/>
    </row>
    <row r="219" spans="2:18" ht="16.5" thickBot="1">
      <c r="B219" s="93" t="s">
        <v>7</v>
      </c>
      <c r="C219" s="42"/>
      <c r="D219" s="439">
        <v>36</v>
      </c>
      <c r="R219" s="176"/>
    </row>
    <row r="220" spans="2:18" ht="16.5" thickBot="1">
      <c r="B220" s="93" t="s">
        <v>344</v>
      </c>
      <c r="C220" s="42"/>
      <c r="D220" s="440">
        <v>24</v>
      </c>
      <c r="R220" s="176"/>
    </row>
    <row r="221" spans="4:18" ht="16.5" thickBot="1">
      <c r="D221" s="430">
        <f>LOOKUP(D220,D18:D29,E18:E29)</f>
        <v>1.2</v>
      </c>
      <c r="Q221" s="174"/>
      <c r="R221" s="484"/>
    </row>
    <row r="222" spans="2:19" ht="27.75" thickBot="1">
      <c r="B222" s="556" t="s">
        <v>357</v>
      </c>
      <c r="C222" s="557"/>
      <c r="D222" s="558"/>
      <c r="Q222" s="174"/>
      <c r="R222" s="487"/>
      <c r="S222" s="155"/>
    </row>
    <row r="223" spans="2:18" ht="26.25" customHeight="1" thickBot="1">
      <c r="B223" s="559" t="s">
        <v>358</v>
      </c>
      <c r="C223" s="3"/>
      <c r="D223" s="560">
        <v>36</v>
      </c>
      <c r="Q223" s="174"/>
      <c r="R223" s="488"/>
    </row>
    <row r="224" spans="2:18" ht="16.5" thickBot="1">
      <c r="B224" s="559" t="s">
        <v>359</v>
      </c>
      <c r="C224" s="3"/>
      <c r="D224" s="560">
        <v>36</v>
      </c>
      <c r="R224" s="176"/>
    </row>
    <row r="225" spans="2:18" ht="16.5" thickBot="1">
      <c r="B225" s="561" t="s">
        <v>491</v>
      </c>
      <c r="C225" s="3"/>
      <c r="D225" s="767">
        <v>1</v>
      </c>
      <c r="E225" s="1" t="s">
        <v>490</v>
      </c>
      <c r="H225" s="1" t="s">
        <v>490</v>
      </c>
      <c r="K225" s="1" t="s">
        <v>490</v>
      </c>
      <c r="R225" s="176"/>
    </row>
    <row r="226" spans="2:18" ht="16.5" thickBot="1">
      <c r="B226" s="562" t="s">
        <v>394</v>
      </c>
      <c r="C226" s="563"/>
      <c r="D226" s="766">
        <v>0</v>
      </c>
      <c r="R226" s="176"/>
    </row>
    <row r="227" spans="2:18" ht="15.75">
      <c r="B227" s="744"/>
      <c r="C227" s="745"/>
      <c r="D227" s="432"/>
      <c r="R227" s="176"/>
    </row>
    <row r="228" spans="2:17" ht="27">
      <c r="B228" s="174"/>
      <c r="C228" s="174"/>
      <c r="D228" s="444"/>
      <c r="Q228" s="155" t="s">
        <v>6</v>
      </c>
    </row>
    <row r="229" spans="2:19" ht="18.75" thickBot="1">
      <c r="B229" s="67" t="s">
        <v>5</v>
      </c>
      <c r="C229" s="98"/>
      <c r="D229" s="433">
        <f>canthormed*64.73</f>
        <v>2330.28</v>
      </c>
      <c r="R229" s="131"/>
      <c r="S229" s="131"/>
    </row>
    <row r="230" spans="2:19" ht="18.75" thickBot="1">
      <c r="B230" s="131"/>
      <c r="C230" s="490"/>
      <c r="D230" s="491"/>
      <c r="R230" s="131"/>
      <c r="S230" s="131"/>
    </row>
    <row r="231" spans="2:19" s="4" customFormat="1" ht="13.5" thickTop="1">
      <c r="B231" s="518"/>
      <c r="C231" s="519"/>
      <c r="D231" s="520"/>
      <c r="R231" s="6"/>
      <c r="S231" s="6"/>
    </row>
    <row r="232" spans="2:19" ht="33.75" thickBot="1">
      <c r="B232" s="358"/>
      <c r="D232" s="445"/>
      <c r="E232" s="779" t="s">
        <v>516</v>
      </c>
      <c r="F232" s="780"/>
      <c r="G232" s="781"/>
      <c r="H232" s="769" t="s">
        <v>513</v>
      </c>
      <c r="I232" s="770"/>
      <c r="J232" s="372"/>
      <c r="K232" s="504">
        <v>43586</v>
      </c>
      <c r="L232" s="512"/>
      <c r="M232" s="372"/>
      <c r="N232" s="503">
        <v>43525</v>
      </c>
      <c r="O232" s="511"/>
      <c r="P232" s="578"/>
      <c r="Q232" s="495" t="s">
        <v>495</v>
      </c>
      <c r="R232" s="496"/>
      <c r="S232" s="372"/>
    </row>
    <row r="233" spans="2:19" s="7" customFormat="1" ht="13.5" thickBot="1">
      <c r="B233" s="537" t="s">
        <v>349</v>
      </c>
      <c r="C233" s="538" t="s">
        <v>348</v>
      </c>
      <c r="D233" s="539" t="s">
        <v>320</v>
      </c>
      <c r="E233" s="538" t="s">
        <v>321</v>
      </c>
      <c r="F233" s="540" t="s">
        <v>322</v>
      </c>
      <c r="G233" s="372"/>
      <c r="H233" s="538" t="s">
        <v>321</v>
      </c>
      <c r="I233" s="540" t="s">
        <v>322</v>
      </c>
      <c r="J233" s="372"/>
      <c r="K233" s="538" t="s">
        <v>321</v>
      </c>
      <c r="L233" s="540" t="s">
        <v>322</v>
      </c>
      <c r="M233" s="372"/>
      <c r="N233" s="538" t="s">
        <v>321</v>
      </c>
      <c r="O233" s="540" t="s">
        <v>322</v>
      </c>
      <c r="P233" s="372"/>
      <c r="Q233" s="538" t="s">
        <v>321</v>
      </c>
      <c r="R233" s="540" t="s">
        <v>322</v>
      </c>
      <c r="S233" s="372"/>
    </row>
    <row r="234" spans="2:19" s="7" customFormat="1" ht="15">
      <c r="B234" s="700" t="s">
        <v>331</v>
      </c>
      <c r="C234" s="723">
        <f>canthormed</f>
        <v>36</v>
      </c>
      <c r="D234" s="702" t="s">
        <v>332</v>
      </c>
      <c r="E234" s="701">
        <f>indiceoct19*punbashormed</f>
        <v>23974.619724</v>
      </c>
      <c r="F234" s="702"/>
      <c r="G234" s="404"/>
      <c r="H234" s="701">
        <f>indicejul19*punbashormed</f>
        <v>21920.68037095082</v>
      </c>
      <c r="I234" s="702"/>
      <c r="J234" s="404"/>
      <c r="K234" s="701">
        <f>indicemay19*punbashormed</f>
        <v>20047.39884</v>
      </c>
      <c r="L234" s="702"/>
      <c r="M234" s="404"/>
      <c r="N234" s="701">
        <f>indicemar19*punbashormed</f>
        <v>18075.515904000004</v>
      </c>
      <c r="O234" s="702"/>
      <c r="P234" s="404"/>
      <c r="Q234" s="701">
        <f>indicedic18*punbashormed</f>
        <v>16432.202448</v>
      </c>
      <c r="R234" s="702"/>
      <c r="S234" s="404"/>
    </row>
    <row r="235" spans="2:19" s="7" customFormat="1" ht="12.75">
      <c r="B235" s="690" t="s">
        <v>296</v>
      </c>
      <c r="C235" s="567">
        <f>porantighormed</f>
        <v>1.2</v>
      </c>
      <c r="D235" s="681" t="s">
        <v>0</v>
      </c>
      <c r="E235" s="657">
        <f>E234*porantighormed</f>
        <v>28769.5436688</v>
      </c>
      <c r="F235" s="681"/>
      <c r="G235" s="404"/>
      <c r="H235" s="657">
        <f>H234*porantighormed</f>
        <v>26304.816445140983</v>
      </c>
      <c r="I235" s="681"/>
      <c r="J235" s="404"/>
      <c r="K235" s="657">
        <f>K234*porantighormed</f>
        <v>24056.878608000003</v>
      </c>
      <c r="L235" s="681"/>
      <c r="M235" s="404"/>
      <c r="N235" s="657">
        <f>N234*porantighormed</f>
        <v>21690.619084800004</v>
      </c>
      <c r="O235" s="681"/>
      <c r="P235" s="404"/>
      <c r="Q235" s="657">
        <f>Q234*porantighormed</f>
        <v>19718.642937599998</v>
      </c>
      <c r="R235" s="681"/>
      <c r="S235" s="404"/>
    </row>
    <row r="236" spans="2:19" s="7" customFormat="1" ht="15.75">
      <c r="B236" s="703" t="s">
        <v>301</v>
      </c>
      <c r="C236" s="724">
        <f>Q236/113.3</f>
        <v>36</v>
      </c>
      <c r="D236" s="725" t="s">
        <v>328</v>
      </c>
      <c r="E236" s="651">
        <f>IF(canthor06med&gt;36,36*165.3,165.3*canthor06med)</f>
        <v>5950.8</v>
      </c>
      <c r="F236" s="704"/>
      <c r="G236" s="404"/>
      <c r="H236" s="651">
        <f>IF(canthor06med&gt;36,36*151.14,151.14*canthor06med)</f>
        <v>5441.039999999999</v>
      </c>
      <c r="I236" s="704"/>
      <c r="J236" s="404"/>
      <c r="K236" s="651">
        <f>IF(canthor06med&gt;36,36*138.226,138.226*canthor06med)</f>
        <v>4976.136</v>
      </c>
      <c r="L236" s="704"/>
      <c r="M236" s="404"/>
      <c r="N236" s="651">
        <f>IF(canthor06med&gt;36,36*124.63,124.63*canthor06med)</f>
        <v>4486.68</v>
      </c>
      <c r="O236" s="704"/>
      <c r="P236" s="404"/>
      <c r="Q236" s="651">
        <f>IF(canthor06med&gt;36,36*113.3,113.3*canthor06med)</f>
        <v>4078.7999999999997</v>
      </c>
      <c r="R236" s="704"/>
      <c r="S236" s="404"/>
    </row>
    <row r="237" spans="2:19" s="7" customFormat="1" ht="12.75">
      <c r="B237" s="690" t="s">
        <v>302</v>
      </c>
      <c r="C237" s="567">
        <v>0.07</v>
      </c>
      <c r="D237" s="713" t="s">
        <v>333</v>
      </c>
      <c r="E237" s="657">
        <f>E236*0.07</f>
        <v>416.55600000000004</v>
      </c>
      <c r="F237" s="681"/>
      <c r="G237" s="404"/>
      <c r="H237" s="657">
        <f>H236*0.07</f>
        <v>380.8728</v>
      </c>
      <c r="I237" s="681"/>
      <c r="J237" s="404"/>
      <c r="K237" s="657">
        <f>K236*0.07</f>
        <v>348.32952000000006</v>
      </c>
      <c r="L237" s="681"/>
      <c r="M237" s="404"/>
      <c r="N237" s="657">
        <f>N236*0.07</f>
        <v>314.0676</v>
      </c>
      <c r="O237" s="681"/>
      <c r="P237" s="404"/>
      <c r="Q237" s="657">
        <f>Q236*0.07</f>
        <v>285.516</v>
      </c>
      <c r="R237" s="681"/>
      <c r="S237" s="404"/>
    </row>
    <row r="238" spans="2:19" s="7" customFormat="1" ht="15.75">
      <c r="B238" s="703" t="s">
        <v>435</v>
      </c>
      <c r="C238" s="724">
        <f>Q238/90.85</f>
        <v>18</v>
      </c>
      <c r="D238" s="726" t="s">
        <v>434</v>
      </c>
      <c r="E238" s="651">
        <f>IF(canthormed&gt;18,18*132.55,132.55*canthormed)*adichsmedia</f>
        <v>2385.9</v>
      </c>
      <c r="F238" s="704"/>
      <c r="G238" s="404"/>
      <c r="H238" s="651">
        <f>IF(canthormed&gt;18,18*121.19,121.19*canthormed)*adichsmedia</f>
        <v>2181.42</v>
      </c>
      <c r="I238" s="704"/>
      <c r="J238" s="404"/>
      <c r="K238" s="651">
        <f>IF(canthormed&gt;18,18*110.8361111,110.8361111*canthormed)*adichsmedia</f>
        <v>1995.0499998</v>
      </c>
      <c r="L238" s="704"/>
      <c r="M238" s="404"/>
      <c r="N238" s="651">
        <f>IF(canthormed&gt;18,18*99.934444,99.934444*canthormed)*adichsmedia</f>
        <v>1798.819992</v>
      </c>
      <c r="O238" s="704"/>
      <c r="P238" s="404"/>
      <c r="Q238" s="651">
        <f>IF(canthormed&gt;18,18*90.85,90.85*canthormed)*adichsmedia</f>
        <v>1635.3</v>
      </c>
      <c r="R238" s="704"/>
      <c r="S238" s="404"/>
    </row>
    <row r="239" spans="2:19" s="7" customFormat="1" ht="15.75">
      <c r="B239" s="692" t="s">
        <v>303</v>
      </c>
      <c r="C239" s="716">
        <f>Q239/80.6666</f>
        <v>30.00002479340892</v>
      </c>
      <c r="D239" s="681" t="s">
        <v>315</v>
      </c>
      <c r="E239" s="657">
        <f>IF(canthorincmed*80.6666&gt;2420,2420,canthorincmed*80.6666)</f>
        <v>2420</v>
      </c>
      <c r="F239" s="681"/>
      <c r="G239" s="404"/>
      <c r="H239" s="657">
        <f>IF(canthorincmed*80.6666&gt;2420,2420,canthorincmed*80.6666)</f>
        <v>2420</v>
      </c>
      <c r="I239" s="681"/>
      <c r="J239" s="404"/>
      <c r="K239" s="657">
        <f>IF(canthorincmed*80.6666&gt;2420,2420,canthorincmed*80.6666)</f>
        <v>2420</v>
      </c>
      <c r="L239" s="681"/>
      <c r="M239" s="404"/>
      <c r="N239" s="657">
        <f>IF(canthorincmed*80.6666&gt;2420,2420,canthorincmed*80.6666)</f>
        <v>2420</v>
      </c>
      <c r="O239" s="681"/>
      <c r="P239" s="404"/>
      <c r="Q239" s="657">
        <f>IF(canthorincmed*80.6666&gt;2420,2420,canthorincmed*80.6666)</f>
        <v>2420</v>
      </c>
      <c r="R239" s="681"/>
      <c r="S239" s="404"/>
    </row>
    <row r="240" spans="2:19" s="7" customFormat="1" ht="12.75">
      <c r="B240" s="703" t="s">
        <v>299</v>
      </c>
      <c r="C240" s="592">
        <v>0.07</v>
      </c>
      <c r="D240" s="705" t="s">
        <v>330</v>
      </c>
      <c r="E240" s="651">
        <f>(E234+E235+E238+E241+E244)*0.07</f>
        <v>3981.7983374960004</v>
      </c>
      <c r="F240" s="704"/>
      <c r="G240" s="404"/>
      <c r="H240" s="651">
        <f>(H234+H235+H238+H241+H244)*0.07</f>
        <v>3640.6661771264266</v>
      </c>
      <c r="I240" s="704"/>
      <c r="J240" s="404"/>
      <c r="K240" s="651">
        <f>(K234+K235+K238+K241+K244)*0.07</f>
        <v>3331.952921346001</v>
      </c>
      <c r="L240" s="704"/>
      <c r="M240" s="404"/>
      <c r="N240" s="651">
        <f>(N234+N235+N238+N241+N244)*0.07</f>
        <v>3001.946848656001</v>
      </c>
      <c r="O240" s="704"/>
      <c r="P240" s="404"/>
      <c r="Q240" s="651">
        <f>(Q234+Q235+Q238+Q241+Q244)*0.07</f>
        <v>2708.030176992</v>
      </c>
      <c r="R240" s="704"/>
      <c r="S240" s="404"/>
    </row>
    <row r="241" spans="2:19" s="7" customFormat="1" ht="15">
      <c r="B241" s="690" t="s">
        <v>293</v>
      </c>
      <c r="C241" s="727">
        <v>0</v>
      </c>
      <c r="D241" s="691" t="s">
        <v>351</v>
      </c>
      <c r="E241" s="661">
        <f>E234*C241</f>
        <v>0</v>
      </c>
      <c r="F241" s="681"/>
      <c r="G241" s="404"/>
      <c r="H241" s="661">
        <f>H234*C241</f>
        <v>0</v>
      </c>
      <c r="I241" s="681"/>
      <c r="J241" s="404"/>
      <c r="K241" s="661">
        <f>K234*C241</f>
        <v>0</v>
      </c>
      <c r="L241" s="681"/>
      <c r="M241" s="404"/>
      <c r="N241" s="661">
        <f>N234*C241</f>
        <v>0</v>
      </c>
      <c r="O241" s="681"/>
      <c r="P241" s="404"/>
      <c r="Q241" s="661">
        <f>Q234*C241</f>
        <v>0</v>
      </c>
      <c r="R241" s="681"/>
      <c r="S241" s="404"/>
    </row>
    <row r="242" spans="2:19" s="7" customFormat="1" ht="14.25">
      <c r="B242" s="706" t="s">
        <v>392</v>
      </c>
      <c r="C242" s="728">
        <f>cantkmhm</f>
        <v>0</v>
      </c>
      <c r="D242" s="729" t="s">
        <v>393</v>
      </c>
      <c r="E242" s="655">
        <f>IF(kmsemhsmed&lt;300,kmsemhsmed*3.4721*4,4166.52)</f>
        <v>0</v>
      </c>
      <c r="F242" s="704"/>
      <c r="G242" s="404"/>
      <c r="H242" s="655">
        <f>IF(kmsemhsmed&lt;300,kmsemhsmed*3.1746*4,3809.55)</f>
        <v>0</v>
      </c>
      <c r="I242" s="704"/>
      <c r="J242" s="404"/>
      <c r="K242" s="655">
        <f>IF(kmsemhsmed&lt;300,kmsemhsmed*2.9036*4,3484)</f>
        <v>0</v>
      </c>
      <c r="L242" s="704"/>
      <c r="M242" s="404"/>
      <c r="N242" s="655">
        <f>IF(kmsemhsmed&lt;300,kmsemhsmed*2.9036*4,3484)</f>
        <v>0</v>
      </c>
      <c r="O242" s="704"/>
      <c r="P242" s="404"/>
      <c r="Q242" s="655">
        <f>IF(kmsemhsmed&lt;300,kmsemhsmed*2.38*4,2856)</f>
        <v>0</v>
      </c>
      <c r="R242" s="704"/>
      <c r="S242" s="404"/>
    </row>
    <row r="243" spans="2:19" s="7" customFormat="1" ht="15.75">
      <c r="B243" s="694">
        <v>44</v>
      </c>
      <c r="C243" s="716">
        <f>Q243/14</f>
        <v>30</v>
      </c>
      <c r="D243" s="717" t="s">
        <v>479</v>
      </c>
      <c r="E243" s="657">
        <f>IF(canthorincmed*14&gt;420,420,canthorincmed*14)</f>
        <v>420</v>
      </c>
      <c r="F243" s="681"/>
      <c r="G243" s="404"/>
      <c r="H243" s="657">
        <f>IF(canthorincmed*14&gt;420,420,canthorincmed*14)</f>
        <v>420</v>
      </c>
      <c r="I243" s="681"/>
      <c r="J243" s="404"/>
      <c r="K243" s="657">
        <f>IF(canthorincmed*14&gt;420,420,canthorincmed*14)</f>
        <v>420</v>
      </c>
      <c r="L243" s="681"/>
      <c r="M243" s="404"/>
      <c r="N243" s="657">
        <f>IF(canthorincmed*14&gt;420,420,canthorincmed*14)</f>
        <v>420</v>
      </c>
      <c r="O243" s="681"/>
      <c r="P243" s="404"/>
      <c r="Q243" s="657">
        <f>IF(canthorincmed*14&gt;420,420,canthorincmed*14)</f>
        <v>420</v>
      </c>
      <c r="R243" s="681"/>
      <c r="S243" s="404"/>
    </row>
    <row r="244" spans="2:19" s="7" customFormat="1" ht="15.75">
      <c r="B244" s="707">
        <v>117</v>
      </c>
      <c r="C244" s="730"/>
      <c r="D244" s="725" t="s">
        <v>481</v>
      </c>
      <c r="E244" s="651">
        <f>IF(canthormed*58.425&gt;1752.77,1752.77,canthormed*58.425)</f>
        <v>1752.77</v>
      </c>
      <c r="F244" s="704"/>
      <c r="G244" s="404"/>
      <c r="H244" s="651">
        <f>IF(canthormed*53.42&gt;1602.6,1602.6,canthormed*53.42)</f>
        <v>1602.6</v>
      </c>
      <c r="I244" s="704"/>
      <c r="J244" s="404"/>
      <c r="K244" s="651">
        <f>IF(canthormed*50&gt;1500,1500,canthormed*50)</f>
        <v>1500</v>
      </c>
      <c r="L244" s="704"/>
      <c r="M244" s="404"/>
      <c r="N244" s="651">
        <f>IF(canthormed*44&gt;1320,1320,canthormed*44)</f>
        <v>1320</v>
      </c>
      <c r="O244" s="704"/>
      <c r="P244" s="404"/>
      <c r="Q244" s="651">
        <f>IF(canthormed*30&gt;900,900,canthormed*30)</f>
        <v>900</v>
      </c>
      <c r="R244" s="704"/>
      <c r="S244" s="404"/>
    </row>
    <row r="245" spans="2:19" s="7" customFormat="1" ht="15">
      <c r="B245" s="695" t="s">
        <v>340</v>
      </c>
      <c r="C245" s="268"/>
      <c r="D245" s="681"/>
      <c r="E245" s="670">
        <v>0</v>
      </c>
      <c r="F245" s="681"/>
      <c r="G245" s="404"/>
      <c r="H245" s="670">
        <v>0</v>
      </c>
      <c r="I245" s="681"/>
      <c r="J245" s="404"/>
      <c r="K245" s="670">
        <v>0</v>
      </c>
      <c r="L245" s="681"/>
      <c r="M245" s="404"/>
      <c r="N245" s="670">
        <v>0</v>
      </c>
      <c r="O245" s="681"/>
      <c r="P245" s="404"/>
      <c r="Q245" s="670">
        <v>0</v>
      </c>
      <c r="R245" s="681"/>
      <c r="S245" s="372"/>
    </row>
    <row r="246" spans="2:19" s="7" customFormat="1" ht="15.75">
      <c r="B246" s="708"/>
      <c r="C246" s="603" t="s">
        <v>8</v>
      </c>
      <c r="D246" s="731"/>
      <c r="E246" s="666">
        <f>SUM(E234:E245)</f>
        <v>70071.98773029601</v>
      </c>
      <c r="F246" s="704"/>
      <c r="G246" s="372"/>
      <c r="H246" s="666">
        <f>SUM(H234:H245)</f>
        <v>64312.09579321823</v>
      </c>
      <c r="I246" s="704"/>
      <c r="J246" s="372"/>
      <c r="K246" s="666">
        <f>SUM(K234:K245)</f>
        <v>59095.74588914601</v>
      </c>
      <c r="L246" s="704"/>
      <c r="M246" s="372"/>
      <c r="N246" s="666">
        <f>SUM(N234:N245)</f>
        <v>53527.64942945601</v>
      </c>
      <c r="O246" s="704"/>
      <c r="P246" s="372"/>
      <c r="Q246" s="666">
        <f>SUM(Q234:Q245)</f>
        <v>48598.491562592004</v>
      </c>
      <c r="R246" s="704"/>
      <c r="S246" s="372"/>
    </row>
    <row r="247" spans="2:19" s="7" customFormat="1" ht="15">
      <c r="B247" s="697" t="s">
        <v>335</v>
      </c>
      <c r="C247" s="146"/>
      <c r="D247" s="713" t="s">
        <v>336</v>
      </c>
      <c r="E247" s="670">
        <v>0</v>
      </c>
      <c r="F247" s="671">
        <f>-E247</f>
        <v>0</v>
      </c>
      <c r="G247" s="372"/>
      <c r="H247" s="670">
        <v>0</v>
      </c>
      <c r="I247" s="671">
        <f>-H247</f>
        <v>0</v>
      </c>
      <c r="J247" s="372"/>
      <c r="K247" s="670">
        <v>0</v>
      </c>
      <c r="L247" s="671">
        <f>-K247</f>
        <v>0</v>
      </c>
      <c r="M247" s="372"/>
      <c r="N247" s="670">
        <v>0</v>
      </c>
      <c r="O247" s="671">
        <f>-Q247</f>
        <v>0</v>
      </c>
      <c r="P247" s="372"/>
      <c r="Q247" s="670">
        <v>0</v>
      </c>
      <c r="R247" s="671">
        <f>-Q247</f>
        <v>0</v>
      </c>
      <c r="S247" s="372"/>
    </row>
    <row r="248" spans="2:19" s="7" customFormat="1" ht="12.75">
      <c r="B248" s="709">
        <v>502</v>
      </c>
      <c r="C248" s="732">
        <v>0.16</v>
      </c>
      <c r="D248" s="726" t="s">
        <v>339</v>
      </c>
      <c r="E248" s="710"/>
      <c r="F248" s="711">
        <f>-(E234+E235+E240+E241+E236+E237+E238+F247+E244)*porjub</f>
        <v>-10757.118036847362</v>
      </c>
      <c r="G248" s="372"/>
      <c r="H248" s="710"/>
      <c r="I248" s="711">
        <f>-(H234+H235+H240+H241+H236+H237+H238+I247+H244)*porjub</f>
        <v>-9835.535326914916</v>
      </c>
      <c r="J248" s="372"/>
      <c r="K248" s="710"/>
      <c r="L248" s="711">
        <f>-(K234+K235+K240+K241+K236+K237+K238+L247+K244)*porjub</f>
        <v>-9000.919342263362</v>
      </c>
      <c r="M248" s="372"/>
      <c r="N248" s="710"/>
      <c r="O248" s="711">
        <f>-(N234+N235+N240+N241+N236+N237+N238+O247+N244)*porjub</f>
        <v>-8110.023908712962</v>
      </c>
      <c r="P248" s="372"/>
      <c r="Q248" s="710"/>
      <c r="R248" s="711">
        <f>-(Q234+Q235+Q240+Q241+Q236+Q237+Q238+R247+Q244)*porjub</f>
        <v>-7321.358650014721</v>
      </c>
      <c r="S248" s="372"/>
    </row>
    <row r="249" spans="2:19" s="7" customFormat="1" ht="12.75">
      <c r="B249" s="685">
        <v>504</v>
      </c>
      <c r="C249" s="546">
        <v>0.006</v>
      </c>
      <c r="D249" s="681" t="s">
        <v>338</v>
      </c>
      <c r="E249" s="685"/>
      <c r="F249" s="684">
        <f>-(E234+E235+E240+E241+E236+E237+E238+F247+E244)*porley</f>
        <v>-403.39192638177605</v>
      </c>
      <c r="G249" s="372"/>
      <c r="H249" s="685"/>
      <c r="I249" s="684">
        <f>-(H234+H235+H240+H241+H236+H237+H238+I247+H244)*porley</f>
        <v>-368.83257475930935</v>
      </c>
      <c r="J249" s="372"/>
      <c r="K249" s="685"/>
      <c r="L249" s="684">
        <f>-(K234+K235+K240+K241+K236+K237+K238+L247+K244)*porley</f>
        <v>-337.5344753348761</v>
      </c>
      <c r="M249" s="372"/>
      <c r="N249" s="685"/>
      <c r="O249" s="684">
        <f>-(N234+N235+N240+N241+N236+N237+N238+O247+N244)*porley</f>
        <v>-304.12589657673607</v>
      </c>
      <c r="P249" s="372"/>
      <c r="Q249" s="685"/>
      <c r="R249" s="684">
        <f>-(Q234+Q235+Q240+Q241+Q236+Q237+Q238+R247+Q244)*porley</f>
        <v>-274.550949375552</v>
      </c>
      <c r="S249" s="372"/>
    </row>
    <row r="250" spans="2:19" s="7" customFormat="1" ht="12.75">
      <c r="B250" s="709">
        <v>505</v>
      </c>
      <c r="C250" s="592">
        <v>0.03</v>
      </c>
      <c r="D250" s="726" t="s">
        <v>337</v>
      </c>
      <c r="E250" s="710"/>
      <c r="F250" s="711">
        <f>-(E234+E235+E240+E241+E236+E237+E238+F247+E244)*poros</f>
        <v>-2016.9596319088803</v>
      </c>
      <c r="G250" s="372"/>
      <c r="H250" s="710"/>
      <c r="I250" s="711">
        <f>-(H234+H235+H240+H241+H236+H237+H238+I247+H244)*poros</f>
        <v>-1844.1628737965468</v>
      </c>
      <c r="J250" s="372"/>
      <c r="K250" s="710"/>
      <c r="L250" s="711">
        <f>-(K234+K235+K240+K241+K236+K237+K238+L247+K244)*poros</f>
        <v>-1687.6723766743803</v>
      </c>
      <c r="M250" s="372"/>
      <c r="N250" s="710"/>
      <c r="O250" s="711">
        <f>-(N234+N235+N240+N241+N236+N237+N238+O247+N244)*poros</f>
        <v>-1520.6294828836803</v>
      </c>
      <c r="P250" s="372"/>
      <c r="Q250" s="710"/>
      <c r="R250" s="711">
        <f>-(Q234+Q235+Q240+Q241+Q236+Q237+Q238+R247+Q244)*poros</f>
        <v>-1372.75474687776</v>
      </c>
      <c r="S250" s="372"/>
    </row>
    <row r="251" spans="2:19" s="7" customFormat="1" ht="12.75">
      <c r="B251" s="698">
        <v>332</v>
      </c>
      <c r="C251" s="549">
        <v>0</v>
      </c>
      <c r="D251" s="720" t="s">
        <v>471</v>
      </c>
      <c r="E251" s="683"/>
      <c r="F251" s="684">
        <f>-(E234+E235+E240+E241+E238+E237+E238+F247+E244)*C251</f>
        <v>0</v>
      </c>
      <c r="G251" s="372"/>
      <c r="H251" s="683"/>
      <c r="I251" s="684">
        <f>-(H234+H235+H240+H241+H238+H237+H238+I247+H244)*C251</f>
        <v>0</v>
      </c>
      <c r="J251" s="372"/>
      <c r="K251" s="683"/>
      <c r="L251" s="684">
        <f>-(K234+K235+K240+K241+K238+K237+K238+L247+K244)*poragmer</f>
        <v>0</v>
      </c>
      <c r="M251" s="372"/>
      <c r="N251" s="683"/>
      <c r="O251" s="684">
        <f>-(N234+N235+N240+N241+N238+N237+N238+O247+N244)*poragmer</f>
        <v>0</v>
      </c>
      <c r="P251" s="372"/>
      <c r="Q251" s="683"/>
      <c r="R251" s="684">
        <f>-(Q234+Q235+Q240+Q241+Q238+Q237+Q238+R247+Q244)*poragmer</f>
        <v>0</v>
      </c>
      <c r="S251" s="372"/>
    </row>
    <row r="252" spans="2:19" s="7" customFormat="1" ht="15">
      <c r="B252" s="712" t="s">
        <v>2</v>
      </c>
      <c r="C252" s="733">
        <v>0</v>
      </c>
      <c r="D252" s="704"/>
      <c r="E252" s="709"/>
      <c r="F252" s="711">
        <f>-(E234+E235+E240+E241+E236+E237+E238+F247+E244)*C252</f>
        <v>0</v>
      </c>
      <c r="G252" s="372"/>
      <c r="H252" s="709"/>
      <c r="I252" s="711">
        <f>-(H234+H235+H240+H241+H236+H237+H238+I247+H244)*C252</f>
        <v>0</v>
      </c>
      <c r="J252" s="372"/>
      <c r="K252" s="709"/>
      <c r="L252" s="711">
        <f>-(K234+K235+K240+K241+K236+K237+K238+L247+K244)*C252</f>
        <v>0</v>
      </c>
      <c r="M252" s="372"/>
      <c r="N252" s="709"/>
      <c r="O252" s="711">
        <f>-(N234+N235+N240+N241+N236+N237+N238+O247+N244)*C252</f>
        <v>0</v>
      </c>
      <c r="P252" s="372"/>
      <c r="Q252" s="709"/>
      <c r="R252" s="711">
        <f>-(Q234+Q235+Q240+Q241+Q236+Q237+Q238+R247+Q244)*C252</f>
        <v>0</v>
      </c>
      <c r="S252" s="372"/>
    </row>
    <row r="253" spans="2:19" s="7" customFormat="1" ht="16.5" thickBot="1">
      <c r="B253" s="686"/>
      <c r="C253" s="721"/>
      <c r="D253" s="722" t="s">
        <v>3</v>
      </c>
      <c r="E253" s="686"/>
      <c r="F253" s="687">
        <f>SUM(F248:F252)</f>
        <v>-13177.469595138016</v>
      </c>
      <c r="G253" s="372"/>
      <c r="H253" s="686"/>
      <c r="I253" s="687">
        <f>SUM(I248:I252)</f>
        <v>-12048.530775470774</v>
      </c>
      <c r="J253" s="372"/>
      <c r="K253" s="686"/>
      <c r="L253" s="687">
        <f>SUM(L248:L252)</f>
        <v>-11026.126194272618</v>
      </c>
      <c r="M253" s="372"/>
      <c r="N253" s="686"/>
      <c r="O253" s="687">
        <f>SUM(O248:O252)</f>
        <v>-9934.779288173379</v>
      </c>
      <c r="P253" s="372"/>
      <c r="Q253" s="686"/>
      <c r="R253" s="687">
        <f>SUM(R248:R252)</f>
        <v>-8968.664346268033</v>
      </c>
      <c r="S253" s="372"/>
    </row>
    <row r="254" spans="2:19" ht="13.5" thickBot="1">
      <c r="B254" s="688"/>
      <c r="C254" s="100"/>
      <c r="D254" s="446"/>
      <c r="E254" s="100"/>
      <c r="G254" s="372"/>
      <c r="H254" s="100"/>
      <c r="J254" s="372"/>
      <c r="K254" s="100"/>
      <c r="M254" s="372"/>
      <c r="N254" s="100"/>
      <c r="P254" s="372"/>
      <c r="Q254" s="100"/>
      <c r="S254" s="372"/>
    </row>
    <row r="255" spans="2:19" ht="24.75" thickBot="1" thickTop="1">
      <c r="B255" s="14"/>
      <c r="D255" s="447"/>
      <c r="E255" s="375" t="s">
        <v>4</v>
      </c>
      <c r="F255" s="376">
        <f>E246+F253</f>
        <v>56894.518135157996</v>
      </c>
      <c r="G255" s="372"/>
      <c r="H255" s="375" t="s">
        <v>4</v>
      </c>
      <c r="I255" s="376">
        <f>H246+I253</f>
        <v>52263.56501774745</v>
      </c>
      <c r="J255" s="372"/>
      <c r="K255" s="375" t="s">
        <v>4</v>
      </c>
      <c r="L255" s="376">
        <f>K246+L253</f>
        <v>48069.61969487339</v>
      </c>
      <c r="M255" s="372"/>
      <c r="N255" s="375" t="s">
        <v>4</v>
      </c>
      <c r="O255" s="376">
        <f>N246+O253</f>
        <v>43592.870141282634</v>
      </c>
      <c r="P255" s="372"/>
      <c r="Q255" s="375" t="s">
        <v>4</v>
      </c>
      <c r="R255" s="376">
        <f>Q246+R253</f>
        <v>39629.827216323974</v>
      </c>
      <c r="S255" s="372"/>
    </row>
    <row r="256" spans="2:19" ht="24" thickTop="1">
      <c r="B256" s="14"/>
      <c r="D256" s="436"/>
      <c r="E256" s="116"/>
      <c r="F256" s="409"/>
      <c r="G256" s="372"/>
      <c r="H256" s="116"/>
      <c r="I256" s="409"/>
      <c r="J256" s="372"/>
      <c r="K256" s="116"/>
      <c r="L256" s="409"/>
      <c r="M256" s="372"/>
      <c r="N256" s="116"/>
      <c r="O256" s="409"/>
      <c r="P256" s="372"/>
      <c r="Q256" s="116"/>
      <c r="R256" s="409"/>
      <c r="S256" s="372"/>
    </row>
    <row r="257" spans="2:19" ht="24" thickBot="1">
      <c r="B257" s="14"/>
      <c r="D257" s="436"/>
      <c r="E257" s="95" t="s">
        <v>496</v>
      </c>
      <c r="F257" s="409"/>
      <c r="G257" s="372"/>
      <c r="H257" s="95" t="s">
        <v>496</v>
      </c>
      <c r="I257" s="409"/>
      <c r="J257" s="372"/>
      <c r="K257" s="95" t="s">
        <v>496</v>
      </c>
      <c r="L257" s="409"/>
      <c r="M257" s="372"/>
      <c r="O257" s="409"/>
      <c r="P257" s="372"/>
      <c r="Q257" s="95"/>
      <c r="R257" s="409"/>
      <c r="S257" s="372"/>
    </row>
    <row r="258" spans="2:19" ht="18">
      <c r="B258" s="14"/>
      <c r="D258" s="436"/>
      <c r="E258" s="405" t="s">
        <v>372</v>
      </c>
      <c r="F258" s="406">
        <f>F255-I255</f>
        <v>4630.953117410543</v>
      </c>
      <c r="G258" s="372"/>
      <c r="H258" s="405" t="s">
        <v>372</v>
      </c>
      <c r="I258" s="406">
        <f>I255-L255</f>
        <v>4193.94532287406</v>
      </c>
      <c r="J258" s="372"/>
      <c r="K258" s="405" t="s">
        <v>372</v>
      </c>
      <c r="L258" s="406">
        <f>L255-O255</f>
        <v>4476.749553590758</v>
      </c>
      <c r="M258" s="372"/>
      <c r="N258" s="405" t="s">
        <v>372</v>
      </c>
      <c r="O258" s="406">
        <f>O255-R255</f>
        <v>3963.0429249586596</v>
      </c>
      <c r="P258" s="372"/>
      <c r="Q258" s="405"/>
      <c r="R258" s="406"/>
      <c r="S258" s="372"/>
    </row>
    <row r="259" spans="3:19" ht="18.75" thickBot="1">
      <c r="C259" s="3"/>
      <c r="D259" s="448"/>
      <c r="E259" s="407" t="s">
        <v>373</v>
      </c>
      <c r="F259" s="408">
        <f>F258/R255</f>
        <v>0.11685524370651308</v>
      </c>
      <c r="G259" s="412"/>
      <c r="H259" s="407" t="s">
        <v>373</v>
      </c>
      <c r="I259" s="408">
        <f>I258/R255</f>
        <v>0.10582799919820308</v>
      </c>
      <c r="J259" s="412"/>
      <c r="K259" s="407" t="s">
        <v>373</v>
      </c>
      <c r="L259" s="408">
        <f>L258/R255</f>
        <v>0.1129641451413327</v>
      </c>
      <c r="M259" s="412"/>
      <c r="N259" s="407" t="s">
        <v>373</v>
      </c>
      <c r="O259" s="408">
        <f>O258/R255</f>
        <v>0.10000151914178008</v>
      </c>
      <c r="P259" s="412"/>
      <c r="Q259" s="407"/>
      <c r="R259" s="408"/>
      <c r="S259" s="412"/>
    </row>
    <row r="260" spans="2:19" ht="27.75" customHeight="1" thickBot="1">
      <c r="B260" s="117"/>
      <c r="C260" s="176"/>
      <c r="D260" s="449"/>
      <c r="E260" s="4" t="s">
        <v>482</v>
      </c>
      <c r="G260" s="413"/>
      <c r="H260" s="4" t="s">
        <v>482</v>
      </c>
      <c r="J260" s="413"/>
      <c r="K260" s="4" t="s">
        <v>482</v>
      </c>
      <c r="M260" s="413"/>
      <c r="N260" s="95" t="s">
        <v>496</v>
      </c>
      <c r="P260" s="413"/>
      <c r="Q260" s="4"/>
      <c r="S260" s="413"/>
    </row>
    <row r="261" spans="2:19" ht="28.5" customHeight="1" thickBot="1">
      <c r="B261" s="117"/>
      <c r="C261" s="176"/>
      <c r="D261" s="449"/>
      <c r="E261" s="785" t="s">
        <v>526</v>
      </c>
      <c r="F261" s="420">
        <f>F255-R255</f>
        <v>17264.69091883402</v>
      </c>
      <c r="G261" s="414"/>
      <c r="H261" s="419" t="s">
        <v>372</v>
      </c>
      <c r="I261" s="420">
        <f>I255-R255</f>
        <v>12633.737801423478</v>
      </c>
      <c r="J261" s="414"/>
      <c r="K261" s="419" t="s">
        <v>372</v>
      </c>
      <c r="L261" s="420">
        <f>L255-R255</f>
        <v>8439.792478549418</v>
      </c>
      <c r="M261" s="414"/>
      <c r="N261" s="419" t="s">
        <v>372</v>
      </c>
      <c r="O261" s="420">
        <f>O255-R255</f>
        <v>3963.0429249586596</v>
      </c>
      <c r="P261" s="414"/>
      <c r="Q261" s="419"/>
      <c r="R261" s="420"/>
      <c r="S261" s="414"/>
    </row>
    <row r="262" spans="2:19" ht="28.5" customHeight="1" thickBot="1">
      <c r="B262" s="117"/>
      <c r="C262" s="176"/>
      <c r="D262" s="449"/>
      <c r="E262" s="785" t="s">
        <v>527</v>
      </c>
      <c r="F262" s="422">
        <f>F261/R255</f>
        <v>0.43564890718782895</v>
      </c>
      <c r="G262" s="415"/>
      <c r="H262" s="421" t="s">
        <v>373</v>
      </c>
      <c r="I262" s="422">
        <f>I261/R255</f>
        <v>0.3187936634813159</v>
      </c>
      <c r="J262" s="415"/>
      <c r="K262" s="421" t="s">
        <v>373</v>
      </c>
      <c r="L262" s="422">
        <f>L261/R255</f>
        <v>0.21296566428311278</v>
      </c>
      <c r="M262" s="415"/>
      <c r="N262" s="421" t="s">
        <v>373</v>
      </c>
      <c r="O262" s="422">
        <f>O261/R255</f>
        <v>0.10000151914178008</v>
      </c>
      <c r="P262" s="415"/>
      <c r="Q262" s="421"/>
      <c r="R262" s="422"/>
      <c r="S262" s="415"/>
    </row>
    <row r="263" spans="2:19" ht="28.5" customHeight="1" thickBot="1">
      <c r="B263" s="117"/>
      <c r="C263" s="176"/>
      <c r="D263" s="449"/>
      <c r="E263" s="457"/>
      <c r="F263" s="458"/>
      <c r="G263" s="415"/>
      <c r="H263" s="457"/>
      <c r="I263" s="458"/>
      <c r="J263" s="415"/>
      <c r="K263" s="457"/>
      <c r="L263" s="458"/>
      <c r="M263" s="415"/>
      <c r="N263" s="457"/>
      <c r="O263" s="458"/>
      <c r="P263" s="415"/>
      <c r="Q263" s="457"/>
      <c r="R263" s="458"/>
      <c r="S263" s="415"/>
    </row>
    <row r="264" spans="2:19" ht="28.5" customHeight="1" thickBot="1" thickTop="1">
      <c r="B264" s="117"/>
      <c r="C264" s="176"/>
      <c r="D264" s="449"/>
      <c r="E264" s="459" t="s">
        <v>483</v>
      </c>
      <c r="F264" s="460"/>
      <c r="G264" s="415"/>
      <c r="H264" s="459" t="s">
        <v>483</v>
      </c>
      <c r="I264" s="460"/>
      <c r="J264" s="415"/>
      <c r="K264" s="459" t="s">
        <v>483</v>
      </c>
      <c r="L264" s="460"/>
      <c r="M264" s="415"/>
      <c r="N264" s="459" t="s">
        <v>483</v>
      </c>
      <c r="O264" s="460"/>
      <c r="P264" s="415"/>
      <c r="Q264" s="459" t="s">
        <v>483</v>
      </c>
      <c r="R264" s="460"/>
      <c r="S264" s="415"/>
    </row>
    <row r="265" spans="2:19" ht="28.5" customHeight="1" thickBot="1">
      <c r="B265" s="117"/>
      <c r="C265" s="176"/>
      <c r="D265" s="449"/>
      <c r="E265" s="461" t="s">
        <v>484</v>
      </c>
      <c r="F265" s="462">
        <f>(E234+E235+E236+E237+E238+E240+E241+E244)*0.5</f>
        <v>33615.993865148004</v>
      </c>
      <c r="G265" s="415"/>
      <c r="H265" s="461" t="s">
        <v>484</v>
      </c>
      <c r="I265" s="462">
        <f>(H234+H235+H236+H237+H238+H240+H241+H244)*0.5</f>
        <v>30736.047896609114</v>
      </c>
      <c r="J265" s="415"/>
      <c r="K265" s="461" t="s">
        <v>484</v>
      </c>
      <c r="L265" s="462">
        <f>(K234+K235+K236+K237+K238+K240+K241+K244)*0.5</f>
        <v>28127.872944573006</v>
      </c>
      <c r="M265" s="415"/>
      <c r="N265" s="461" t="s">
        <v>484</v>
      </c>
      <c r="O265" s="462">
        <f>(N234+N235+N236+N237+N238+N240+N241+N244)*0.5</f>
        <v>25343.824714728005</v>
      </c>
      <c r="P265" s="415"/>
      <c r="Q265" s="461" t="s">
        <v>484</v>
      </c>
      <c r="R265" s="462">
        <f>(Q234+Q235+Q236+Q237+Q238+Q240+Q241+Q244)*0.5</f>
        <v>22879.245781296002</v>
      </c>
      <c r="S265" s="415"/>
    </row>
    <row r="266" spans="2:19" ht="28.5" customHeight="1" thickBot="1">
      <c r="B266" s="117"/>
      <c r="C266" s="176"/>
      <c r="D266" s="449"/>
      <c r="E266" s="463" t="s">
        <v>485</v>
      </c>
      <c r="F266" s="464"/>
      <c r="G266" s="415"/>
      <c r="H266" s="463" t="s">
        <v>485</v>
      </c>
      <c r="I266" s="464"/>
      <c r="J266" s="415"/>
      <c r="K266" s="463" t="s">
        <v>485</v>
      </c>
      <c r="L266" s="464"/>
      <c r="M266" s="415"/>
      <c r="N266" s="463" t="s">
        <v>485</v>
      </c>
      <c r="O266" s="464"/>
      <c r="P266" s="415"/>
      <c r="Q266" s="463" t="s">
        <v>485</v>
      </c>
      <c r="R266" s="464"/>
      <c r="S266" s="415"/>
    </row>
    <row r="267" spans="2:19" ht="28.5" customHeight="1">
      <c r="B267" s="117"/>
      <c r="C267" s="176"/>
      <c r="D267" s="449"/>
      <c r="E267" s="477" t="s">
        <v>489</v>
      </c>
      <c r="F267" s="476">
        <f>F265*0.804</f>
        <v>27027.259067578998</v>
      </c>
      <c r="G267" s="415"/>
      <c r="H267" s="477" t="s">
        <v>489</v>
      </c>
      <c r="I267" s="476">
        <f>I265*0.804</f>
        <v>24711.78250887373</v>
      </c>
      <c r="J267" s="415"/>
      <c r="K267" s="477" t="s">
        <v>489</v>
      </c>
      <c r="L267" s="476">
        <f>L265*0.804</f>
        <v>22614.8098474367</v>
      </c>
      <c r="M267" s="415"/>
      <c r="N267" s="477" t="s">
        <v>489</v>
      </c>
      <c r="O267" s="476">
        <f>O265*0.804</f>
        <v>20376.435070641317</v>
      </c>
      <c r="P267" s="415"/>
      <c r="Q267" s="477" t="s">
        <v>489</v>
      </c>
      <c r="R267" s="476">
        <f>R265*0.804</f>
        <v>18394.913608161987</v>
      </c>
      <c r="S267" s="415"/>
    </row>
    <row r="268" spans="2:19" ht="28.5" customHeight="1">
      <c r="B268" s="117"/>
      <c r="C268" s="176"/>
      <c r="D268" s="449"/>
      <c r="E268" s="465" t="s">
        <v>486</v>
      </c>
      <c r="F268" s="466"/>
      <c r="G268" s="415"/>
      <c r="H268" s="465" t="s">
        <v>486</v>
      </c>
      <c r="I268" s="466"/>
      <c r="J268" s="415"/>
      <c r="K268" s="465" t="s">
        <v>486</v>
      </c>
      <c r="L268" s="466"/>
      <c r="M268" s="415"/>
      <c r="N268" s="465" t="s">
        <v>486</v>
      </c>
      <c r="O268" s="466"/>
      <c r="P268" s="415"/>
      <c r="Q268" s="465" t="s">
        <v>486</v>
      </c>
      <c r="R268" s="466"/>
      <c r="S268" s="415"/>
    </row>
    <row r="269" spans="2:19" ht="28.5" customHeight="1">
      <c r="B269" s="117"/>
      <c r="C269" s="176"/>
      <c r="D269" s="449"/>
      <c r="E269" s="465">
        <v>502</v>
      </c>
      <c r="F269" s="467">
        <f>-(E234+E235+E240+E241+E236+E237+E238+F247+E244+F265)*0.16</f>
        <v>-16135.677055271042</v>
      </c>
      <c r="G269" s="415"/>
      <c r="H269" s="465">
        <v>502</v>
      </c>
      <c r="I269" s="467">
        <f>-(H234+H235+H240+H241+H236+H237+H238+I247+H244+I265)*0.16</f>
        <v>-14753.302990372375</v>
      </c>
      <c r="J269" s="415"/>
      <c r="K269" s="465">
        <v>502</v>
      </c>
      <c r="L269" s="467">
        <f>-(K234+K235+K240+K241+K236+K237+K238+L247+K244+L265)*0.16</f>
        <v>-13501.379013395044</v>
      </c>
      <c r="M269" s="415"/>
      <c r="N269" s="465">
        <v>502</v>
      </c>
      <c r="O269" s="467">
        <f>-(N234+N235+N240+N241+N236+N237+N238+O247+N244+O265)*0.16</f>
        <v>-12165.035863069443</v>
      </c>
      <c r="P269" s="415"/>
      <c r="Q269" s="465">
        <v>502</v>
      </c>
      <c r="R269" s="467">
        <f>-(Q234+Q235+Q240+Q241+Q236+Q237+Q238+R247+Q244+R265)*0.16</f>
        <v>-10982.03797502208</v>
      </c>
      <c r="S269" s="415"/>
    </row>
    <row r="270" spans="2:19" ht="28.5" customHeight="1">
      <c r="B270" s="117"/>
      <c r="C270" s="176"/>
      <c r="D270" s="449"/>
      <c r="E270" s="465">
        <v>504</v>
      </c>
      <c r="F270" s="467">
        <f>-(E234+E235+E240+E241+E236+E237+E238+F247+E244+F265)*0.006</f>
        <v>-605.087889572664</v>
      </c>
      <c r="G270" s="415"/>
      <c r="H270" s="465">
        <v>504</v>
      </c>
      <c r="I270" s="467">
        <f>-(H234+H235+H240+H241+H236+H237+H238+I247+H244+I265)*0.006</f>
        <v>-553.248862138964</v>
      </c>
      <c r="J270" s="415"/>
      <c r="K270" s="465">
        <v>504</v>
      </c>
      <c r="L270" s="467">
        <f>-(K234+K235+K240+K241+K236+K237+K238+L247+K244+L265)*0.006</f>
        <v>-506.30171300231416</v>
      </c>
      <c r="M270" s="415"/>
      <c r="N270" s="465">
        <v>504</v>
      </c>
      <c r="O270" s="467">
        <f>-(N234+N235+N240+N241+N236+N237+N238+O247+N244+O265)*0.006</f>
        <v>-456.1888448651041</v>
      </c>
      <c r="P270" s="415"/>
      <c r="Q270" s="465">
        <v>504</v>
      </c>
      <c r="R270" s="467">
        <f>-(Q234+Q235+Q240+Q241+Q236+Q237+Q238+R247+Q244+R265)*0.006</f>
        <v>-411.82642406332803</v>
      </c>
      <c r="S270" s="415"/>
    </row>
    <row r="271" spans="2:19" ht="28.5" customHeight="1">
      <c r="B271" s="117"/>
      <c r="C271" s="176"/>
      <c r="D271" s="449"/>
      <c r="E271" s="465">
        <v>505</v>
      </c>
      <c r="F271" s="467">
        <f>-(E234+E235+E240+E241+E236+E237+E238+F247+E244+F265)*0.03</f>
        <v>-3025.4394478633203</v>
      </c>
      <c r="G271" s="415"/>
      <c r="H271" s="465">
        <v>505</v>
      </c>
      <c r="I271" s="467">
        <f>-(H234+H235+H240+H241+H236+H237+H238+I247+H244+I265)*0.03</f>
        <v>-2766.24431069482</v>
      </c>
      <c r="J271" s="415"/>
      <c r="K271" s="465">
        <v>505</v>
      </c>
      <c r="L271" s="467">
        <f>-(K234+K235+K240+K241+K236+K237+K238+L247+K244+L265)*0.03</f>
        <v>-2531.5085650115707</v>
      </c>
      <c r="M271" s="415"/>
      <c r="N271" s="465">
        <v>505</v>
      </c>
      <c r="O271" s="467">
        <f>-(N234+N235+N240+N241+N236+N237+N238+O247+N244+O265)*0.03</f>
        <v>-2280.9442243255203</v>
      </c>
      <c r="P271" s="415"/>
      <c r="Q271" s="465">
        <v>505</v>
      </c>
      <c r="R271" s="467">
        <f>-(Q234+Q235+Q240+Q241+Q236+Q237+Q238+R247+Q244+R265)*0.03</f>
        <v>-2059.13212031664</v>
      </c>
      <c r="S271" s="415"/>
    </row>
    <row r="272" spans="2:19" ht="15.75">
      <c r="B272" s="117"/>
      <c r="C272" s="176"/>
      <c r="D272" s="449"/>
      <c r="E272" s="468"/>
      <c r="F272" s="466"/>
      <c r="G272" s="415"/>
      <c r="H272" s="468"/>
      <c r="I272" s="466"/>
      <c r="J272" s="415"/>
      <c r="K272" s="468"/>
      <c r="L272" s="466"/>
      <c r="M272" s="415"/>
      <c r="N272" s="468"/>
      <c r="O272" s="466"/>
      <c r="P272" s="415"/>
      <c r="Q272" s="468"/>
      <c r="R272" s="466"/>
      <c r="S272" s="415"/>
    </row>
    <row r="273" spans="2:19" ht="28.5" customHeight="1" thickBot="1">
      <c r="B273" s="117"/>
      <c r="C273" s="176"/>
      <c r="D273" s="449"/>
      <c r="E273" s="469" t="s">
        <v>487</v>
      </c>
      <c r="F273" s="470"/>
      <c r="G273" s="415"/>
      <c r="H273" s="469" t="s">
        <v>487</v>
      </c>
      <c r="I273" s="470"/>
      <c r="J273" s="415"/>
      <c r="K273" s="469" t="s">
        <v>487</v>
      </c>
      <c r="L273" s="470"/>
      <c r="M273" s="415"/>
      <c r="N273" s="469" t="s">
        <v>487</v>
      </c>
      <c r="O273" s="470"/>
      <c r="P273" s="415"/>
      <c r="Q273" s="469" t="s">
        <v>487</v>
      </c>
      <c r="R273" s="470"/>
      <c r="S273" s="415"/>
    </row>
    <row r="274" spans="2:19" ht="28.5" customHeight="1" thickBot="1">
      <c r="B274" s="117"/>
      <c r="C274" s="176"/>
      <c r="D274" s="449"/>
      <c r="E274" s="469"/>
      <c r="F274" s="471">
        <f>E246+F265+F266+F269+F270+F271</f>
        <v>83921.777202737</v>
      </c>
      <c r="G274" s="415"/>
      <c r="H274" s="469"/>
      <c r="I274" s="471">
        <f>H246+I265+I266+I269+I270+I271</f>
        <v>76975.34752662118</v>
      </c>
      <c r="J274" s="415"/>
      <c r="K274" s="469"/>
      <c r="L274" s="471">
        <f>K246+L265+L266+L269+L270+L271</f>
        <v>70684.42954231011</v>
      </c>
      <c r="M274" s="415"/>
      <c r="N274" s="469"/>
      <c r="O274" s="471">
        <f>N246+O265+O266+O269+O270+O271</f>
        <v>63969.30521192396</v>
      </c>
      <c r="P274" s="415"/>
      <c r="Q274" s="469"/>
      <c r="R274" s="471">
        <f>Q246+R265+R266+R269+R270+R271</f>
        <v>58024.740824485954</v>
      </c>
      <c r="S274" s="415"/>
    </row>
    <row r="275" spans="2:19" ht="28.5" customHeight="1">
      <c r="B275" s="117"/>
      <c r="C275" s="176"/>
      <c r="D275" s="449"/>
      <c r="E275" s="472" t="s">
        <v>488</v>
      </c>
      <c r="F275" s="473"/>
      <c r="G275" s="415"/>
      <c r="H275" s="472" t="s">
        <v>488</v>
      </c>
      <c r="I275" s="473"/>
      <c r="J275" s="415"/>
      <c r="K275" s="472" t="s">
        <v>488</v>
      </c>
      <c r="L275" s="473"/>
      <c r="M275" s="415"/>
      <c r="N275" s="472" t="s">
        <v>488</v>
      </c>
      <c r="O275" s="473"/>
      <c r="P275" s="415"/>
      <c r="Q275" s="472" t="s">
        <v>488</v>
      </c>
      <c r="R275" s="473"/>
      <c r="S275" s="415"/>
    </row>
    <row r="276" spans="2:19" ht="28.5" customHeight="1" thickBot="1">
      <c r="B276" s="117"/>
      <c r="C276" s="176"/>
      <c r="D276" s="449"/>
      <c r="E276" s="474"/>
      <c r="F276" s="478">
        <f>F274-F255+F251</f>
        <v>27027.259067578998</v>
      </c>
      <c r="G276" s="415"/>
      <c r="H276" s="474"/>
      <c r="I276" s="478">
        <f>I274-I255+I251</f>
        <v>24711.782508873723</v>
      </c>
      <c r="J276" s="415"/>
      <c r="K276" s="474"/>
      <c r="L276" s="478">
        <f>L274-L255+L251</f>
        <v>22614.80984743672</v>
      </c>
      <c r="M276" s="415"/>
      <c r="N276" s="474"/>
      <c r="O276" s="478">
        <f>O274-O255+O251</f>
        <v>20376.435070641324</v>
      </c>
      <c r="P276" s="415"/>
      <c r="Q276" s="474"/>
      <c r="R276" s="478">
        <f>R274-R255+R251</f>
        <v>18394.91360816198</v>
      </c>
      <c r="S276" s="415"/>
    </row>
    <row r="277" spans="2:19" ht="28.5" customHeight="1" thickTop="1">
      <c r="B277" s="117"/>
      <c r="C277" s="176"/>
      <c r="D277" s="449"/>
      <c r="E277" s="457"/>
      <c r="G277" s="415"/>
      <c r="H277" s="457"/>
      <c r="J277" s="415"/>
      <c r="K277" s="457"/>
      <c r="M277" s="415"/>
      <c r="N277" s="457"/>
      <c r="P277" s="415"/>
      <c r="Q277" s="457"/>
      <c r="S277" s="415"/>
    </row>
    <row r="278" spans="4:19" ht="18" customHeight="1">
      <c r="D278" s="435"/>
      <c r="F278" s="516">
        <f>(F276-L276)/L276</f>
        <v>0.1951132576355669</v>
      </c>
      <c r="G278" s="372"/>
      <c r="I278" s="516">
        <f>(I276-O276)/O276</f>
        <v>0.21276280287511296</v>
      </c>
      <c r="J278" s="372"/>
      <c r="L278" s="516">
        <f>(L276-R276)/R276</f>
        <v>0.22940560250320163</v>
      </c>
      <c r="M278" s="372"/>
      <c r="O278" s="516">
        <f>(O276-R276)/R276</f>
        <v>0.107721161658521</v>
      </c>
      <c r="P278" s="372"/>
      <c r="R278" s="479"/>
      <c r="S278" s="372"/>
    </row>
    <row r="279" spans="4:19" ht="33">
      <c r="D279" s="435"/>
      <c r="E279" s="779" t="s">
        <v>516</v>
      </c>
      <c r="F279" s="780"/>
      <c r="G279" s="781"/>
      <c r="H279" s="769" t="s">
        <v>513</v>
      </c>
      <c r="I279" s="770"/>
      <c r="J279" s="497"/>
      <c r="K279" s="504">
        <v>43586</v>
      </c>
      <c r="L279" s="512"/>
      <c r="M279" s="497"/>
      <c r="N279" s="503">
        <v>43525</v>
      </c>
      <c r="O279" s="511"/>
      <c r="P279" s="509"/>
      <c r="Q279" s="495" t="s">
        <v>495</v>
      </c>
      <c r="R279" s="496"/>
      <c r="S279" s="497"/>
    </row>
    <row r="280" spans="3:19" s="147" customFormat="1" ht="22.5" customHeight="1">
      <c r="C280" s="150"/>
      <c r="D280" s="450"/>
      <c r="G280" s="372"/>
      <c r="J280" s="372"/>
      <c r="M280" s="372"/>
      <c r="P280" s="372"/>
      <c r="S280" s="372"/>
    </row>
    <row r="281" ht="12.75">
      <c r="D281" s="435"/>
    </row>
    <row r="282" spans="3:18" ht="27.75" thickBot="1">
      <c r="C282" s="155" t="s">
        <v>9</v>
      </c>
      <c r="D282" s="435"/>
      <c r="F282" s="3"/>
      <c r="I282" s="3"/>
      <c r="L282" s="3"/>
      <c r="O282" s="3"/>
      <c r="R282" s="3"/>
    </row>
    <row r="283" spans="2:18" ht="16.5" thickBot="1">
      <c r="B283" s="93" t="s">
        <v>7</v>
      </c>
      <c r="C283" s="42"/>
      <c r="D283" s="439">
        <v>15</v>
      </c>
      <c r="F283" s="176"/>
      <c r="I283" s="176"/>
      <c r="L283" s="176"/>
      <c r="O283" s="176"/>
      <c r="R283" s="176"/>
    </row>
    <row r="284" spans="2:18" ht="16.5" thickBot="1">
      <c r="B284" s="93" t="s">
        <v>344</v>
      </c>
      <c r="C284" s="42"/>
      <c r="D284" s="440">
        <v>0</v>
      </c>
      <c r="F284" s="176"/>
      <c r="I284" s="176">
        <f>3484*1.334/1.22</f>
        <v>3809.5540983606556</v>
      </c>
      <c r="J284" s="1">
        <f>I284/1200</f>
        <v>3.174628415300546</v>
      </c>
      <c r="L284" s="176"/>
      <c r="R284" s="176"/>
    </row>
    <row r="285" spans="2:18" ht="16.5" thickBot="1">
      <c r="B285" s="174"/>
      <c r="C285" s="174"/>
      <c r="D285" s="451">
        <f>LOOKUP(D284,D18:D29,E18:E29)</f>
        <v>0</v>
      </c>
      <c r="F285" s="3"/>
      <c r="I285" s="3"/>
      <c r="L285" s="3"/>
      <c r="Q285" s="174"/>
      <c r="R285" s="3"/>
    </row>
    <row r="286" spans="2:18" s="517" customFormat="1" ht="16.5" thickBot="1">
      <c r="B286" s="564" t="s">
        <v>357</v>
      </c>
      <c r="C286" s="565"/>
      <c r="D286" s="441"/>
      <c r="F286" s="523"/>
      <c r="I286" s="523"/>
      <c r="L286" s="523"/>
      <c r="Q286" s="522"/>
      <c r="R286" s="523" t="s">
        <v>9</v>
      </c>
    </row>
    <row r="287" spans="2:18" ht="16.5" thickBot="1">
      <c r="B287" s="395" t="s">
        <v>358</v>
      </c>
      <c r="C287" s="137"/>
      <c r="D287" s="442">
        <v>15</v>
      </c>
      <c r="F287" s="176"/>
      <c r="I287" s="176"/>
      <c r="L287" s="176"/>
      <c r="Q287" s="174"/>
      <c r="R287" s="176"/>
    </row>
    <row r="288" spans="2:18" ht="16.5" thickBot="1">
      <c r="B288" s="395" t="s">
        <v>359</v>
      </c>
      <c r="C288" s="137"/>
      <c r="D288" s="442">
        <v>15</v>
      </c>
      <c r="F288" s="176"/>
      <c r="I288" s="176"/>
      <c r="L288" s="176"/>
      <c r="Q288" s="174"/>
      <c r="R288" s="176"/>
    </row>
    <row r="289" spans="2:18" ht="16.5" thickBot="1">
      <c r="B289" s="399" t="s">
        <v>394</v>
      </c>
      <c r="C289" s="280"/>
      <c r="D289" s="443">
        <v>0</v>
      </c>
      <c r="F289" s="3"/>
      <c r="I289" s="3"/>
      <c r="L289" s="3"/>
      <c r="Q289" s="174"/>
      <c r="R289" s="3"/>
    </row>
    <row r="290" spans="2:19" ht="27">
      <c r="B290" s="131" t="s">
        <v>5</v>
      </c>
      <c r="C290" s="490"/>
      <c r="D290" s="491">
        <f>D283*86.9</f>
        <v>1303.5</v>
      </c>
      <c r="E290" s="174"/>
      <c r="F290" s="178"/>
      <c r="G290" s="155" t="s">
        <v>9</v>
      </c>
      <c r="H290" s="174"/>
      <c r="I290" s="178"/>
      <c r="J290" s="155" t="s">
        <v>9</v>
      </c>
      <c r="K290" s="174"/>
      <c r="L290" s="178"/>
      <c r="M290" s="155" t="s">
        <v>9</v>
      </c>
      <c r="N290" s="174"/>
      <c r="O290" s="178"/>
      <c r="P290" s="155" t="s">
        <v>9</v>
      </c>
      <c r="Q290" s="174"/>
      <c r="R290" s="178"/>
      <c r="S290" s="155" t="s">
        <v>9</v>
      </c>
    </row>
    <row r="291" spans="2:19" s="517" customFormat="1" ht="27.75" customHeight="1">
      <c r="B291" s="612"/>
      <c r="C291" s="613"/>
      <c r="D291" s="790"/>
      <c r="E291" s="522"/>
      <c r="F291" s="176"/>
      <c r="G291" s="523"/>
      <c r="H291" s="522"/>
      <c r="I291" s="176"/>
      <c r="J291" s="523"/>
      <c r="K291" s="522"/>
      <c r="L291" s="176"/>
      <c r="M291" s="523"/>
      <c r="N291" s="522"/>
      <c r="O291" s="176"/>
      <c r="P291" s="523"/>
      <c r="Q291" s="522"/>
      <c r="R291" s="176"/>
      <c r="S291" s="523"/>
    </row>
    <row r="292" spans="2:19" ht="36" thickBot="1">
      <c r="B292" s="359"/>
      <c r="C292" s="374"/>
      <c r="D292" s="445"/>
      <c r="E292" s="779" t="s">
        <v>516</v>
      </c>
      <c r="F292" s="780"/>
      <c r="G292" s="781"/>
      <c r="H292" s="769" t="s">
        <v>513</v>
      </c>
      <c r="I292" s="770"/>
      <c r="J292" s="578"/>
      <c r="K292" s="504">
        <v>43586</v>
      </c>
      <c r="L292" s="512"/>
      <c r="M292" s="578"/>
      <c r="N292" s="503">
        <v>43525</v>
      </c>
      <c r="O292" s="511"/>
      <c r="P292" s="578"/>
      <c r="Q292" s="495" t="s">
        <v>495</v>
      </c>
      <c r="R292" s="496"/>
      <c r="S292" s="372"/>
    </row>
    <row r="293" spans="2:19" ht="13.5" thickBot="1">
      <c r="B293" s="81" t="s">
        <v>349</v>
      </c>
      <c r="C293" s="124" t="s">
        <v>348</v>
      </c>
      <c r="D293" s="434" t="s">
        <v>320</v>
      </c>
      <c r="E293" s="124" t="s">
        <v>321</v>
      </c>
      <c r="F293" s="125" t="s">
        <v>322</v>
      </c>
      <c r="G293" s="372"/>
      <c r="H293" s="124" t="s">
        <v>321</v>
      </c>
      <c r="I293" s="125" t="s">
        <v>322</v>
      </c>
      <c r="J293" s="372"/>
      <c r="K293" s="124" t="s">
        <v>321</v>
      </c>
      <c r="L293" s="125" t="s">
        <v>322</v>
      </c>
      <c r="M293" s="372"/>
      <c r="N293" s="124" t="s">
        <v>321</v>
      </c>
      <c r="O293" s="125" t="s">
        <v>322</v>
      </c>
      <c r="P293" s="372"/>
      <c r="Q293" s="124" t="s">
        <v>321</v>
      </c>
      <c r="R293" s="125" t="s">
        <v>322</v>
      </c>
      <c r="S293" s="372"/>
    </row>
    <row r="294" spans="2:19" s="7" customFormat="1" ht="15">
      <c r="B294" s="689" t="s">
        <v>331</v>
      </c>
      <c r="C294" s="714">
        <f>canthorsup</f>
        <v>15</v>
      </c>
      <c r="D294" s="680" t="s">
        <v>332</v>
      </c>
      <c r="E294" s="649">
        <f>indiceoct19*punbashorsup</f>
        <v>13410.79905</v>
      </c>
      <c r="F294" s="680"/>
      <c r="G294" s="482"/>
      <c r="H294" s="649">
        <f>indicejul19*punbashorsup</f>
        <v>12261.877054918034</v>
      </c>
      <c r="I294" s="680"/>
      <c r="J294" s="482"/>
      <c r="K294" s="649">
        <f>indicemay19*punbashorsup</f>
        <v>11214.0105</v>
      </c>
      <c r="L294" s="680"/>
      <c r="M294" s="482"/>
      <c r="N294" s="649">
        <f>indicemar19*punbashorsup</f>
        <v>10110.988800000001</v>
      </c>
      <c r="O294" s="680"/>
      <c r="P294" s="482"/>
      <c r="Q294" s="649">
        <f>indicedic18*punbashorsup</f>
        <v>9191.7606</v>
      </c>
      <c r="R294" s="680"/>
      <c r="S294" s="482"/>
    </row>
    <row r="295" spans="2:19" s="7" customFormat="1" ht="12.75">
      <c r="B295" s="703" t="s">
        <v>296</v>
      </c>
      <c r="C295" s="592">
        <f>porantighorsup</f>
        <v>0</v>
      </c>
      <c r="D295" s="704" t="s">
        <v>0</v>
      </c>
      <c r="E295" s="651">
        <f>E294*porantighorsup</f>
        <v>0</v>
      </c>
      <c r="F295" s="704"/>
      <c r="G295" s="482"/>
      <c r="H295" s="651">
        <f>H294*porantighorsup</f>
        <v>0</v>
      </c>
      <c r="I295" s="704"/>
      <c r="J295" s="482"/>
      <c r="K295" s="651">
        <f>K294*porantighorsup</f>
        <v>0</v>
      </c>
      <c r="L295" s="704"/>
      <c r="M295" s="482"/>
      <c r="N295" s="651">
        <f>N294*porantighorsup</f>
        <v>0</v>
      </c>
      <c r="O295" s="704"/>
      <c r="P295" s="482"/>
      <c r="Q295" s="651">
        <f>Q294*porantighorsup</f>
        <v>0</v>
      </c>
      <c r="R295" s="704"/>
      <c r="S295" s="482"/>
    </row>
    <row r="296" spans="2:19" s="7" customFormat="1" ht="15.75">
      <c r="B296" s="690" t="s">
        <v>301</v>
      </c>
      <c r="C296" s="715">
        <f>Q296/113.3</f>
        <v>15</v>
      </c>
      <c r="D296" s="713" t="s">
        <v>328</v>
      </c>
      <c r="E296" s="657">
        <f>IF(canthor06sup&gt;17,17*165.3,165.3*canthor06sup)</f>
        <v>2479.5</v>
      </c>
      <c r="F296" s="681"/>
      <c r="G296" s="482"/>
      <c r="H296" s="657">
        <f>IF(canthor06sup&gt;17,17*151.14,151.14*canthor06sup)</f>
        <v>2267.1</v>
      </c>
      <c r="I296" s="681"/>
      <c r="J296" s="482"/>
      <c r="K296" s="657">
        <f>IF(canthor06sup&gt;17,17*138.226,138.226*canthor06sup)</f>
        <v>2073.39</v>
      </c>
      <c r="L296" s="681"/>
      <c r="M296" s="482"/>
      <c r="N296" s="657">
        <f>IF(canthor06sup&gt;17,17*124.63,124.63*canthor06sup)</f>
        <v>1869.4499999999998</v>
      </c>
      <c r="O296" s="681"/>
      <c r="P296" s="482"/>
      <c r="Q296" s="657">
        <f>IF(canthor06sup&gt;17,17*113.3,113.3*canthor06sup)</f>
        <v>1699.5</v>
      </c>
      <c r="R296" s="681"/>
      <c r="S296" s="482"/>
    </row>
    <row r="297" spans="2:19" s="7" customFormat="1" ht="12.75">
      <c r="B297" s="703" t="s">
        <v>302</v>
      </c>
      <c r="C297" s="592">
        <v>0.07</v>
      </c>
      <c r="D297" s="725" t="s">
        <v>333</v>
      </c>
      <c r="E297" s="651">
        <f>E296*0.07</f>
        <v>173.56500000000003</v>
      </c>
      <c r="F297" s="704"/>
      <c r="G297" s="482"/>
      <c r="H297" s="651">
        <f>H296*0.07</f>
        <v>158.697</v>
      </c>
      <c r="I297" s="704"/>
      <c r="J297" s="482"/>
      <c r="K297" s="651">
        <f>K296*0.07</f>
        <v>145.1373</v>
      </c>
      <c r="L297" s="704"/>
      <c r="M297" s="482"/>
      <c r="N297" s="651">
        <f>N296*0.07</f>
        <v>130.8615</v>
      </c>
      <c r="O297" s="704"/>
      <c r="P297" s="482"/>
      <c r="Q297" s="651">
        <f>Q296*0.07</f>
        <v>118.96500000000002</v>
      </c>
      <c r="R297" s="704"/>
      <c r="S297" s="482"/>
    </row>
    <row r="298" spans="2:19" s="7" customFormat="1" ht="15.75">
      <c r="B298" s="692" t="s">
        <v>303</v>
      </c>
      <c r="C298" s="716">
        <f>Q298/100.8333</f>
        <v>15.000004462811395</v>
      </c>
      <c r="D298" s="681" t="s">
        <v>315</v>
      </c>
      <c r="E298" s="657">
        <f>IF(canthorincsup*100.8333&gt;2420,2420,canthorincsup*100.83333)</f>
        <v>1512.4999500000001</v>
      </c>
      <c r="F298" s="681"/>
      <c r="G298" s="482"/>
      <c r="H298" s="657">
        <f>IF(canthorincsup*100.8333&gt;2420,2420,canthorincsup*100.83333)</f>
        <v>1512.4999500000001</v>
      </c>
      <c r="I298" s="681"/>
      <c r="J298" s="482"/>
      <c r="K298" s="657">
        <f>IF(canthorincsup*100.8333&gt;2420,2420,canthorincsup*100.83333)</f>
        <v>1512.4999500000001</v>
      </c>
      <c r="L298" s="681"/>
      <c r="M298" s="482"/>
      <c r="N298" s="657">
        <f>IF(canthorincsup*100.8333&gt;2420,2420,canthorincsup*100.83333)</f>
        <v>1512.4999500000001</v>
      </c>
      <c r="O298" s="681"/>
      <c r="P298" s="482"/>
      <c r="Q298" s="657">
        <f>IF(canthorincsup*100.8333&gt;2420,2420,canthorincsup*100.83333)</f>
        <v>1512.4999500000001</v>
      </c>
      <c r="R298" s="681"/>
      <c r="S298" s="482"/>
    </row>
    <row r="299" spans="2:19" s="7" customFormat="1" ht="12.75">
      <c r="B299" s="703" t="s">
        <v>299</v>
      </c>
      <c r="C299" s="592">
        <v>0.07</v>
      </c>
      <c r="D299" s="705" t="s">
        <v>330</v>
      </c>
      <c r="E299" s="651">
        <f>(E294+E295+E302)*0.07</f>
        <v>1000.1021835</v>
      </c>
      <c r="F299" s="704"/>
      <c r="G299" s="482"/>
      <c r="H299" s="651">
        <f>(H294+H295+H302)*0.07</f>
        <v>914.4223938442624</v>
      </c>
      <c r="I299" s="704"/>
      <c r="J299" s="482"/>
      <c r="K299" s="651">
        <f>(K294+K295+K302)*0.07</f>
        <v>837.4807350000001</v>
      </c>
      <c r="L299" s="704"/>
      <c r="M299" s="482"/>
      <c r="N299" s="651">
        <f>(N294+N295+N302)*0.07</f>
        <v>753.9692160000002</v>
      </c>
      <c r="O299" s="704"/>
      <c r="P299" s="482"/>
      <c r="Q299" s="651">
        <f>(Q294+Q295+Q302)*0.07</f>
        <v>674.9232420000001</v>
      </c>
      <c r="R299" s="704"/>
      <c r="S299" s="482"/>
    </row>
    <row r="300" spans="2:19" s="7" customFormat="1" ht="12.75">
      <c r="B300" s="693" t="s">
        <v>392</v>
      </c>
      <c r="C300" s="241">
        <f>cantkmhs</f>
        <v>0</v>
      </c>
      <c r="D300" s="717" t="s">
        <v>393</v>
      </c>
      <c r="E300" s="661">
        <f>IF(kmsemhssup&lt;300,kmsemhssup*3.4721*4,4166.52)</f>
        <v>0</v>
      </c>
      <c r="F300" s="772"/>
      <c r="G300" s="482"/>
      <c r="H300" s="661">
        <f>IF(kmsemhssup&lt;300,kmsemhssup*3.1746*4,3809.55)</f>
        <v>0</v>
      </c>
      <c r="I300" s="772"/>
      <c r="J300" s="482"/>
      <c r="K300" s="661">
        <f>IF(kmsemhssup&lt;300,kmsemhssup*2.9036*4,3484)</f>
        <v>0</v>
      </c>
      <c r="L300" s="681"/>
      <c r="M300" s="482"/>
      <c r="N300" s="661">
        <f>IF(kmsemhssup&lt;300,kmsemhssup*2.9036*4,3484)</f>
        <v>0</v>
      </c>
      <c r="O300" s="681"/>
      <c r="P300" s="482"/>
      <c r="Q300" s="661">
        <f>IF(kmsemhssup&lt;300,kmsemhssup*2.38*4,2856)</f>
        <v>0</v>
      </c>
      <c r="R300" s="681"/>
      <c r="S300" s="482"/>
    </row>
    <row r="301" spans="2:19" s="7" customFormat="1" ht="15.75">
      <c r="B301" s="707">
        <v>44</v>
      </c>
      <c r="C301" s="730">
        <f>Q301/17.5</f>
        <v>15</v>
      </c>
      <c r="D301" s="729" t="s">
        <v>479</v>
      </c>
      <c r="E301" s="651">
        <f>IF(canthorincsup*17.5&gt;420,420,canthorincsup*17.5)</f>
        <v>262.5</v>
      </c>
      <c r="F301" s="704"/>
      <c r="G301" s="482"/>
      <c r="H301" s="651">
        <f>IF(canthorincsup*17.5&gt;420,420,canthorincsup*17.5)</f>
        <v>262.5</v>
      </c>
      <c r="I301" s="704"/>
      <c r="J301" s="482"/>
      <c r="K301" s="651">
        <f>IF(canthorincsup*17.5&gt;420,420,canthorincsup*17.5)</f>
        <v>262.5</v>
      </c>
      <c r="L301" s="704"/>
      <c r="M301" s="482"/>
      <c r="N301" s="651">
        <f>IF(canthorincsup*17.5&gt;420,420,canthorincsup*17.5)</f>
        <v>262.5</v>
      </c>
      <c r="O301" s="704"/>
      <c r="P301" s="482"/>
      <c r="Q301" s="651">
        <f>IF(canthorincsup*17.5&gt;420,420,canthorincsup*17.5)</f>
        <v>262.5</v>
      </c>
      <c r="R301" s="704"/>
      <c r="S301" s="482"/>
    </row>
    <row r="302" spans="2:19" s="7" customFormat="1" ht="15.75">
      <c r="B302" s="694">
        <v>117</v>
      </c>
      <c r="C302" s="716"/>
      <c r="D302" s="713" t="s">
        <v>481</v>
      </c>
      <c r="E302" s="657">
        <f>IF(canthorsup*58.425&gt;1752.77,1752.77,canthorsup*58.425)</f>
        <v>876.375</v>
      </c>
      <c r="F302" s="681"/>
      <c r="G302" s="482"/>
      <c r="H302" s="657">
        <f>IF(canthorsup*53.42&gt;1602.6,1602.26,canthorsup*53.42)</f>
        <v>801.3000000000001</v>
      </c>
      <c r="I302" s="681"/>
      <c r="J302" s="482"/>
      <c r="K302" s="657">
        <f>IF(canthorsup*50&gt;1500,1500,canthorsup*50)</f>
        <v>750</v>
      </c>
      <c r="L302" s="681"/>
      <c r="M302" s="482"/>
      <c r="N302" s="657">
        <f>IF(canthorsup*44&gt;1320,1320,canthorsup*44)</f>
        <v>660</v>
      </c>
      <c r="O302" s="681"/>
      <c r="P302" s="482"/>
      <c r="Q302" s="657">
        <f>IF(canthorincsup*30&gt;900,900,canthorincsup*30)</f>
        <v>450</v>
      </c>
      <c r="R302" s="681"/>
      <c r="S302" s="482"/>
    </row>
    <row r="303" spans="2:19" s="7" customFormat="1" ht="15">
      <c r="B303" s="735" t="s">
        <v>340</v>
      </c>
      <c r="C303" s="585"/>
      <c r="D303" s="704"/>
      <c r="E303" s="668">
        <v>0</v>
      </c>
      <c r="F303" s="704"/>
      <c r="G303" s="482"/>
      <c r="H303" s="668">
        <v>0</v>
      </c>
      <c r="I303" s="704"/>
      <c r="J303" s="482"/>
      <c r="K303" s="668">
        <v>0</v>
      </c>
      <c r="L303" s="704"/>
      <c r="M303" s="482"/>
      <c r="N303" s="668">
        <v>0</v>
      </c>
      <c r="O303" s="704"/>
      <c r="P303" s="482"/>
      <c r="Q303" s="668">
        <v>0</v>
      </c>
      <c r="R303" s="704"/>
      <c r="S303" s="482"/>
    </row>
    <row r="304" spans="2:19" s="7" customFormat="1" ht="15.75">
      <c r="B304" s="696"/>
      <c r="C304" s="715" t="s">
        <v>8</v>
      </c>
      <c r="D304" s="718"/>
      <c r="E304" s="682">
        <f>SUM(E294:E303)</f>
        <v>19715.3411835</v>
      </c>
      <c r="F304" s="681"/>
      <c r="G304" s="482"/>
      <c r="H304" s="682">
        <f>SUM(H294:H303)</f>
        <v>18178.396398762296</v>
      </c>
      <c r="I304" s="681"/>
      <c r="J304" s="482"/>
      <c r="K304" s="682">
        <f>SUM(K294:K303)</f>
        <v>16795.018485</v>
      </c>
      <c r="L304" s="681"/>
      <c r="M304" s="482"/>
      <c r="N304" s="682">
        <f>SUM(N294:N303)</f>
        <v>15300.269466</v>
      </c>
      <c r="O304" s="681"/>
      <c r="P304" s="482"/>
      <c r="Q304" s="682">
        <f>SUM(Q294:Q303)</f>
        <v>13910.148792</v>
      </c>
      <c r="R304" s="681"/>
      <c r="S304" s="482"/>
    </row>
    <row r="305" spans="2:19" s="7" customFormat="1" ht="15">
      <c r="B305" s="736" t="s">
        <v>335</v>
      </c>
      <c r="C305" s="599"/>
      <c r="D305" s="725" t="s">
        <v>336</v>
      </c>
      <c r="E305" s="668">
        <v>0</v>
      </c>
      <c r="F305" s="737">
        <f>-K305</f>
        <v>0</v>
      </c>
      <c r="G305" s="482"/>
      <c r="H305" s="668">
        <v>0</v>
      </c>
      <c r="I305" s="737">
        <f>-N305</f>
        <v>0</v>
      </c>
      <c r="J305" s="482"/>
      <c r="K305" s="668">
        <v>0</v>
      </c>
      <c r="L305" s="737">
        <f>-Q305</f>
        <v>0</v>
      </c>
      <c r="M305" s="482"/>
      <c r="N305" s="668">
        <v>0</v>
      </c>
      <c r="O305" s="737">
        <f>-Q305</f>
        <v>0</v>
      </c>
      <c r="P305" s="482"/>
      <c r="Q305" s="668">
        <v>0</v>
      </c>
      <c r="R305" s="737">
        <f>-Q305</f>
        <v>0</v>
      </c>
      <c r="S305" s="482"/>
    </row>
    <row r="306" spans="2:19" s="7" customFormat="1" ht="12.75">
      <c r="B306" s="685">
        <v>502</v>
      </c>
      <c r="C306" s="566">
        <v>0.16</v>
      </c>
      <c r="D306" s="719" t="s">
        <v>339</v>
      </c>
      <c r="E306" s="734"/>
      <c r="F306" s="684">
        <f>-(E294+E295+E299+E296+E297+F305+E302)*porjub</f>
        <v>-2870.4545973599998</v>
      </c>
      <c r="G306" s="482"/>
      <c r="H306" s="734"/>
      <c r="I306" s="684">
        <f>-(H294+H295+H299+H296+H297+I305+H302)*porjub</f>
        <v>-2624.543431801968</v>
      </c>
      <c r="J306" s="482"/>
      <c r="K306" s="734"/>
      <c r="L306" s="684">
        <f>-(K294+K295+K299+K296+K297+L305+K302)*porjub</f>
        <v>-2403.2029656000004</v>
      </c>
      <c r="M306" s="482"/>
      <c r="N306" s="734"/>
      <c r="O306" s="684">
        <f>-(N294+N295+N299+N296+N297+O305+N302)*porjub</f>
        <v>-2164.0431225600005</v>
      </c>
      <c r="P306" s="482"/>
      <c r="Q306" s="734"/>
      <c r="R306" s="684">
        <f>-(Q294+Q295+Q299+Q296+Q297+R305+Q302)*porjub</f>
        <v>-1941.6238147200002</v>
      </c>
      <c r="S306" s="482"/>
    </row>
    <row r="307" spans="2:19" s="7" customFormat="1" ht="12.75">
      <c r="B307" s="709">
        <v>504</v>
      </c>
      <c r="C307" s="574">
        <v>0.006</v>
      </c>
      <c r="D307" s="704" t="s">
        <v>338</v>
      </c>
      <c r="E307" s="709"/>
      <c r="F307" s="711">
        <f>-(E294+E295+E299+E296+E297+F305+E302)*porley</f>
        <v>-107.642047401</v>
      </c>
      <c r="G307" s="482"/>
      <c r="H307" s="709"/>
      <c r="I307" s="711">
        <f>-(H294+H295+H299+H296+H297+I305+H302)*porley</f>
        <v>-98.42037869257379</v>
      </c>
      <c r="J307" s="482"/>
      <c r="K307" s="709"/>
      <c r="L307" s="711">
        <f>-(K294+K295+K299+K296+K297+L305+K302)*porley</f>
        <v>-90.12011121</v>
      </c>
      <c r="M307" s="482"/>
      <c r="N307" s="709"/>
      <c r="O307" s="711">
        <f>-(N294+N295+N299+N296+N297+O305+N302)*porley</f>
        <v>-81.15161709600001</v>
      </c>
      <c r="P307" s="482"/>
      <c r="Q307" s="709"/>
      <c r="R307" s="711">
        <f>-(Q294+Q295+Q299+Q296+Q297+R305+Q302)*porley</f>
        <v>-72.81089305200001</v>
      </c>
      <c r="S307" s="482"/>
    </row>
    <row r="308" spans="2:19" s="7" customFormat="1" ht="12.75">
      <c r="B308" s="685">
        <v>505</v>
      </c>
      <c r="C308" s="567">
        <v>0.03</v>
      </c>
      <c r="D308" s="719" t="s">
        <v>337</v>
      </c>
      <c r="E308" s="683"/>
      <c r="F308" s="684">
        <f>-(E294+E295+E299+E296+E297+F305+E302)*poros</f>
        <v>-538.210237005</v>
      </c>
      <c r="G308" s="482"/>
      <c r="H308" s="683"/>
      <c r="I308" s="684">
        <f>-(H294+H295+H299+H296+H297+I305+H302)*poros</f>
        <v>-492.10189346286893</v>
      </c>
      <c r="J308" s="482"/>
      <c r="K308" s="683"/>
      <c r="L308" s="684">
        <f>-(K294+K295+K299+K296+K297+L305+K302)*poros</f>
        <v>-450.60055605</v>
      </c>
      <c r="M308" s="482"/>
      <c r="N308" s="683"/>
      <c r="O308" s="684">
        <f>-(N294+N295+N299+N296+N297+O305+N302)*poros</f>
        <v>-405.75808548000003</v>
      </c>
      <c r="P308" s="482"/>
      <c r="Q308" s="683"/>
      <c r="R308" s="684">
        <f>-(Q294+Q295+Q299+Q296+Q297+R305+Q302)*poros</f>
        <v>-364.05446526000003</v>
      </c>
      <c r="S308" s="482"/>
    </row>
    <row r="309" spans="2:19" s="7" customFormat="1" ht="12.75">
      <c r="B309" s="738">
        <v>332</v>
      </c>
      <c r="C309" s="576">
        <v>0</v>
      </c>
      <c r="D309" s="739" t="s">
        <v>471</v>
      </c>
      <c r="E309" s="710"/>
      <c r="F309" s="711">
        <f>-(E294+E295+E299+E296+E297+F305+E302)*poragmer-E298*poragmer</f>
        <v>0</v>
      </c>
      <c r="G309" s="482"/>
      <c r="H309" s="710"/>
      <c r="I309" s="711">
        <f>-(H294+H295+H299+H296+H297+I305+H302)*poragmer-H298*poragmer</f>
        <v>0</v>
      </c>
      <c r="J309" s="482"/>
      <c r="K309" s="710"/>
      <c r="L309" s="711">
        <f>-(K294+K295+K299+K296+K297+L305+K302)*poragmer-K298*poragmer</f>
        <v>0</v>
      </c>
      <c r="M309" s="482"/>
      <c r="N309" s="710"/>
      <c r="O309" s="711">
        <f>-(N294+N295+N299+N296+N297+O305+N302)*poragmer-N298*poragmer</f>
        <v>0</v>
      </c>
      <c r="P309" s="482"/>
      <c r="Q309" s="710"/>
      <c r="R309" s="711">
        <f>-(Q294+Q295+Q299+Q296+Q297+R305+Q302)*poragmer-Q298*poragmer</f>
        <v>0</v>
      </c>
      <c r="S309" s="482"/>
    </row>
    <row r="310" spans="2:19" s="7" customFormat="1" ht="15">
      <c r="B310" s="699" t="s">
        <v>2</v>
      </c>
      <c r="C310" s="542">
        <v>0</v>
      </c>
      <c r="D310" s="681"/>
      <c r="E310" s="685"/>
      <c r="F310" s="684">
        <f>-(E295+E294+E299+E296+E297+F305+E302)*C310</f>
        <v>0</v>
      </c>
      <c r="G310" s="482"/>
      <c r="H310" s="685"/>
      <c r="I310" s="684">
        <f>-(H295+H294+H299+H296+H297+I305+H302)*C310</f>
        <v>0</v>
      </c>
      <c r="J310" s="482"/>
      <c r="K310" s="685"/>
      <c r="L310" s="684">
        <f>-(K295+K294+K299+K296+K297+L305+K302)*C310</f>
        <v>0</v>
      </c>
      <c r="M310" s="482"/>
      <c r="N310" s="685"/>
      <c r="O310" s="684">
        <f>-(N295+N294+N299+N296+N297+O305+N302)*C310</f>
        <v>0</v>
      </c>
      <c r="P310" s="482"/>
      <c r="Q310" s="685"/>
      <c r="R310" s="684">
        <f>-(Q295+Q294+Q299+Q296+Q297+R305+Q302)*C310</f>
        <v>0</v>
      </c>
      <c r="S310" s="482"/>
    </row>
    <row r="311" spans="2:19" s="7" customFormat="1" ht="16.5" thickBot="1">
      <c r="B311" s="740"/>
      <c r="C311" s="741"/>
      <c r="D311" s="742" t="s">
        <v>3</v>
      </c>
      <c r="E311" s="740"/>
      <c r="F311" s="743">
        <f>SUM(F306:F310)</f>
        <v>-3516.3068817659996</v>
      </c>
      <c r="G311" s="482"/>
      <c r="H311" s="740"/>
      <c r="I311" s="743">
        <f>SUM(I306:I310)</f>
        <v>-3215.0657039574107</v>
      </c>
      <c r="J311" s="482"/>
      <c r="K311" s="740"/>
      <c r="L311" s="743">
        <f>SUM(L306:L310)</f>
        <v>-2943.92363286</v>
      </c>
      <c r="M311" s="482"/>
      <c r="N311" s="740"/>
      <c r="O311" s="743">
        <f>SUM(O306:O310)</f>
        <v>-2650.9528251360002</v>
      </c>
      <c r="P311" s="482"/>
      <c r="Q311" s="740"/>
      <c r="R311" s="743">
        <f>SUM(R306:R310)</f>
        <v>-2378.489173032</v>
      </c>
      <c r="S311" s="482"/>
    </row>
    <row r="312" spans="4:19" ht="13.5" thickBot="1">
      <c r="D312" s="435"/>
      <c r="G312" s="372"/>
      <c r="J312" s="372"/>
      <c r="M312" s="372"/>
      <c r="P312" s="372"/>
      <c r="S312" s="372"/>
    </row>
    <row r="313" spans="2:19" ht="24.75" thickBot="1" thickTop="1">
      <c r="B313" s="166"/>
      <c r="D313" s="436"/>
      <c r="E313" s="375" t="s">
        <v>4</v>
      </c>
      <c r="F313" s="376">
        <f>E304+F311</f>
        <v>16199.034301734002</v>
      </c>
      <c r="G313" s="372"/>
      <c r="H313" s="375" t="s">
        <v>4</v>
      </c>
      <c r="I313" s="376">
        <f>H304+I311</f>
        <v>14963.330694804885</v>
      </c>
      <c r="J313" s="372"/>
      <c r="K313" s="375" t="s">
        <v>4</v>
      </c>
      <c r="L313" s="376">
        <f>K304+L311</f>
        <v>13851.09485214</v>
      </c>
      <c r="M313" s="372"/>
      <c r="N313" s="375" t="s">
        <v>4</v>
      </c>
      <c r="O313" s="376">
        <f>N304+O311</f>
        <v>12649.316640863999</v>
      </c>
      <c r="P313" s="372"/>
      <c r="Q313" s="375" t="s">
        <v>4</v>
      </c>
      <c r="R313" s="376">
        <f>Q304+R311</f>
        <v>11531.659618968</v>
      </c>
      <c r="S313" s="372"/>
    </row>
    <row r="314" spans="2:19" ht="24" thickTop="1">
      <c r="B314" s="166"/>
      <c r="D314" s="787"/>
      <c r="E314" s="116"/>
      <c r="F314" s="786"/>
      <c r="G314" s="372"/>
      <c r="H314" s="116"/>
      <c r="I314" s="409"/>
      <c r="J314" s="372"/>
      <c r="K314" s="116"/>
      <c r="L314" s="409"/>
      <c r="M314" s="372"/>
      <c r="N314" s="116"/>
      <c r="O314" s="409"/>
      <c r="P314" s="372"/>
      <c r="Q314" s="116"/>
      <c r="R314" s="409"/>
      <c r="S314" s="372"/>
    </row>
    <row r="315" spans="2:19" ht="24" thickBot="1">
      <c r="B315" s="166"/>
      <c r="D315" s="787"/>
      <c r="E315" s="95" t="s">
        <v>496</v>
      </c>
      <c r="F315" s="409"/>
      <c r="G315" s="372"/>
      <c r="H315" s="95" t="s">
        <v>496</v>
      </c>
      <c r="I315" s="409"/>
      <c r="J315" s="372"/>
      <c r="K315" s="95" t="s">
        <v>496</v>
      </c>
      <c r="L315" s="409"/>
      <c r="M315" s="372"/>
      <c r="O315" s="409"/>
      <c r="P315" s="372"/>
      <c r="Q315" s="95"/>
      <c r="R315" s="409"/>
      <c r="S315" s="372"/>
    </row>
    <row r="316" spans="2:19" ht="18">
      <c r="B316" s="166"/>
      <c r="D316" s="787"/>
      <c r="E316" s="405" t="s">
        <v>372</v>
      </c>
      <c r="F316" s="406">
        <f>F313-I313</f>
        <v>1235.703606929117</v>
      </c>
      <c r="G316" s="372"/>
      <c r="H316" s="405" t="s">
        <v>372</v>
      </c>
      <c r="I316" s="406">
        <f>I313-L313</f>
        <v>1112.2358426648843</v>
      </c>
      <c r="J316" s="372"/>
      <c r="K316" s="405" t="s">
        <v>372</v>
      </c>
      <c r="L316" s="406">
        <f>L313-O313</f>
        <v>1201.7782112760015</v>
      </c>
      <c r="M316" s="372"/>
      <c r="N316" s="405" t="s">
        <v>372</v>
      </c>
      <c r="O316" s="406">
        <f>O313-R313</f>
        <v>1117.6570218959987</v>
      </c>
      <c r="P316" s="372"/>
      <c r="Q316" s="405"/>
      <c r="R316" s="406"/>
      <c r="S316" s="372"/>
    </row>
    <row r="317" spans="4:19" s="3" customFormat="1" ht="18.75" thickBot="1">
      <c r="D317" s="788"/>
      <c r="E317" s="407" t="s">
        <v>373</v>
      </c>
      <c r="F317" s="408">
        <f>F316/R313</f>
        <v>0.10715748190282637</v>
      </c>
      <c r="G317" s="412"/>
      <c r="H317" s="407" t="s">
        <v>373</v>
      </c>
      <c r="I317" s="408">
        <f>I316/R313</f>
        <v>0.09645063064776979</v>
      </c>
      <c r="J317" s="412"/>
      <c r="K317" s="407" t="s">
        <v>373</v>
      </c>
      <c r="L317" s="408">
        <f>L316/R313</f>
        <v>0.10421554667632063</v>
      </c>
      <c r="M317" s="412"/>
      <c r="N317" s="407" t="s">
        <v>373</v>
      </c>
      <c r="O317" s="408">
        <f>O316/R313</f>
        <v>0.09692074331240284</v>
      </c>
      <c r="P317" s="412"/>
      <c r="Q317" s="407"/>
      <c r="R317" s="408"/>
      <c r="S317" s="412"/>
    </row>
    <row r="318" spans="2:19" s="3" customFormat="1" ht="27.75" customHeight="1" thickBot="1">
      <c r="B318" s="368"/>
      <c r="C318" s="176"/>
      <c r="D318" s="789"/>
      <c r="E318" s="4" t="s">
        <v>482</v>
      </c>
      <c r="G318" s="413"/>
      <c r="H318" s="4" t="s">
        <v>482</v>
      </c>
      <c r="J318" s="413"/>
      <c r="K318" s="4" t="s">
        <v>482</v>
      </c>
      <c r="M318" s="413"/>
      <c r="N318" s="95" t="s">
        <v>496</v>
      </c>
      <c r="P318" s="413"/>
      <c r="Q318" s="4"/>
      <c r="S318" s="413"/>
    </row>
    <row r="319" spans="2:19" s="3" customFormat="1" ht="28.5" customHeight="1" thickBot="1">
      <c r="B319" s="368"/>
      <c r="C319" s="176"/>
      <c r="D319" s="449"/>
      <c r="E319" s="785" t="s">
        <v>526</v>
      </c>
      <c r="F319" s="420">
        <f>F313-R313</f>
        <v>4667.374682766002</v>
      </c>
      <c r="G319" s="414"/>
      <c r="H319" s="419" t="s">
        <v>372</v>
      </c>
      <c r="I319" s="420">
        <f>I313-R313</f>
        <v>3431.6710758368845</v>
      </c>
      <c r="J319" s="414"/>
      <c r="K319" s="419" t="s">
        <v>372</v>
      </c>
      <c r="L319" s="420">
        <f>L313-R313</f>
        <v>2319.435233172</v>
      </c>
      <c r="M319" s="414"/>
      <c r="N319" s="419" t="s">
        <v>372</v>
      </c>
      <c r="O319" s="420">
        <f>O313-R313</f>
        <v>1117.6570218959987</v>
      </c>
      <c r="P319" s="414"/>
      <c r="Q319" s="419"/>
      <c r="R319" s="420"/>
      <c r="S319" s="414"/>
    </row>
    <row r="320" spans="2:19" s="3" customFormat="1" ht="28.5" customHeight="1" thickBot="1">
      <c r="B320" s="368"/>
      <c r="C320" s="176"/>
      <c r="D320" s="449"/>
      <c r="E320" s="785" t="s">
        <v>527</v>
      </c>
      <c r="F320" s="422">
        <f>F319/R313</f>
        <v>0.40474440253931965</v>
      </c>
      <c r="G320" s="373"/>
      <c r="H320" s="421" t="s">
        <v>373</v>
      </c>
      <c r="I320" s="422">
        <f>I319/R313</f>
        <v>0.2975869206364933</v>
      </c>
      <c r="J320" s="373"/>
      <c r="K320" s="421" t="s">
        <v>373</v>
      </c>
      <c r="L320" s="422">
        <f>L319/R313</f>
        <v>0.20113628998872346</v>
      </c>
      <c r="M320" s="373"/>
      <c r="N320" s="421" t="s">
        <v>373</v>
      </c>
      <c r="O320" s="422">
        <f>O319/R313</f>
        <v>0.09692074331240284</v>
      </c>
      <c r="P320" s="373"/>
      <c r="Q320" s="421"/>
      <c r="R320" s="422"/>
      <c r="S320" s="373"/>
    </row>
    <row r="321" spans="4:19" ht="13.5" thickBot="1">
      <c r="D321" s="435"/>
      <c r="G321" s="372"/>
      <c r="J321" s="372"/>
      <c r="M321" s="372"/>
      <c r="P321" s="372"/>
      <c r="S321" s="372"/>
    </row>
    <row r="322" spans="4:19" ht="17.25" thickBot="1" thickTop="1">
      <c r="D322" s="435"/>
      <c r="E322" s="459" t="s">
        <v>483</v>
      </c>
      <c r="F322" s="460"/>
      <c r="G322" s="372"/>
      <c r="H322" s="459" t="s">
        <v>483</v>
      </c>
      <c r="I322" s="460"/>
      <c r="J322" s="372"/>
      <c r="K322" s="459" t="s">
        <v>483</v>
      </c>
      <c r="L322" s="460"/>
      <c r="M322" s="372"/>
      <c r="N322" s="459" t="s">
        <v>483</v>
      </c>
      <c r="O322" s="460"/>
      <c r="P322" s="372"/>
      <c r="Q322" s="459" t="s">
        <v>483</v>
      </c>
      <c r="R322" s="460"/>
      <c r="S322" s="372"/>
    </row>
    <row r="323" spans="4:19" ht="16.5" thickBot="1">
      <c r="D323" s="435"/>
      <c r="E323" s="461" t="s">
        <v>484</v>
      </c>
      <c r="F323" s="462">
        <f>(E294+E295+E296+E297+E299+E302)*0.5</f>
        <v>8970.17061675</v>
      </c>
      <c r="G323" s="372"/>
      <c r="H323" s="461" t="s">
        <v>484</v>
      </c>
      <c r="I323" s="462">
        <f>(H294+H295+H296+H297+H299+H302)*0.5</f>
        <v>8201.698224381149</v>
      </c>
      <c r="J323" s="372"/>
      <c r="K323" s="461" t="s">
        <v>484</v>
      </c>
      <c r="L323" s="462">
        <f>(K294+K295+K296+K297+K299+K302)*0.5</f>
        <v>7510.0092675</v>
      </c>
      <c r="M323" s="372"/>
      <c r="N323" s="461" t="s">
        <v>484</v>
      </c>
      <c r="O323" s="462">
        <f>(N294+N295+N296+N297+N299+N302)*0.5</f>
        <v>6762.634758</v>
      </c>
      <c r="P323" s="372"/>
      <c r="Q323" s="461" t="s">
        <v>484</v>
      </c>
      <c r="R323" s="462">
        <f>(Q294+Q295+Q296+Q297+Q299+Q302)*0.5</f>
        <v>6067.574421</v>
      </c>
      <c r="S323" s="372"/>
    </row>
    <row r="324" spans="4:19" ht="16.5" thickBot="1">
      <c r="D324" s="435"/>
      <c r="E324" s="463" t="s">
        <v>485</v>
      </c>
      <c r="F324" s="464"/>
      <c r="G324" s="372"/>
      <c r="H324" s="463" t="s">
        <v>485</v>
      </c>
      <c r="I324" s="464"/>
      <c r="J324" s="372"/>
      <c r="K324" s="463" t="s">
        <v>485</v>
      </c>
      <c r="L324" s="464"/>
      <c r="M324" s="372"/>
      <c r="N324" s="463" t="s">
        <v>485</v>
      </c>
      <c r="O324" s="464"/>
      <c r="P324" s="372"/>
      <c r="Q324" s="463" t="s">
        <v>485</v>
      </c>
      <c r="R324" s="464"/>
      <c r="S324" s="372"/>
    </row>
    <row r="325" spans="4:19" ht="12.75">
      <c r="D325" s="435"/>
      <c r="E325" s="477" t="s">
        <v>489</v>
      </c>
      <c r="F325" s="476">
        <f>F323*0.804</f>
        <v>7212.017175867</v>
      </c>
      <c r="G325" s="372"/>
      <c r="H325" s="477" t="s">
        <v>489</v>
      </c>
      <c r="I325" s="476">
        <f>I323*0.804</f>
        <v>6594.1653724024445</v>
      </c>
      <c r="J325" s="372"/>
      <c r="K325" s="477" t="s">
        <v>489</v>
      </c>
      <c r="L325" s="476">
        <f>L323*0.804</f>
        <v>6038.04745107</v>
      </c>
      <c r="M325" s="372"/>
      <c r="N325" s="477" t="s">
        <v>489</v>
      </c>
      <c r="O325" s="476">
        <f>O323*0.804</f>
        <v>5437.158345432001</v>
      </c>
      <c r="P325" s="372"/>
      <c r="Q325" s="477" t="s">
        <v>489</v>
      </c>
      <c r="R325" s="476">
        <f>R323*0.804</f>
        <v>4878.3298344840005</v>
      </c>
      <c r="S325" s="372"/>
    </row>
    <row r="326" spans="4:19" ht="15.75">
      <c r="D326" s="435"/>
      <c r="E326" s="465" t="s">
        <v>486</v>
      </c>
      <c r="F326" s="466"/>
      <c r="G326" s="372"/>
      <c r="H326" s="465" t="s">
        <v>486</v>
      </c>
      <c r="I326" s="466"/>
      <c r="J326" s="372"/>
      <c r="K326" s="465" t="s">
        <v>486</v>
      </c>
      <c r="L326" s="466"/>
      <c r="M326" s="372"/>
      <c r="N326" s="465" t="s">
        <v>486</v>
      </c>
      <c r="O326" s="466"/>
      <c r="P326" s="372"/>
      <c r="Q326" s="465" t="s">
        <v>486</v>
      </c>
      <c r="R326" s="466"/>
      <c r="S326" s="372"/>
    </row>
    <row r="327" spans="4:19" ht="15.75">
      <c r="D327" s="435"/>
      <c r="E327" s="465">
        <v>502</v>
      </c>
      <c r="F327" s="467">
        <f>-(E294+E295+E299+E296+E297+F305+E302+F323)*0.16</f>
        <v>-4305.68189604</v>
      </c>
      <c r="G327" s="372"/>
      <c r="H327" s="465">
        <v>502</v>
      </c>
      <c r="I327" s="467">
        <f>-(H294+H295+H299+H296+H297+I305+H302+I323)*0.16</f>
        <v>-3936.8151477029514</v>
      </c>
      <c r="J327" s="372"/>
      <c r="K327" s="465">
        <v>502</v>
      </c>
      <c r="L327" s="467">
        <f>-(K294+K295+K299+K296+K297+L305+K302+L323)*0.16</f>
        <v>-3604.8044484</v>
      </c>
      <c r="M327" s="372"/>
      <c r="N327" s="465">
        <v>502</v>
      </c>
      <c r="O327" s="467">
        <f>-(N294+N295+N299+N296+N297+O305+N302+O323)*0.16</f>
        <v>-3246.0646838400003</v>
      </c>
      <c r="P327" s="372"/>
      <c r="Q327" s="465">
        <v>502</v>
      </c>
      <c r="R327" s="467">
        <f>-(Q294+Q295+Q299+Q296+Q297+R305+Q302+R323)*0.16</f>
        <v>-2912.4357220800002</v>
      </c>
      <c r="S327" s="372"/>
    </row>
    <row r="328" spans="4:19" ht="15.75">
      <c r="D328" s="435"/>
      <c r="E328" s="465">
        <v>504</v>
      </c>
      <c r="F328" s="467">
        <f>-(E294+E295+E299+E296+E297+F305+E302+F323)*0.006</f>
        <v>-161.4630711015</v>
      </c>
      <c r="G328" s="372"/>
      <c r="H328" s="465">
        <v>504</v>
      </c>
      <c r="I328" s="467">
        <f>-(H294+H295+H299+H296+H297+I305+H302+I323)*0.006</f>
        <v>-147.63056803886067</v>
      </c>
      <c r="J328" s="372"/>
      <c r="K328" s="465">
        <v>504</v>
      </c>
      <c r="L328" s="467">
        <f>-(K294+K295+K299+K296+K297+L305+K302+L323)*0.006</f>
        <v>-135.180166815</v>
      </c>
      <c r="M328" s="372"/>
      <c r="N328" s="465">
        <v>504</v>
      </c>
      <c r="O328" s="467">
        <f>-(N294+N295+N299+N296+N297+O305+N302+O323)*0.006</f>
        <v>-121.72742564400001</v>
      </c>
      <c r="P328" s="372"/>
      <c r="Q328" s="465">
        <v>504</v>
      </c>
      <c r="R328" s="467">
        <f>-(Q294+Q295+Q299+Q296+Q297+R305+Q302+R323)*0.006</f>
        <v>-109.216339578</v>
      </c>
      <c r="S328" s="372"/>
    </row>
    <row r="329" spans="4:19" ht="15.75">
      <c r="D329" s="435"/>
      <c r="E329" s="465">
        <v>505</v>
      </c>
      <c r="F329" s="467">
        <f>-(E294+E295+E299+E296+E297+F305+E302+F323)*0.03</f>
        <v>-807.3153555074999</v>
      </c>
      <c r="G329" s="372"/>
      <c r="H329" s="465">
        <v>505</v>
      </c>
      <c r="I329" s="467">
        <f>-(H294+H295+H299+H296+H297+I305+H302+I323)*0.03</f>
        <v>-738.1528401943033</v>
      </c>
      <c r="J329" s="372"/>
      <c r="K329" s="465">
        <v>505</v>
      </c>
      <c r="L329" s="467">
        <f>-(K294+K295+K299+K296+K297+L305+K302+L323)*0.03</f>
        <v>-675.900834075</v>
      </c>
      <c r="M329" s="372"/>
      <c r="N329" s="465">
        <v>505</v>
      </c>
      <c r="O329" s="467">
        <f>-(N294+N295+N299+N296+N297+O305+N302+O323)*0.03</f>
        <v>-608.63712822</v>
      </c>
      <c r="P329" s="372"/>
      <c r="Q329" s="465">
        <v>505</v>
      </c>
      <c r="R329" s="467">
        <f>-(Q294+Q295+Q299+Q296+Q297+R305+Q302+R323)*0.03</f>
        <v>-546.08169789</v>
      </c>
      <c r="S329" s="372"/>
    </row>
    <row r="330" spans="4:19" ht="15.75">
      <c r="D330" s="435"/>
      <c r="E330" s="468"/>
      <c r="F330" s="466"/>
      <c r="G330" s="372"/>
      <c r="H330" s="468"/>
      <c r="I330" s="466"/>
      <c r="J330" s="372"/>
      <c r="K330" s="468"/>
      <c r="L330" s="466"/>
      <c r="M330" s="372"/>
      <c r="N330" s="468"/>
      <c r="O330" s="466"/>
      <c r="P330" s="372"/>
      <c r="Q330" s="468"/>
      <c r="R330" s="466"/>
      <c r="S330" s="372"/>
    </row>
    <row r="331" spans="4:19" ht="15.75" thickBot="1">
      <c r="D331" s="435"/>
      <c r="E331" s="469" t="s">
        <v>487</v>
      </c>
      <c r="F331" s="470"/>
      <c r="G331" s="372"/>
      <c r="H331" s="469" t="s">
        <v>487</v>
      </c>
      <c r="I331" s="470"/>
      <c r="J331" s="372"/>
      <c r="K331" s="469" t="s">
        <v>487</v>
      </c>
      <c r="L331" s="470"/>
      <c r="M331" s="372"/>
      <c r="N331" s="469" t="s">
        <v>487</v>
      </c>
      <c r="O331" s="470"/>
      <c r="P331" s="372"/>
      <c r="Q331" s="469" t="s">
        <v>487</v>
      </c>
      <c r="R331" s="470"/>
      <c r="S331" s="372"/>
    </row>
    <row r="332" spans="4:19" ht="16.5" thickBot="1">
      <c r="D332" s="435"/>
      <c r="E332" s="469"/>
      <c r="F332" s="471">
        <f>E304+F323+F324+F327+F328+F329</f>
        <v>23411.051477601002</v>
      </c>
      <c r="G332" s="372"/>
      <c r="H332" s="469"/>
      <c r="I332" s="471">
        <f>H304+I323+I324+I327+I328+I329</f>
        <v>21557.496067207325</v>
      </c>
      <c r="J332" s="372"/>
      <c r="K332" s="469"/>
      <c r="L332" s="471">
        <f>K304+L323+L324+L327+L328+L329</f>
        <v>19889.14230321</v>
      </c>
      <c r="M332" s="372"/>
      <c r="N332" s="469"/>
      <c r="O332" s="471">
        <f>N304+O323+O324+O327+O328+O329</f>
        <v>18086.474986295998</v>
      </c>
      <c r="P332" s="372"/>
      <c r="Q332" s="469"/>
      <c r="R332" s="471">
        <f>Q304+R323+R324+R327+R328+R329</f>
        <v>16409.989453452</v>
      </c>
      <c r="S332" s="372"/>
    </row>
    <row r="333" spans="4:19" ht="15.75">
      <c r="D333" s="435"/>
      <c r="E333" s="472" t="s">
        <v>488</v>
      </c>
      <c r="F333" s="473"/>
      <c r="G333" s="372"/>
      <c r="H333" s="472" t="s">
        <v>488</v>
      </c>
      <c r="I333" s="473"/>
      <c r="J333" s="372"/>
      <c r="K333" s="472" t="s">
        <v>488</v>
      </c>
      <c r="L333" s="473"/>
      <c r="M333" s="372"/>
      <c r="N333" s="472" t="s">
        <v>488</v>
      </c>
      <c r="O333" s="473"/>
      <c r="P333" s="372"/>
      <c r="Q333" s="472" t="s">
        <v>488</v>
      </c>
      <c r="R333" s="473"/>
      <c r="S333" s="372"/>
    </row>
    <row r="334" spans="4:19" ht="21" thickBot="1">
      <c r="D334" s="435"/>
      <c r="E334" s="474"/>
      <c r="F334" s="478">
        <f>F332-F313+F309</f>
        <v>7212.017175867</v>
      </c>
      <c r="G334" s="372"/>
      <c r="H334" s="474"/>
      <c r="I334" s="478">
        <f>I332-I313+I309</f>
        <v>6594.16537240244</v>
      </c>
      <c r="J334" s="372"/>
      <c r="K334" s="474"/>
      <c r="L334" s="478">
        <f>L332-L313+L309</f>
        <v>6038.047451069999</v>
      </c>
      <c r="M334" s="372"/>
      <c r="N334" s="474"/>
      <c r="O334" s="478">
        <f>O332-O313+O309</f>
        <v>5437.158345431999</v>
      </c>
      <c r="P334" s="372"/>
      <c r="Q334" s="474"/>
      <c r="R334" s="478">
        <f>R332-R313+R309</f>
        <v>4878.329834483999</v>
      </c>
      <c r="S334" s="372"/>
    </row>
    <row r="335" spans="4:19" ht="13.5" thickTop="1">
      <c r="D335" s="435"/>
      <c r="G335" s="372"/>
      <c r="J335" s="372"/>
      <c r="M335" s="372"/>
      <c r="P335" s="372"/>
      <c r="S335" s="372"/>
    </row>
    <row r="336" spans="4:19" ht="20.25">
      <c r="D336" s="435"/>
      <c r="F336" s="521">
        <f>(F334-L334)/L334</f>
        <v>0.19442870138242507</v>
      </c>
      <c r="G336" s="372"/>
      <c r="I336" s="521">
        <f>(I334-O334)/O334</f>
        <v>0.2127962721450801</v>
      </c>
      <c r="J336" s="372"/>
      <c r="L336" s="521">
        <f>(L334-R334)/R334</f>
        <v>0.2377284144233491</v>
      </c>
      <c r="M336" s="372"/>
      <c r="O336" s="521">
        <f>(O334-R334)/R334</f>
        <v>0.11455324463666772</v>
      </c>
      <c r="P336" s="372"/>
      <c r="R336" s="479"/>
      <c r="S336" s="372"/>
    </row>
    <row r="337" spans="4:19" ht="12.75">
      <c r="D337" s="435"/>
      <c r="G337" s="372"/>
      <c r="J337" s="372"/>
      <c r="M337" s="372"/>
      <c r="P337" s="372"/>
      <c r="S337" s="372"/>
    </row>
    <row r="338" spans="4:19" ht="12.75">
      <c r="D338" s="435"/>
      <c r="G338" s="372"/>
      <c r="J338" s="372"/>
      <c r="M338" s="372"/>
      <c r="P338" s="372"/>
      <c r="S338" s="372"/>
    </row>
    <row r="339" spans="1:19" ht="12.75">
      <c r="A339" s="14"/>
      <c r="D339" s="435"/>
      <c r="G339" s="372"/>
      <c r="J339" s="372"/>
      <c r="M339" s="372"/>
      <c r="P339" s="372"/>
      <c r="S339" s="372"/>
    </row>
    <row r="340" spans="1:19" ht="33">
      <c r="A340" s="14"/>
      <c r="B340" s="96"/>
      <c r="C340" s="167"/>
      <c r="D340" s="452"/>
      <c r="E340" s="779" t="s">
        <v>516</v>
      </c>
      <c r="F340" s="780"/>
      <c r="G340" s="781"/>
      <c r="H340" s="769" t="s">
        <v>513</v>
      </c>
      <c r="I340" s="770"/>
      <c r="J340" s="497"/>
      <c r="K340" s="504">
        <v>43586</v>
      </c>
      <c r="L340" s="512"/>
      <c r="M340" s="497"/>
      <c r="N340" s="503">
        <v>43525</v>
      </c>
      <c r="O340" s="511"/>
      <c r="P340" s="497"/>
      <c r="Q340" s="495" t="s">
        <v>495</v>
      </c>
      <c r="R340" s="496"/>
      <c r="S340" s="497"/>
    </row>
    <row r="341" spans="1:16" ht="16.5" thickBot="1">
      <c r="A341" s="162" t="s">
        <v>370</v>
      </c>
      <c r="C341" s="7"/>
      <c r="D341" s="448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.75" thickTop="1">
      <c r="A342" s="157" t="s">
        <v>10</v>
      </c>
      <c r="B342" s="158"/>
      <c r="C342" s="159"/>
      <c r="D342" s="453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</row>
    <row r="343" spans="1:16" ht="15">
      <c r="A343" s="160" t="s">
        <v>11</v>
      </c>
      <c r="B343" s="154"/>
      <c r="C343" s="156"/>
      <c r="D343" s="438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</row>
    <row r="344" spans="1:16" ht="15">
      <c r="A344" s="163" t="s">
        <v>356</v>
      </c>
      <c r="B344" s="154"/>
      <c r="C344" s="156"/>
      <c r="D344" s="438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</row>
    <row r="345" spans="1:16" ht="15.75" thickBot="1">
      <c r="A345" s="164" t="s">
        <v>12</v>
      </c>
      <c r="B345" s="175"/>
      <c r="C345" s="161"/>
      <c r="D345" s="454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</row>
    <row r="346" spans="1:16" ht="15.75" thickTop="1">
      <c r="A346" s="396" t="s">
        <v>475</v>
      </c>
      <c r="B346" s="397"/>
      <c r="C346" s="398"/>
      <c r="D346" s="455"/>
      <c r="E346" s="760"/>
      <c r="F346" s="760"/>
      <c r="G346" s="760"/>
      <c r="H346" s="760"/>
      <c r="I346" s="760"/>
      <c r="J346" s="760"/>
      <c r="K346" s="760"/>
      <c r="L346" s="760"/>
      <c r="M346" s="760"/>
      <c r="N346" s="760"/>
      <c r="O346" s="760"/>
      <c r="P346" s="760"/>
    </row>
    <row r="347" spans="1:13" ht="12.75">
      <c r="A347" s="12"/>
      <c r="B347" s="12"/>
      <c r="C347" s="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12"/>
      <c r="B348" s="12"/>
      <c r="C348" s="5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ht="15.75">
      <c r="A349" s="12"/>
      <c r="B349" s="5"/>
      <c r="C349" s="118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0" ht="12.75">
      <c r="A350" s="12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.75">
      <c r="A351" s="12"/>
      <c r="B351" s="5"/>
      <c r="C351" s="14"/>
      <c r="D351" s="16"/>
      <c r="E351" s="16"/>
      <c r="F351" s="16"/>
      <c r="G351" s="16"/>
      <c r="H351" s="16"/>
      <c r="I351" s="16"/>
      <c r="J351" s="16"/>
    </row>
    <row r="352" spans="1:10" ht="18">
      <c r="A352" s="12"/>
      <c r="B352" s="18"/>
      <c r="C352" s="5"/>
      <c r="D352" s="12"/>
      <c r="E352" s="5"/>
      <c r="F352" s="5"/>
      <c r="G352" s="17"/>
      <c r="H352" s="5"/>
      <c r="I352" s="12"/>
      <c r="J352" s="5"/>
    </row>
    <row r="353" spans="1:10" ht="12.75">
      <c r="A353" s="12"/>
      <c r="B353" s="5"/>
      <c r="C353" s="5"/>
      <c r="D353" s="5"/>
      <c r="E353" s="5"/>
      <c r="F353" s="5"/>
      <c r="G353" s="12"/>
      <c r="H353" s="5"/>
      <c r="I353" s="12"/>
      <c r="J353" s="5"/>
    </row>
    <row r="354" spans="1:10" ht="12.75">
      <c r="A354" s="12"/>
      <c r="B354" s="5"/>
      <c r="C354" s="5"/>
      <c r="D354" s="5"/>
      <c r="E354" s="5"/>
      <c r="F354" s="5"/>
      <c r="G354" s="5"/>
      <c r="H354" s="5"/>
      <c r="I354" s="12"/>
      <c r="J354" s="5"/>
    </row>
    <row r="355" spans="1:10" ht="12.75">
      <c r="A355" s="12"/>
      <c r="B355" s="12"/>
      <c r="C355" s="5"/>
      <c r="D355" s="5"/>
      <c r="E355" s="5"/>
      <c r="F355" s="12"/>
      <c r="G355" s="5"/>
      <c r="H355" s="5"/>
      <c r="I355" s="5"/>
      <c r="J355" s="5"/>
    </row>
    <row r="356" spans="1:10" ht="12.75">
      <c r="A356" s="12"/>
      <c r="B356" s="12"/>
      <c r="C356" s="5"/>
      <c r="D356" s="5"/>
      <c r="E356" s="5"/>
      <c r="F356" s="12"/>
      <c r="G356" s="5"/>
      <c r="H356" s="5"/>
      <c r="I356" s="12"/>
      <c r="J356" s="5"/>
    </row>
    <row r="357" spans="1:10" ht="12.75">
      <c r="A357" s="12"/>
      <c r="B357" s="12"/>
      <c r="C357" s="5"/>
      <c r="D357" s="5"/>
      <c r="E357" s="5"/>
      <c r="F357" s="12"/>
      <c r="G357" s="5"/>
      <c r="H357" s="5"/>
      <c r="I357" s="13"/>
      <c r="J357" s="5"/>
    </row>
    <row r="358" spans="1:10" ht="12.75">
      <c r="A358" s="12"/>
      <c r="B358" s="12"/>
      <c r="C358" s="5"/>
      <c r="D358" s="5"/>
      <c r="E358" s="5"/>
      <c r="F358" s="12"/>
      <c r="G358" s="5"/>
      <c r="H358" s="5"/>
      <c r="I358" s="6"/>
      <c r="J358" s="5"/>
    </row>
    <row r="359" spans="1:10" ht="12.75">
      <c r="A359" s="12"/>
      <c r="B359" s="12"/>
      <c r="C359" s="5"/>
      <c r="D359" s="12"/>
      <c r="E359" s="5"/>
      <c r="F359" s="12"/>
      <c r="G359" s="5"/>
      <c r="H359" s="5"/>
      <c r="I359" s="13"/>
      <c r="J359" s="5"/>
    </row>
    <row r="360" spans="1:10" ht="12.75">
      <c r="A360" s="19"/>
      <c r="B360" s="13"/>
      <c r="C360" s="5"/>
      <c r="D360" s="12"/>
      <c r="E360" s="5"/>
      <c r="F360" s="19"/>
      <c r="G360" s="6"/>
      <c r="H360" s="5"/>
      <c r="I360" s="6"/>
      <c r="J360" s="5"/>
    </row>
    <row r="361" spans="1:10" ht="12.75">
      <c r="A361" s="5"/>
      <c r="B361" s="12"/>
      <c r="C361" s="5"/>
      <c r="D361" s="12"/>
      <c r="E361" s="5"/>
      <c r="F361" s="13"/>
      <c r="G361" s="6"/>
      <c r="H361" s="20"/>
      <c r="I361" s="6"/>
      <c r="J361" s="5"/>
    </row>
    <row r="362" spans="1:10" ht="12.75">
      <c r="A362" s="5"/>
      <c r="B362" s="12"/>
      <c r="C362" s="5"/>
      <c r="D362" s="5"/>
      <c r="E362" s="5"/>
      <c r="F362" s="13"/>
      <c r="G362" s="6"/>
      <c r="H362" s="6"/>
      <c r="I362" s="6"/>
      <c r="J362" s="5"/>
    </row>
    <row r="363" spans="1:10" ht="12.75">
      <c r="A363" s="5"/>
      <c r="B363" s="5"/>
      <c r="C363" s="5"/>
      <c r="D363" s="12"/>
      <c r="E363" s="5"/>
      <c r="F363" s="6"/>
      <c r="G363" s="6"/>
      <c r="H363" s="20"/>
      <c r="I363" s="5"/>
      <c r="J363" s="5"/>
    </row>
    <row r="364" spans="1:11" ht="12.75">
      <c r="A364" s="5"/>
      <c r="B364" s="5"/>
      <c r="C364" s="20"/>
      <c r="D364" s="13"/>
      <c r="E364" s="5"/>
      <c r="F364" s="6"/>
      <c r="G364" s="6"/>
      <c r="H364" s="6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13"/>
      <c r="G365" s="6"/>
      <c r="H365" s="6"/>
      <c r="I365" s="5"/>
      <c r="J365" s="5"/>
      <c r="K365" s="5"/>
    </row>
    <row r="366" spans="1:11" ht="12.75">
      <c r="A366" s="5"/>
      <c r="B366" s="5"/>
      <c r="C366" s="20"/>
      <c r="D366" s="13"/>
      <c r="E366" s="5"/>
      <c r="F366" s="5"/>
      <c r="G366" s="5"/>
      <c r="H366" s="13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12"/>
      <c r="J367" s="5"/>
      <c r="K367" s="5"/>
    </row>
    <row r="368" spans="1:11" ht="12.75">
      <c r="A368" s="5"/>
      <c r="B368" s="6"/>
      <c r="C368" s="5"/>
      <c r="D368" s="12"/>
      <c r="E368" s="5"/>
      <c r="F368" s="5"/>
      <c r="G368" s="5"/>
      <c r="H368" s="5"/>
      <c r="I368" s="12"/>
      <c r="J368" s="5"/>
      <c r="K368" s="5"/>
    </row>
    <row r="369" spans="1:11" ht="12.75">
      <c r="A369" s="5"/>
      <c r="B369" s="5"/>
      <c r="C369" s="5"/>
      <c r="D369" s="12"/>
      <c r="E369" s="5"/>
      <c r="F369" s="5"/>
      <c r="G369" s="5"/>
      <c r="H369" s="5"/>
      <c r="I369" s="12"/>
      <c r="J369" s="5"/>
      <c r="K369" s="5"/>
    </row>
    <row r="370" spans="1:11" ht="12.75">
      <c r="A370" s="12"/>
      <c r="B370" s="12"/>
      <c r="C370" s="5"/>
      <c r="D370" s="5"/>
      <c r="E370" s="5"/>
      <c r="F370" s="12"/>
      <c r="G370" s="12"/>
      <c r="H370" s="5"/>
      <c r="I370" s="5"/>
      <c r="J370" s="5"/>
      <c r="K370" s="5"/>
    </row>
    <row r="371" spans="1:11" ht="12.75">
      <c r="A371" s="12"/>
      <c r="B371" s="12"/>
      <c r="C371" s="5"/>
      <c r="D371" s="5"/>
      <c r="E371" s="5"/>
      <c r="F371" s="12"/>
      <c r="G371" s="12"/>
      <c r="H371" s="5"/>
      <c r="I371" s="12"/>
      <c r="J371" s="5"/>
      <c r="K371" s="5"/>
    </row>
    <row r="372" spans="1:11" ht="12.75">
      <c r="A372" s="12"/>
      <c r="B372" s="12"/>
      <c r="C372" s="5"/>
      <c r="D372" s="5"/>
      <c r="E372" s="5"/>
      <c r="F372" s="12"/>
      <c r="G372" s="12"/>
      <c r="H372" s="5"/>
      <c r="I372" s="12"/>
      <c r="J372" s="5"/>
      <c r="K372" s="5"/>
    </row>
    <row r="373" spans="1:11" ht="12.75">
      <c r="A373" s="12"/>
      <c r="B373" s="12"/>
      <c r="C373" s="5"/>
      <c r="D373" s="5"/>
      <c r="E373" s="5"/>
      <c r="F373" s="12"/>
      <c r="G373" s="12"/>
      <c r="H373" s="5"/>
      <c r="I373" s="5"/>
      <c r="J373" s="5"/>
      <c r="K373" s="5"/>
    </row>
    <row r="374" spans="1:11" ht="12.75">
      <c r="A374" s="12"/>
      <c r="B374" s="12"/>
      <c r="C374" s="5"/>
      <c r="D374" s="12"/>
      <c r="E374" s="5"/>
      <c r="F374" s="12"/>
      <c r="G374" s="12"/>
      <c r="H374" s="5"/>
      <c r="I374" s="12"/>
      <c r="J374" s="5"/>
      <c r="K374" s="5"/>
    </row>
    <row r="375" spans="1:11" ht="12.75">
      <c r="A375" s="19"/>
      <c r="B375" s="12"/>
      <c r="C375" s="5"/>
      <c r="D375" s="12"/>
      <c r="E375" s="5"/>
      <c r="F375" s="19"/>
      <c r="G375" s="12"/>
      <c r="H375" s="5"/>
      <c r="I375" s="5"/>
      <c r="J375" s="5"/>
      <c r="K375" s="5"/>
    </row>
    <row r="376" spans="1:11" ht="12.75">
      <c r="A376" s="5"/>
      <c r="B376" s="5"/>
      <c r="C376" s="5"/>
      <c r="D376" s="12"/>
      <c r="E376" s="5"/>
      <c r="F376" s="13"/>
      <c r="G376" s="5"/>
      <c r="H376" s="5"/>
      <c r="I376" s="5"/>
      <c r="J376" s="5"/>
      <c r="K376" s="5"/>
    </row>
    <row r="377" spans="1:11" ht="12.75">
      <c r="A377" s="5"/>
      <c r="B377" s="12"/>
      <c r="C377" s="5"/>
      <c r="D377" s="5"/>
      <c r="E377" s="5"/>
      <c r="F377" s="13"/>
      <c r="G377" s="12"/>
      <c r="H377" s="5"/>
      <c r="I377" s="5"/>
      <c r="J377" s="5"/>
      <c r="K377" s="5"/>
    </row>
    <row r="378" spans="1:11" ht="12.75">
      <c r="A378" s="5"/>
      <c r="B378" s="5"/>
      <c r="C378" s="5"/>
      <c r="D378" s="12"/>
      <c r="E378" s="5"/>
      <c r="F378" s="6"/>
      <c r="G378" s="12"/>
      <c r="H378" s="5"/>
      <c r="I378" s="5"/>
      <c r="J378" s="5"/>
      <c r="K378" s="5"/>
    </row>
    <row r="379" spans="1:11" ht="12.75">
      <c r="A379" s="5"/>
      <c r="B379" s="5"/>
      <c r="C379" s="20"/>
      <c r="D379" s="12"/>
      <c r="E379" s="5"/>
      <c r="F379" s="6"/>
      <c r="G379" s="5"/>
      <c r="H379" s="6"/>
      <c r="I379" s="5"/>
      <c r="J379" s="5"/>
      <c r="K379" s="5"/>
    </row>
    <row r="380" spans="1:11" ht="12.75">
      <c r="A380" s="5"/>
      <c r="B380" s="5"/>
      <c r="C380" s="5"/>
      <c r="D380" s="5"/>
      <c r="E380" s="5"/>
      <c r="F380" s="13"/>
      <c r="G380" s="6"/>
      <c r="H380" s="5"/>
      <c r="I380" s="5"/>
      <c r="J380" s="5"/>
      <c r="K380" s="5"/>
    </row>
    <row r="381" spans="1:11" ht="12.75">
      <c r="A381" s="5"/>
      <c r="B381" s="5"/>
      <c r="C381" s="20"/>
      <c r="D381" s="12"/>
      <c r="E381" s="5"/>
      <c r="F381" s="13"/>
      <c r="G381" s="6"/>
      <c r="H381" s="13"/>
      <c r="I381" s="5"/>
      <c r="J381" s="5"/>
      <c r="K381" s="5"/>
    </row>
    <row r="382" spans="1:11" ht="12.75">
      <c r="A382" s="5"/>
      <c r="B382" s="5"/>
      <c r="C382" s="5"/>
      <c r="D382" s="5"/>
      <c r="E382" s="5"/>
      <c r="F382" s="13"/>
      <c r="G382" s="6"/>
      <c r="H382" s="13"/>
      <c r="I382" s="5"/>
      <c r="J382" s="5"/>
      <c r="K382" s="5"/>
    </row>
    <row r="383" spans="1:11" ht="12.75">
      <c r="A383" s="5"/>
      <c r="B383" s="6"/>
      <c r="C383" s="5"/>
      <c r="D383" s="5"/>
      <c r="E383" s="5"/>
      <c r="F383" s="5"/>
      <c r="G383" s="5"/>
      <c r="H383" s="13"/>
      <c r="I383" s="12"/>
      <c r="J383" s="5"/>
      <c r="K383" s="5"/>
    </row>
    <row r="384" spans="1:11" ht="12.75">
      <c r="A384" s="5"/>
      <c r="B384" s="5"/>
      <c r="C384" s="5"/>
      <c r="D384" s="5"/>
      <c r="E384" s="5"/>
      <c r="F384" s="5"/>
      <c r="G384" s="5"/>
      <c r="H384" s="5"/>
      <c r="I384" s="12"/>
      <c r="J384" s="5"/>
      <c r="K384" s="5"/>
    </row>
    <row r="385" spans="1:11" ht="12.75">
      <c r="A385" s="5"/>
      <c r="B385" s="5"/>
      <c r="C385" s="5"/>
      <c r="D385" s="5"/>
      <c r="E385" s="5"/>
      <c r="F385" s="5"/>
      <c r="G385" s="5"/>
      <c r="H385" s="5"/>
      <c r="I385" s="12"/>
      <c r="J385" s="5"/>
      <c r="K385" s="5"/>
    </row>
    <row r="386" spans="1:11" ht="12.75">
      <c r="A386" s="12"/>
      <c r="B386" s="12"/>
      <c r="C386" s="5"/>
      <c r="D386" s="5"/>
      <c r="E386" s="5"/>
      <c r="F386" s="12"/>
      <c r="G386" s="12"/>
      <c r="H386" s="5"/>
      <c r="I386" s="5"/>
      <c r="J386" s="5"/>
      <c r="K386" s="5"/>
    </row>
    <row r="387" spans="1:11" ht="12.75">
      <c r="A387" s="12"/>
      <c r="B387" s="12"/>
      <c r="C387" s="5"/>
      <c r="D387" s="5"/>
      <c r="E387" s="5"/>
      <c r="F387" s="12"/>
      <c r="G387" s="12"/>
      <c r="H387" s="5"/>
      <c r="I387" s="12"/>
      <c r="J387" s="5"/>
      <c r="K387" s="5"/>
    </row>
    <row r="388" spans="1:11" ht="12.75">
      <c r="A388" s="12"/>
      <c r="B388" s="12"/>
      <c r="C388" s="5"/>
      <c r="D388" s="5"/>
      <c r="E388" s="5"/>
      <c r="F388" s="12"/>
      <c r="G388" s="12"/>
      <c r="H388" s="5"/>
      <c r="I388" s="12"/>
      <c r="J388" s="5"/>
      <c r="K388" s="5"/>
    </row>
    <row r="389" spans="1:11" ht="12.75">
      <c r="A389" s="12"/>
      <c r="B389" s="12"/>
      <c r="C389" s="5"/>
      <c r="D389" s="5"/>
      <c r="E389" s="5"/>
      <c r="F389" s="12"/>
      <c r="G389" s="12"/>
      <c r="H389" s="5"/>
      <c r="I389" s="5"/>
      <c r="J389" s="5"/>
      <c r="K389" s="5"/>
    </row>
    <row r="390" spans="1:11" ht="12.75">
      <c r="A390" s="12"/>
      <c r="B390" s="12"/>
      <c r="C390" s="5"/>
      <c r="D390" s="12"/>
      <c r="E390" s="5"/>
      <c r="F390" s="12"/>
      <c r="G390" s="12"/>
      <c r="H390" s="5"/>
      <c r="I390" s="12"/>
      <c r="J390" s="5"/>
      <c r="K390" s="5"/>
    </row>
    <row r="391" spans="1:11" ht="12.75">
      <c r="A391" s="19"/>
      <c r="B391" s="12"/>
      <c r="C391" s="5"/>
      <c r="D391" s="12"/>
      <c r="E391" s="5"/>
      <c r="F391" s="19"/>
      <c r="G391" s="12"/>
      <c r="H391" s="5"/>
      <c r="I391" s="5"/>
      <c r="J391" s="5"/>
      <c r="K391" s="5"/>
    </row>
    <row r="392" spans="1:11" ht="12.75">
      <c r="A392" s="5"/>
      <c r="B392" s="5"/>
      <c r="C392" s="5"/>
      <c r="D392" s="12"/>
      <c r="E392" s="5"/>
      <c r="F392" s="13"/>
      <c r="G392" s="5"/>
      <c r="H392" s="20"/>
      <c r="I392" s="5"/>
      <c r="J392" s="5"/>
      <c r="K392" s="5"/>
    </row>
    <row r="393" spans="1:11" ht="12.75">
      <c r="A393" s="5"/>
      <c r="B393" s="12"/>
      <c r="C393" s="5"/>
      <c r="D393" s="5"/>
      <c r="E393" s="5"/>
      <c r="F393" s="13"/>
      <c r="G393" s="12"/>
      <c r="H393" s="6"/>
      <c r="I393" s="5"/>
      <c r="J393" s="5"/>
      <c r="K393" s="5"/>
    </row>
    <row r="394" spans="1:11" ht="12.75">
      <c r="A394" s="5"/>
      <c r="B394" s="5"/>
      <c r="C394" s="5"/>
      <c r="D394" s="12"/>
      <c r="E394" s="5"/>
      <c r="F394" s="6"/>
      <c r="G394" s="12"/>
      <c r="H394" s="20"/>
      <c r="I394" s="5"/>
      <c r="J394" s="5"/>
      <c r="K394" s="5"/>
    </row>
    <row r="395" spans="1:11" ht="12.75">
      <c r="A395" s="5"/>
      <c r="B395" s="5"/>
      <c r="C395" s="20"/>
      <c r="D395" s="12"/>
      <c r="E395" s="5"/>
      <c r="F395" s="6"/>
      <c r="G395" s="5"/>
      <c r="H395" s="5"/>
      <c r="I395" s="5"/>
      <c r="J395" s="5"/>
      <c r="K395" s="5"/>
    </row>
    <row r="396" spans="1:11" ht="12.75">
      <c r="A396" s="5"/>
      <c r="B396" s="5"/>
      <c r="C396" s="5"/>
      <c r="D396" s="5"/>
      <c r="E396" s="5"/>
      <c r="F396" s="13"/>
      <c r="G396" s="5"/>
      <c r="H396" s="5"/>
      <c r="I396" s="5"/>
      <c r="J396" s="5"/>
      <c r="K396" s="5"/>
    </row>
    <row r="397" spans="1:11" ht="12.75">
      <c r="A397" s="5"/>
      <c r="B397" s="5"/>
      <c r="C397" s="20"/>
      <c r="D397" s="12"/>
      <c r="E397" s="5"/>
      <c r="F397" s="5"/>
      <c r="G397" s="5"/>
      <c r="H397" s="12"/>
      <c r="I397" s="5"/>
      <c r="J397" s="5"/>
      <c r="K397" s="5"/>
    </row>
    <row r="398" spans="1:1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9" ht="12.75">
      <c r="A399" s="5"/>
      <c r="B399" s="5"/>
      <c r="C399" s="5"/>
      <c r="D399" s="5"/>
      <c r="E399" s="5"/>
      <c r="F399" s="5"/>
      <c r="G399" s="5"/>
      <c r="H399" s="5"/>
      <c r="I399" s="5"/>
    </row>
    <row r="400" spans="1:8" ht="12.75">
      <c r="A400" s="5"/>
      <c r="B400" s="5"/>
      <c r="C400" s="5"/>
      <c r="D400" s="5"/>
      <c r="E400" s="5"/>
      <c r="F400" s="5"/>
      <c r="G400" s="5"/>
      <c r="H400" s="5"/>
    </row>
    <row r="401" spans="1:8" ht="12.75">
      <c r="A401" s="5"/>
      <c r="B401" s="5"/>
      <c r="C401" s="5"/>
      <c r="D401" s="5"/>
      <c r="E401" s="5"/>
      <c r="F401" s="5"/>
      <c r="G401" s="5"/>
      <c r="H401" s="5"/>
    </row>
    <row r="402" spans="1:8" ht="12.75">
      <c r="A402" s="5"/>
      <c r="B402" s="5"/>
      <c r="C402" s="5"/>
      <c r="D402" s="5"/>
      <c r="E402" s="5"/>
      <c r="F402" s="5"/>
      <c r="G402" s="5"/>
      <c r="H402" s="5"/>
    </row>
    <row r="403" spans="3:8" ht="12.75">
      <c r="C403" s="5"/>
      <c r="D403" s="5"/>
      <c r="E403" s="5"/>
      <c r="H403" s="5"/>
    </row>
    <row r="404" spans="3:5" ht="12.75">
      <c r="C404" s="5"/>
      <c r="D404" s="5"/>
      <c r="E404" s="5"/>
    </row>
    <row r="405" spans="3:5" ht="12.75">
      <c r="C405" s="5"/>
      <c r="D405" s="5"/>
      <c r="E405" s="5"/>
    </row>
    <row r="406" spans="3:5" ht="12.75">
      <c r="C406" s="5"/>
      <c r="D406" s="5"/>
      <c r="E406" s="5"/>
    </row>
  </sheetData>
  <sheetProtection password="DFB3" sheet="1" selectLockedCells="1"/>
  <hyperlinks>
    <hyperlink ref="A345" r:id="rId1" display="www.agmeruruguay.com.ar"/>
    <hyperlink ref="A6" location="Cargos!A1" display="Cargos"/>
    <hyperlink ref="A344" r:id="rId2" display="victorhutt@victorhutt.com.ar"/>
    <hyperlink ref="A346" r:id="rId3" display="www.facebook.com/agmeruruguay-188015884570012/"/>
  </hyperlinks>
  <printOptions/>
  <pageMargins left="0.7874015748031497" right="0.7874015748031497" top="0.5905511811023623" bottom="0.5905511811023623" header="0.5905511811023623" footer="0"/>
  <pageSetup horizontalDpi="360" verticalDpi="360" orientation="landscape" paperSize="5" scale="82" r:id="rId6"/>
  <rowBreaks count="1" manualBreakCount="1">
    <brk id="187" max="255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345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7.7109375" style="0" bestFit="1" customWidth="1"/>
    <col min="2" max="2" width="51.8515625" style="0" customWidth="1"/>
    <col min="3" max="3" width="8.7109375" style="0" bestFit="1" customWidth="1"/>
    <col min="4" max="4" width="14.28125" style="384" hidden="1" customWidth="1"/>
    <col min="5" max="5" width="19.57421875" style="145" hidden="1" customWidth="1"/>
    <col min="6" max="6" width="23.00390625" style="145" hidden="1" customWidth="1"/>
    <col min="7" max="8" width="18.7109375" style="145" hidden="1" customWidth="1"/>
    <col min="9" max="9" width="13.8515625" style="363" hidden="1" customWidth="1"/>
    <col min="10" max="10" width="14.421875" style="305" hidden="1" customWidth="1"/>
    <col min="11" max="11" width="13.00390625" style="305" hidden="1" customWidth="1"/>
    <col min="12" max="12" width="18.00390625" style="305" customWidth="1"/>
    <col min="13" max="13" width="12.421875" style="305" hidden="1" customWidth="1"/>
    <col min="14" max="14" width="12.421875" style="305" customWidth="1"/>
    <col min="15" max="15" width="13.28125" style="145" customWidth="1"/>
    <col min="16" max="16" width="7.00390625" style="0" customWidth="1"/>
    <col min="17" max="17" width="6.00390625" style="0" customWidth="1"/>
    <col min="18" max="18" width="8.57421875" style="0" customWidth="1"/>
  </cols>
  <sheetData>
    <row r="1" spans="1:19" ht="13.5" thickBot="1">
      <c r="A1" s="21"/>
      <c r="B1" s="132" t="s">
        <v>350</v>
      </c>
      <c r="C1" s="22"/>
      <c r="D1" s="380"/>
      <c r="E1" s="142" t="s">
        <v>13</v>
      </c>
      <c r="F1" s="142"/>
      <c r="G1" s="142"/>
      <c r="H1" s="142"/>
      <c r="I1" s="142"/>
      <c r="J1" s="302"/>
      <c r="K1" s="302"/>
      <c r="L1" s="302"/>
      <c r="M1" s="302"/>
      <c r="N1" s="302"/>
      <c r="O1" s="142"/>
      <c r="P1" s="23" t="s">
        <v>14</v>
      </c>
      <c r="Q1" s="24" t="s">
        <v>15</v>
      </c>
      <c r="R1" s="24" t="s">
        <v>16</v>
      </c>
      <c r="S1" s="283" t="s">
        <v>387</v>
      </c>
    </row>
    <row r="2" spans="1:19" ht="12.75">
      <c r="A2" s="25" t="s">
        <v>17</v>
      </c>
      <c r="B2" s="26" t="s">
        <v>18</v>
      </c>
      <c r="C2" s="25" t="s">
        <v>19</v>
      </c>
      <c r="D2" s="381" t="s">
        <v>395</v>
      </c>
      <c r="E2" s="143" t="s">
        <v>367</v>
      </c>
      <c r="F2" s="301" t="s">
        <v>408</v>
      </c>
      <c r="G2" s="301" t="s">
        <v>432</v>
      </c>
      <c r="H2" s="393" t="s">
        <v>468</v>
      </c>
      <c r="I2" s="143" t="s">
        <v>389</v>
      </c>
      <c r="J2" s="303" t="s">
        <v>375</v>
      </c>
      <c r="K2" s="303" t="s">
        <v>429</v>
      </c>
      <c r="L2" s="394" t="s">
        <v>474</v>
      </c>
      <c r="M2" s="303" t="s">
        <v>430</v>
      </c>
      <c r="N2" s="303" t="s">
        <v>473</v>
      </c>
      <c r="O2" s="143" t="s">
        <v>467</v>
      </c>
      <c r="P2" s="27" t="s">
        <v>20</v>
      </c>
      <c r="Q2" s="27" t="s">
        <v>21</v>
      </c>
      <c r="R2" s="27" t="s">
        <v>22</v>
      </c>
      <c r="S2" s="284" t="s">
        <v>388</v>
      </c>
    </row>
    <row r="3" spans="1:19" ht="12.75">
      <c r="A3" s="28">
        <v>461</v>
      </c>
      <c r="B3" s="29" t="s">
        <v>461</v>
      </c>
      <c r="C3" s="28">
        <v>2220</v>
      </c>
      <c r="D3" s="382"/>
      <c r="E3" s="144"/>
      <c r="F3" s="193"/>
      <c r="G3" s="193">
        <v>7</v>
      </c>
      <c r="H3" s="193">
        <v>7</v>
      </c>
      <c r="I3" s="360"/>
      <c r="J3" s="304"/>
      <c r="K3" s="304"/>
      <c r="L3" s="304">
        <v>7</v>
      </c>
      <c r="M3" s="304">
        <v>521.4</v>
      </c>
      <c r="N3" s="390">
        <f>M3</f>
        <v>521.4</v>
      </c>
      <c r="O3" s="192">
        <f aca="true" t="shared" si="0" ref="O3:O66">C3+G3+M3</f>
        <v>2748.4</v>
      </c>
      <c r="P3" s="30">
        <v>0</v>
      </c>
      <c r="Q3" s="28">
        <v>0</v>
      </c>
      <c r="R3" s="28">
        <v>0</v>
      </c>
      <c r="S3" s="281"/>
    </row>
    <row r="4" spans="1:19" ht="12.75">
      <c r="A4" s="28">
        <v>462</v>
      </c>
      <c r="B4" s="29" t="s">
        <v>461</v>
      </c>
      <c r="C4" s="28">
        <v>2220</v>
      </c>
      <c r="D4" s="382"/>
      <c r="E4" s="144"/>
      <c r="F4" s="193"/>
      <c r="G4" s="193">
        <v>7</v>
      </c>
      <c r="H4" s="193">
        <v>7</v>
      </c>
      <c r="I4" s="360"/>
      <c r="J4" s="304"/>
      <c r="K4" s="304"/>
      <c r="L4" s="304">
        <v>7</v>
      </c>
      <c r="M4" s="304">
        <v>521.4</v>
      </c>
      <c r="N4" s="390">
        <f aca="true" t="shared" si="1" ref="N4:N67">M4</f>
        <v>521.4</v>
      </c>
      <c r="O4" s="192">
        <f t="shared" si="0"/>
        <v>2748.4</v>
      </c>
      <c r="P4" s="30">
        <v>0</v>
      </c>
      <c r="Q4" s="28">
        <v>0</v>
      </c>
      <c r="R4" s="28">
        <v>0</v>
      </c>
      <c r="S4" s="281"/>
    </row>
    <row r="5" spans="1:19" ht="12.75">
      <c r="A5" s="28">
        <v>470</v>
      </c>
      <c r="B5" s="29" t="s">
        <v>462</v>
      </c>
      <c r="C5" s="28">
        <v>1580</v>
      </c>
      <c r="D5" s="382"/>
      <c r="E5" s="144"/>
      <c r="F5" s="193"/>
      <c r="G5" s="193">
        <v>90</v>
      </c>
      <c r="H5" s="193">
        <v>90</v>
      </c>
      <c r="I5" s="360"/>
      <c r="J5" s="304"/>
      <c r="K5" s="304"/>
      <c r="L5" s="304">
        <v>90</v>
      </c>
      <c r="M5" s="304">
        <v>347.6</v>
      </c>
      <c r="N5" s="390">
        <f t="shared" si="1"/>
        <v>347.6</v>
      </c>
      <c r="O5" s="192">
        <f t="shared" si="0"/>
        <v>2017.6</v>
      </c>
      <c r="P5" s="30">
        <v>0</v>
      </c>
      <c r="Q5" s="28">
        <v>0</v>
      </c>
      <c r="R5" s="28">
        <v>0</v>
      </c>
      <c r="S5" s="281"/>
    </row>
    <row r="6" spans="1:19" ht="12.75">
      <c r="A6" s="28">
        <v>600</v>
      </c>
      <c r="B6" s="29" t="s">
        <v>23</v>
      </c>
      <c r="C6" s="28">
        <v>1300</v>
      </c>
      <c r="D6" s="382">
        <v>127</v>
      </c>
      <c r="E6" s="144">
        <v>127</v>
      </c>
      <c r="F6" s="193">
        <v>127</v>
      </c>
      <c r="G6" s="193">
        <v>127</v>
      </c>
      <c r="H6" s="193">
        <v>127</v>
      </c>
      <c r="I6" s="360">
        <f aca="true" t="shared" si="2" ref="I6:I69">A6</f>
        <v>600</v>
      </c>
      <c r="J6" s="304">
        <v>0</v>
      </c>
      <c r="K6" s="304">
        <v>0</v>
      </c>
      <c r="L6" s="304">
        <v>127</v>
      </c>
      <c r="M6" s="304">
        <v>0</v>
      </c>
      <c r="N6" s="390">
        <f t="shared" si="1"/>
        <v>0</v>
      </c>
      <c r="O6" s="192">
        <f t="shared" si="0"/>
        <v>1427</v>
      </c>
      <c r="P6" s="30">
        <v>0</v>
      </c>
      <c r="Q6" s="28">
        <v>0</v>
      </c>
      <c r="R6" s="28">
        <v>0</v>
      </c>
      <c r="S6" s="281"/>
    </row>
    <row r="7" spans="1:19" ht="12.75">
      <c r="A7" s="28">
        <v>603</v>
      </c>
      <c r="B7" s="29" t="s">
        <v>24</v>
      </c>
      <c r="C7" s="28">
        <v>3146</v>
      </c>
      <c r="D7" s="382">
        <v>0</v>
      </c>
      <c r="E7" s="144">
        <v>0</v>
      </c>
      <c r="F7" s="193">
        <v>0</v>
      </c>
      <c r="G7" s="193">
        <v>0</v>
      </c>
      <c r="H7" s="193">
        <v>0</v>
      </c>
      <c r="I7" s="360">
        <f t="shared" si="2"/>
        <v>603</v>
      </c>
      <c r="J7" s="304">
        <v>0</v>
      </c>
      <c r="K7" s="304">
        <v>0</v>
      </c>
      <c r="L7" s="304">
        <v>0</v>
      </c>
      <c r="M7" s="304">
        <v>0</v>
      </c>
      <c r="N7" s="390">
        <f t="shared" si="1"/>
        <v>0</v>
      </c>
      <c r="O7" s="192">
        <f t="shared" si="0"/>
        <v>3146</v>
      </c>
      <c r="P7" s="30">
        <v>0</v>
      </c>
      <c r="Q7" s="28">
        <v>0</v>
      </c>
      <c r="R7" s="28">
        <v>0</v>
      </c>
      <c r="S7" s="281"/>
    </row>
    <row r="8" spans="1:19" ht="12.75">
      <c r="A8" s="28">
        <v>604</v>
      </c>
      <c r="B8" s="29" t="s">
        <v>376</v>
      </c>
      <c r="C8" s="28">
        <v>1610</v>
      </c>
      <c r="D8" s="382">
        <v>87</v>
      </c>
      <c r="E8" s="144">
        <v>87</v>
      </c>
      <c r="F8" s="193">
        <v>87</v>
      </c>
      <c r="G8" s="193">
        <v>87</v>
      </c>
      <c r="H8" s="193">
        <v>87</v>
      </c>
      <c r="I8" s="360">
        <f t="shared" si="2"/>
        <v>604</v>
      </c>
      <c r="J8" s="304">
        <v>388.2</v>
      </c>
      <c r="K8" s="304">
        <v>388.2</v>
      </c>
      <c r="L8" s="304">
        <v>87</v>
      </c>
      <c r="M8" s="304">
        <v>388.2</v>
      </c>
      <c r="N8" s="390">
        <f t="shared" si="1"/>
        <v>388.2</v>
      </c>
      <c r="O8" s="192">
        <f t="shared" si="0"/>
        <v>2085.2</v>
      </c>
      <c r="P8" s="30">
        <v>0</v>
      </c>
      <c r="Q8" s="28">
        <v>0</v>
      </c>
      <c r="R8" s="28">
        <v>0</v>
      </c>
      <c r="S8" s="281"/>
    </row>
    <row r="9" spans="1:21" ht="12.75">
      <c r="A9" s="28">
        <v>605</v>
      </c>
      <c r="B9" s="29" t="s">
        <v>25</v>
      </c>
      <c r="C9" s="28">
        <v>2913</v>
      </c>
      <c r="D9" s="382">
        <v>0</v>
      </c>
      <c r="E9" s="144">
        <v>0</v>
      </c>
      <c r="F9" s="193">
        <v>0</v>
      </c>
      <c r="G9" s="193">
        <v>0</v>
      </c>
      <c r="H9" s="193">
        <v>0</v>
      </c>
      <c r="I9" s="360">
        <f t="shared" si="2"/>
        <v>605</v>
      </c>
      <c r="J9" s="304">
        <v>776.4</v>
      </c>
      <c r="K9" s="304">
        <v>776.4</v>
      </c>
      <c r="L9" s="304">
        <v>0</v>
      </c>
      <c r="M9" s="304">
        <v>776</v>
      </c>
      <c r="N9" s="390">
        <f t="shared" si="1"/>
        <v>776</v>
      </c>
      <c r="O9" s="192">
        <f t="shared" si="0"/>
        <v>3689</v>
      </c>
      <c r="P9" s="30">
        <v>0</v>
      </c>
      <c r="Q9" s="28">
        <v>0</v>
      </c>
      <c r="R9" s="28">
        <v>0</v>
      </c>
      <c r="S9" s="281"/>
      <c r="U9">
        <v>233</v>
      </c>
    </row>
    <row r="10" spans="1:19" ht="12.75">
      <c r="A10" s="28">
        <v>606</v>
      </c>
      <c r="B10" s="29" t="s">
        <v>26</v>
      </c>
      <c r="C10" s="28">
        <v>2913</v>
      </c>
      <c r="D10" s="382">
        <v>0</v>
      </c>
      <c r="E10" s="144">
        <v>0</v>
      </c>
      <c r="F10" s="193">
        <v>0</v>
      </c>
      <c r="G10" s="193">
        <v>0</v>
      </c>
      <c r="H10" s="193">
        <v>0</v>
      </c>
      <c r="I10" s="360">
        <f t="shared" si="2"/>
        <v>606</v>
      </c>
      <c r="J10" s="304">
        <v>0</v>
      </c>
      <c r="K10" s="304">
        <v>0</v>
      </c>
      <c r="L10" s="304">
        <v>0</v>
      </c>
      <c r="M10" s="304">
        <v>0</v>
      </c>
      <c r="N10" s="390">
        <f t="shared" si="1"/>
        <v>0</v>
      </c>
      <c r="O10" s="192">
        <f t="shared" si="0"/>
        <v>2913</v>
      </c>
      <c r="P10" s="30">
        <v>0</v>
      </c>
      <c r="Q10" s="28">
        <v>0</v>
      </c>
      <c r="R10" s="28">
        <v>0</v>
      </c>
      <c r="S10" s="281"/>
    </row>
    <row r="11" spans="1:19" ht="12.75">
      <c r="A11" s="28">
        <v>608</v>
      </c>
      <c r="B11" s="29" t="s">
        <v>27</v>
      </c>
      <c r="C11" s="28">
        <v>2913</v>
      </c>
      <c r="D11" s="382">
        <v>0</v>
      </c>
      <c r="E11" s="144">
        <v>0</v>
      </c>
      <c r="F11" s="193">
        <v>0</v>
      </c>
      <c r="G11" s="193">
        <v>0</v>
      </c>
      <c r="H11" s="193">
        <v>0</v>
      </c>
      <c r="I11" s="360">
        <f t="shared" si="2"/>
        <v>608</v>
      </c>
      <c r="J11" s="304">
        <v>0</v>
      </c>
      <c r="K11" s="304">
        <v>0</v>
      </c>
      <c r="L11" s="304">
        <v>0</v>
      </c>
      <c r="M11" s="304">
        <v>0</v>
      </c>
      <c r="N11" s="390">
        <f t="shared" si="1"/>
        <v>0</v>
      </c>
      <c r="O11" s="192">
        <f t="shared" si="0"/>
        <v>2913</v>
      </c>
      <c r="P11" s="30">
        <v>0</v>
      </c>
      <c r="Q11" s="28">
        <v>0</v>
      </c>
      <c r="R11" s="28">
        <v>0</v>
      </c>
      <c r="S11" s="281"/>
    </row>
    <row r="12" spans="1:21" ht="12.75">
      <c r="A12" s="28">
        <v>609</v>
      </c>
      <c r="B12" s="29" t="s">
        <v>28</v>
      </c>
      <c r="C12" s="28">
        <v>2000</v>
      </c>
      <c r="D12" s="382">
        <v>36</v>
      </c>
      <c r="E12" s="144">
        <v>36</v>
      </c>
      <c r="F12" s="193">
        <v>36</v>
      </c>
      <c r="G12" s="193">
        <v>36</v>
      </c>
      <c r="H12" s="193">
        <v>36</v>
      </c>
      <c r="I12" s="360">
        <f t="shared" si="2"/>
        <v>609</v>
      </c>
      <c r="J12" s="304">
        <v>647</v>
      </c>
      <c r="K12" s="304">
        <v>647</v>
      </c>
      <c r="L12" s="304">
        <v>36</v>
      </c>
      <c r="M12" s="304">
        <v>647</v>
      </c>
      <c r="N12" s="390">
        <f t="shared" si="1"/>
        <v>647</v>
      </c>
      <c r="O12" s="192">
        <f t="shared" si="0"/>
        <v>2683</v>
      </c>
      <c r="P12" s="30">
        <v>0</v>
      </c>
      <c r="Q12" s="28">
        <v>0</v>
      </c>
      <c r="R12" s="28">
        <v>0</v>
      </c>
      <c r="S12" s="281"/>
      <c r="U12">
        <f>452.9*0.3</f>
        <v>135.86999999999998</v>
      </c>
    </row>
    <row r="13" spans="1:21" ht="12.75">
      <c r="A13" s="28">
        <v>611</v>
      </c>
      <c r="B13" s="29" t="s">
        <v>29</v>
      </c>
      <c r="C13" s="28">
        <v>1840</v>
      </c>
      <c r="D13" s="382">
        <v>57</v>
      </c>
      <c r="E13" s="144">
        <v>57</v>
      </c>
      <c r="F13" s="193">
        <v>57</v>
      </c>
      <c r="G13" s="193">
        <v>57</v>
      </c>
      <c r="H13" s="193">
        <v>57</v>
      </c>
      <c r="I13" s="360">
        <f t="shared" si="2"/>
        <v>611</v>
      </c>
      <c r="J13" s="304">
        <v>582.3</v>
      </c>
      <c r="K13" s="304">
        <v>582.3</v>
      </c>
      <c r="L13" s="304">
        <v>57</v>
      </c>
      <c r="M13" s="304">
        <v>582.3</v>
      </c>
      <c r="N13" s="390">
        <f t="shared" si="1"/>
        <v>582.3</v>
      </c>
      <c r="O13" s="192">
        <f t="shared" si="0"/>
        <v>2479.3</v>
      </c>
      <c r="P13" s="30">
        <v>0</v>
      </c>
      <c r="Q13" s="28">
        <v>0</v>
      </c>
      <c r="R13" s="28">
        <v>0</v>
      </c>
      <c r="S13" s="281"/>
      <c r="U13" s="316">
        <v>136</v>
      </c>
    </row>
    <row r="14" spans="1:19" ht="12.75">
      <c r="A14" s="28">
        <v>612</v>
      </c>
      <c r="B14" s="29" t="s">
        <v>30</v>
      </c>
      <c r="C14" s="28">
        <v>1690</v>
      </c>
      <c r="D14" s="382">
        <v>76</v>
      </c>
      <c r="E14" s="144">
        <v>76</v>
      </c>
      <c r="F14" s="193">
        <v>76</v>
      </c>
      <c r="G14" s="193">
        <v>76</v>
      </c>
      <c r="H14" s="193">
        <v>76</v>
      </c>
      <c r="I14" s="360">
        <f t="shared" si="2"/>
        <v>612</v>
      </c>
      <c r="J14" s="304">
        <v>452.9</v>
      </c>
      <c r="K14" s="304">
        <v>452.9</v>
      </c>
      <c r="L14" s="304">
        <v>76</v>
      </c>
      <c r="M14" s="304">
        <v>452.9</v>
      </c>
      <c r="N14" s="390">
        <f t="shared" si="1"/>
        <v>452.9</v>
      </c>
      <c r="O14" s="192">
        <f t="shared" si="0"/>
        <v>2218.9</v>
      </c>
      <c r="P14" s="30">
        <v>0</v>
      </c>
      <c r="Q14" s="28">
        <v>0</v>
      </c>
      <c r="R14" s="28">
        <v>0</v>
      </c>
      <c r="S14" s="281"/>
    </row>
    <row r="15" spans="1:19" ht="12.75">
      <c r="A15" s="28">
        <v>613</v>
      </c>
      <c r="B15" s="29" t="s">
        <v>31</v>
      </c>
      <c r="C15" s="28">
        <v>1680</v>
      </c>
      <c r="D15" s="382">
        <v>77</v>
      </c>
      <c r="E15" s="144">
        <v>77</v>
      </c>
      <c r="F15" s="193">
        <v>77</v>
      </c>
      <c r="G15" s="193">
        <v>77</v>
      </c>
      <c r="H15" s="193">
        <v>77</v>
      </c>
      <c r="I15" s="360">
        <f t="shared" si="2"/>
        <v>613</v>
      </c>
      <c r="J15" s="304">
        <v>452.9</v>
      </c>
      <c r="K15" s="304">
        <v>452.9</v>
      </c>
      <c r="L15" s="304">
        <v>77</v>
      </c>
      <c r="M15" s="304">
        <v>452.9</v>
      </c>
      <c r="N15" s="390">
        <f t="shared" si="1"/>
        <v>452.9</v>
      </c>
      <c r="O15" s="192">
        <f t="shared" si="0"/>
        <v>2209.9</v>
      </c>
      <c r="P15" s="30">
        <v>0</v>
      </c>
      <c r="Q15" s="28">
        <v>0</v>
      </c>
      <c r="R15" s="28">
        <v>0</v>
      </c>
      <c r="S15" s="281"/>
    </row>
    <row r="16" spans="1:24" ht="12.75">
      <c r="A16" s="28">
        <v>614</v>
      </c>
      <c r="B16" s="29" t="s">
        <v>32</v>
      </c>
      <c r="C16" s="28">
        <v>1740</v>
      </c>
      <c r="D16" s="382">
        <v>70</v>
      </c>
      <c r="E16" s="144">
        <v>70</v>
      </c>
      <c r="F16" s="193">
        <v>70</v>
      </c>
      <c r="G16" s="193">
        <v>70</v>
      </c>
      <c r="H16" s="193">
        <v>70</v>
      </c>
      <c r="I16" s="360">
        <f t="shared" si="2"/>
        <v>614</v>
      </c>
      <c r="J16" s="304">
        <v>517.6</v>
      </c>
      <c r="K16" s="304">
        <v>517.6</v>
      </c>
      <c r="L16" s="304">
        <v>70</v>
      </c>
      <c r="M16" s="304">
        <v>517.6</v>
      </c>
      <c r="N16" s="390">
        <f t="shared" si="1"/>
        <v>517.6</v>
      </c>
      <c r="O16" s="192">
        <f t="shared" si="0"/>
        <v>2327.6</v>
      </c>
      <c r="P16" s="30">
        <v>0</v>
      </c>
      <c r="Q16" s="28">
        <v>0</v>
      </c>
      <c r="R16" s="28">
        <v>0</v>
      </c>
      <c r="S16" s="281"/>
      <c r="U16" t="s">
        <v>409</v>
      </c>
      <c r="V16">
        <v>776.4</v>
      </c>
      <c r="W16">
        <f aca="true" t="shared" si="3" ref="W16:W25">0.3*V16</f>
        <v>232.92</v>
      </c>
      <c r="X16">
        <v>233</v>
      </c>
    </row>
    <row r="17" spans="1:24" ht="12.75">
      <c r="A17" s="28">
        <v>615</v>
      </c>
      <c r="B17" s="29" t="s">
        <v>33</v>
      </c>
      <c r="C17" s="28">
        <v>1610</v>
      </c>
      <c r="D17" s="382">
        <v>87</v>
      </c>
      <c r="E17" s="144">
        <v>87</v>
      </c>
      <c r="F17" s="193">
        <v>87</v>
      </c>
      <c r="G17" s="193">
        <v>87</v>
      </c>
      <c r="H17" s="193">
        <v>87</v>
      </c>
      <c r="I17" s="360">
        <f t="shared" si="2"/>
        <v>615</v>
      </c>
      <c r="J17" s="304">
        <v>388.2</v>
      </c>
      <c r="K17" s="304">
        <v>388.2</v>
      </c>
      <c r="L17" s="304">
        <v>87</v>
      </c>
      <c r="M17" s="304">
        <v>388.2</v>
      </c>
      <c r="N17" s="390">
        <f t="shared" si="1"/>
        <v>388.2</v>
      </c>
      <c r="O17" s="192">
        <f t="shared" si="0"/>
        <v>2085.2</v>
      </c>
      <c r="P17" s="30">
        <v>0</v>
      </c>
      <c r="Q17" s="28">
        <v>0</v>
      </c>
      <c r="R17" s="28">
        <v>0</v>
      </c>
      <c r="S17" s="281"/>
      <c r="U17" t="s">
        <v>410</v>
      </c>
      <c r="V17">
        <v>647</v>
      </c>
      <c r="W17">
        <f t="shared" si="3"/>
        <v>194.1</v>
      </c>
      <c r="X17">
        <v>194</v>
      </c>
    </row>
    <row r="18" spans="1:24" ht="12.75">
      <c r="A18" s="28">
        <v>616</v>
      </c>
      <c r="B18" s="29" t="s">
        <v>34</v>
      </c>
      <c r="C18" s="28">
        <v>1740</v>
      </c>
      <c r="D18" s="382">
        <v>70</v>
      </c>
      <c r="E18" s="144">
        <v>70</v>
      </c>
      <c r="F18" s="193">
        <v>70</v>
      </c>
      <c r="G18" s="193">
        <v>70</v>
      </c>
      <c r="H18" s="193">
        <v>70</v>
      </c>
      <c r="I18" s="360">
        <f t="shared" si="2"/>
        <v>616</v>
      </c>
      <c r="J18" s="304">
        <v>0</v>
      </c>
      <c r="K18" s="304">
        <v>0</v>
      </c>
      <c r="L18" s="304">
        <v>70</v>
      </c>
      <c r="M18" s="304">
        <v>0</v>
      </c>
      <c r="N18" s="390">
        <f t="shared" si="1"/>
        <v>0</v>
      </c>
      <c r="O18" s="192">
        <f t="shared" si="0"/>
        <v>1810</v>
      </c>
      <c r="P18" s="30">
        <v>0</v>
      </c>
      <c r="Q18" s="28">
        <v>0</v>
      </c>
      <c r="R18" s="28">
        <v>0</v>
      </c>
      <c r="S18" s="281"/>
      <c r="U18" t="s">
        <v>411</v>
      </c>
      <c r="V18">
        <v>582.3</v>
      </c>
      <c r="W18">
        <f t="shared" si="3"/>
        <v>174.68999999999997</v>
      </c>
      <c r="X18">
        <v>175</v>
      </c>
    </row>
    <row r="19" spans="1:24" ht="12.75">
      <c r="A19" s="28">
        <v>617</v>
      </c>
      <c r="B19" s="29" t="s">
        <v>35</v>
      </c>
      <c r="C19" s="28">
        <v>1610</v>
      </c>
      <c r="D19" s="382">
        <v>87</v>
      </c>
      <c r="E19" s="144">
        <v>87</v>
      </c>
      <c r="F19" s="193">
        <v>87</v>
      </c>
      <c r="G19" s="193">
        <v>87</v>
      </c>
      <c r="H19" s="193">
        <v>87</v>
      </c>
      <c r="I19" s="360">
        <f t="shared" si="2"/>
        <v>617</v>
      </c>
      <c r="J19" s="304">
        <v>0</v>
      </c>
      <c r="K19" s="304">
        <v>0</v>
      </c>
      <c r="L19" s="304">
        <v>87</v>
      </c>
      <c r="M19" s="304">
        <v>0</v>
      </c>
      <c r="N19" s="390">
        <f t="shared" si="1"/>
        <v>0</v>
      </c>
      <c r="O19" s="192">
        <f t="shared" si="0"/>
        <v>1697</v>
      </c>
      <c r="P19" s="30">
        <v>0</v>
      </c>
      <c r="Q19" s="28">
        <v>0</v>
      </c>
      <c r="R19" s="28">
        <v>0</v>
      </c>
      <c r="S19" s="281"/>
      <c r="U19" t="s">
        <v>412</v>
      </c>
      <c r="V19">
        <v>452.9</v>
      </c>
      <c r="W19">
        <f t="shared" si="3"/>
        <v>135.86999999999998</v>
      </c>
      <c r="X19">
        <v>136</v>
      </c>
    </row>
    <row r="20" spans="1:23" ht="12.75">
      <c r="A20" s="28">
        <v>618</v>
      </c>
      <c r="B20" s="29" t="s">
        <v>36</v>
      </c>
      <c r="C20" s="28">
        <v>1500</v>
      </c>
      <c r="D20" s="382">
        <v>101</v>
      </c>
      <c r="E20" s="144">
        <v>101</v>
      </c>
      <c r="F20" s="193">
        <v>101</v>
      </c>
      <c r="G20" s="193">
        <v>101</v>
      </c>
      <c r="H20" s="193">
        <v>101</v>
      </c>
      <c r="I20" s="360">
        <f t="shared" si="2"/>
        <v>618</v>
      </c>
      <c r="J20" s="304">
        <v>0</v>
      </c>
      <c r="K20" s="304">
        <v>0</v>
      </c>
      <c r="L20" s="304">
        <v>101</v>
      </c>
      <c r="M20" s="304">
        <v>0</v>
      </c>
      <c r="N20" s="390">
        <f t="shared" si="1"/>
        <v>0</v>
      </c>
      <c r="O20" s="192">
        <f t="shared" si="0"/>
        <v>1601</v>
      </c>
      <c r="P20" s="30">
        <v>0</v>
      </c>
      <c r="Q20" s="28">
        <v>0</v>
      </c>
      <c r="R20" s="28">
        <v>0</v>
      </c>
      <c r="S20" s="281"/>
      <c r="U20" t="s">
        <v>413</v>
      </c>
      <c r="W20">
        <f t="shared" si="3"/>
        <v>0</v>
      </c>
    </row>
    <row r="21" spans="1:24" ht="12.75">
      <c r="A21" s="28">
        <v>619</v>
      </c>
      <c r="B21" s="29" t="s">
        <v>37</v>
      </c>
      <c r="C21" s="28">
        <v>1320</v>
      </c>
      <c r="D21" s="382">
        <v>124</v>
      </c>
      <c r="E21" s="144">
        <v>124</v>
      </c>
      <c r="F21" s="193">
        <v>124</v>
      </c>
      <c r="G21" s="193">
        <v>124</v>
      </c>
      <c r="H21" s="193">
        <v>124</v>
      </c>
      <c r="I21" s="360">
        <f t="shared" si="2"/>
        <v>619</v>
      </c>
      <c r="J21" s="304">
        <v>0</v>
      </c>
      <c r="K21" s="304">
        <v>0</v>
      </c>
      <c r="L21" s="304">
        <v>124</v>
      </c>
      <c r="M21" s="304">
        <v>0</v>
      </c>
      <c r="N21" s="390">
        <f t="shared" si="1"/>
        <v>0</v>
      </c>
      <c r="O21" s="192">
        <f t="shared" si="0"/>
        <v>1444</v>
      </c>
      <c r="P21" s="30">
        <v>0</v>
      </c>
      <c r="Q21" s="28">
        <v>0</v>
      </c>
      <c r="R21" s="28">
        <v>0</v>
      </c>
      <c r="S21" s="281"/>
      <c r="U21" t="s">
        <v>414</v>
      </c>
      <c r="V21">
        <v>517.6</v>
      </c>
      <c r="W21">
        <f t="shared" si="3"/>
        <v>155.28</v>
      </c>
      <c r="X21">
        <v>155</v>
      </c>
    </row>
    <row r="22" spans="1:24" ht="12.75">
      <c r="A22" s="28">
        <v>620</v>
      </c>
      <c r="B22" s="29" t="s">
        <v>38</v>
      </c>
      <c r="C22" s="28">
        <v>1550</v>
      </c>
      <c r="D22" s="382">
        <v>94</v>
      </c>
      <c r="E22" s="144">
        <v>94</v>
      </c>
      <c r="F22" s="193">
        <v>94</v>
      </c>
      <c r="G22" s="193">
        <v>94</v>
      </c>
      <c r="H22" s="193">
        <v>94</v>
      </c>
      <c r="I22" s="360">
        <f t="shared" si="2"/>
        <v>620</v>
      </c>
      <c r="J22" s="304">
        <v>0</v>
      </c>
      <c r="K22" s="304">
        <v>0</v>
      </c>
      <c r="L22" s="304">
        <v>94</v>
      </c>
      <c r="M22" s="304">
        <v>0</v>
      </c>
      <c r="N22" s="390">
        <f t="shared" si="1"/>
        <v>0</v>
      </c>
      <c r="O22" s="192">
        <f t="shared" si="0"/>
        <v>1644</v>
      </c>
      <c r="P22" s="30">
        <v>0</v>
      </c>
      <c r="Q22" s="28">
        <v>0</v>
      </c>
      <c r="R22" s="28">
        <v>0</v>
      </c>
      <c r="S22" s="281"/>
      <c r="U22" t="s">
        <v>415</v>
      </c>
      <c r="V22">
        <v>388.2</v>
      </c>
      <c r="W22">
        <f t="shared" si="3"/>
        <v>116.46</v>
      </c>
      <c r="X22">
        <v>116</v>
      </c>
    </row>
    <row r="23" spans="1:24" ht="12.75">
      <c r="A23" s="28">
        <v>621</v>
      </c>
      <c r="B23" s="29" t="s">
        <v>39</v>
      </c>
      <c r="C23" s="28">
        <v>1340</v>
      </c>
      <c r="D23" s="382">
        <v>122</v>
      </c>
      <c r="E23" s="144">
        <v>122</v>
      </c>
      <c r="F23" s="193">
        <v>122</v>
      </c>
      <c r="G23" s="193">
        <v>122</v>
      </c>
      <c r="H23" s="193">
        <v>122</v>
      </c>
      <c r="I23" s="360">
        <f t="shared" si="2"/>
        <v>621</v>
      </c>
      <c r="J23" s="304">
        <v>0</v>
      </c>
      <c r="K23" s="304">
        <v>0</v>
      </c>
      <c r="L23" s="304">
        <v>122</v>
      </c>
      <c r="M23" s="304">
        <v>0</v>
      </c>
      <c r="N23" s="390">
        <f t="shared" si="1"/>
        <v>0</v>
      </c>
      <c r="O23" s="192">
        <f t="shared" si="0"/>
        <v>1462</v>
      </c>
      <c r="P23" s="30">
        <v>0</v>
      </c>
      <c r="Q23" s="28">
        <v>0</v>
      </c>
      <c r="R23" s="28">
        <v>0</v>
      </c>
      <c r="S23" s="281"/>
      <c r="U23" t="s">
        <v>416</v>
      </c>
      <c r="V23">
        <v>388.2</v>
      </c>
      <c r="W23">
        <f t="shared" si="3"/>
        <v>116.46</v>
      </c>
      <c r="X23">
        <v>116</v>
      </c>
    </row>
    <row r="24" spans="1:24" ht="12.75">
      <c r="A24" s="28">
        <v>622</v>
      </c>
      <c r="B24" s="29" t="s">
        <v>40</v>
      </c>
      <c r="C24" s="37">
        <v>971</v>
      </c>
      <c r="D24" s="382">
        <v>170</v>
      </c>
      <c r="E24" s="366">
        <v>216</v>
      </c>
      <c r="F24" s="193">
        <v>261</v>
      </c>
      <c r="G24" s="304">
        <v>327</v>
      </c>
      <c r="H24" s="304">
        <v>350</v>
      </c>
      <c r="I24" s="360">
        <f t="shared" si="2"/>
        <v>622</v>
      </c>
      <c r="J24" s="304">
        <v>0</v>
      </c>
      <c r="K24" s="304">
        <v>0</v>
      </c>
      <c r="L24" s="304">
        <v>414.7</v>
      </c>
      <c r="M24" s="304">
        <v>0</v>
      </c>
      <c r="N24" s="390">
        <f t="shared" si="1"/>
        <v>0</v>
      </c>
      <c r="O24" s="192">
        <f t="shared" si="0"/>
        <v>1298</v>
      </c>
      <c r="P24" s="30">
        <v>0</v>
      </c>
      <c r="Q24" s="28">
        <v>0</v>
      </c>
      <c r="R24" s="28">
        <v>0</v>
      </c>
      <c r="S24" s="281"/>
      <c r="U24" t="s">
        <v>417</v>
      </c>
      <c r="V24">
        <v>388.2</v>
      </c>
      <c r="W24">
        <f t="shared" si="3"/>
        <v>116.46</v>
      </c>
      <c r="X24">
        <v>116</v>
      </c>
    </row>
    <row r="25" spans="1:24" ht="12.75">
      <c r="A25" s="28">
        <v>623</v>
      </c>
      <c r="B25" s="29" t="s">
        <v>41</v>
      </c>
      <c r="C25" s="28">
        <v>1690</v>
      </c>
      <c r="D25" s="382">
        <v>76</v>
      </c>
      <c r="E25" s="144">
        <v>76</v>
      </c>
      <c r="F25" s="193">
        <v>76</v>
      </c>
      <c r="G25" s="193">
        <v>76</v>
      </c>
      <c r="H25" s="193">
        <v>76</v>
      </c>
      <c r="I25" s="360">
        <f t="shared" si="2"/>
        <v>623</v>
      </c>
      <c r="J25" s="304">
        <v>0</v>
      </c>
      <c r="K25" s="304">
        <v>0</v>
      </c>
      <c r="L25" s="304">
        <v>76</v>
      </c>
      <c r="M25" s="304">
        <v>0</v>
      </c>
      <c r="N25" s="390">
        <f t="shared" si="1"/>
        <v>0</v>
      </c>
      <c r="O25" s="192">
        <f t="shared" si="0"/>
        <v>1766</v>
      </c>
      <c r="P25" s="30">
        <v>0</v>
      </c>
      <c r="Q25" s="28">
        <v>0</v>
      </c>
      <c r="R25" s="28">
        <v>0</v>
      </c>
      <c r="S25" s="281"/>
      <c r="U25" t="s">
        <v>418</v>
      </c>
      <c r="V25">
        <v>388.2</v>
      </c>
      <c r="W25">
        <f t="shared" si="3"/>
        <v>116.46</v>
      </c>
      <c r="X25">
        <v>116</v>
      </c>
    </row>
    <row r="26" spans="1:19" ht="12.75">
      <c r="A26" s="28">
        <v>624</v>
      </c>
      <c r="B26" s="29" t="s">
        <v>42</v>
      </c>
      <c r="C26" s="28">
        <v>1400</v>
      </c>
      <c r="D26" s="382">
        <v>114</v>
      </c>
      <c r="E26" s="144">
        <v>114</v>
      </c>
      <c r="F26" s="193">
        <f>IF(C26&lt;972,E26+44,E26)</f>
        <v>114</v>
      </c>
      <c r="G26" s="193">
        <v>114</v>
      </c>
      <c r="H26" s="193">
        <v>114</v>
      </c>
      <c r="I26" s="360">
        <f t="shared" si="2"/>
        <v>624</v>
      </c>
      <c r="J26" s="304">
        <v>0</v>
      </c>
      <c r="K26" s="304">
        <v>0</v>
      </c>
      <c r="L26" s="304">
        <v>114</v>
      </c>
      <c r="M26" s="304">
        <v>0</v>
      </c>
      <c r="N26" s="390">
        <f t="shared" si="1"/>
        <v>0</v>
      </c>
      <c r="O26" s="192">
        <f t="shared" si="0"/>
        <v>1514</v>
      </c>
      <c r="P26" s="30">
        <v>0</v>
      </c>
      <c r="Q26" s="28">
        <v>0</v>
      </c>
      <c r="R26" s="28">
        <v>0</v>
      </c>
      <c r="S26" s="281"/>
    </row>
    <row r="27" spans="1:19" ht="12.75">
      <c r="A27" s="28">
        <v>625</v>
      </c>
      <c r="B27" s="29" t="s">
        <v>43</v>
      </c>
      <c r="C27" s="28">
        <v>1370</v>
      </c>
      <c r="D27" s="382">
        <v>118</v>
      </c>
      <c r="E27" s="144">
        <v>118</v>
      </c>
      <c r="F27" s="193">
        <f>IF(C27&lt;972,E27+44,E27)</f>
        <v>118</v>
      </c>
      <c r="G27" s="193">
        <v>118</v>
      </c>
      <c r="H27" s="193">
        <v>118</v>
      </c>
      <c r="I27" s="360">
        <f t="shared" si="2"/>
        <v>625</v>
      </c>
      <c r="J27" s="304">
        <v>388.2</v>
      </c>
      <c r="K27" s="304">
        <v>388.2</v>
      </c>
      <c r="L27" s="304">
        <v>118</v>
      </c>
      <c r="M27" s="304">
        <v>388.2</v>
      </c>
      <c r="N27" s="390">
        <f t="shared" si="1"/>
        <v>388.2</v>
      </c>
      <c r="O27" s="192">
        <f t="shared" si="0"/>
        <v>1876.2</v>
      </c>
      <c r="P27" s="30">
        <v>0</v>
      </c>
      <c r="Q27" s="28">
        <v>0</v>
      </c>
      <c r="R27" s="28">
        <v>0</v>
      </c>
      <c r="S27" s="281"/>
    </row>
    <row r="28" spans="1:19" ht="12.75">
      <c r="A28" s="28">
        <v>626</v>
      </c>
      <c r="B28" s="29" t="s">
        <v>44</v>
      </c>
      <c r="C28" s="28">
        <v>1340</v>
      </c>
      <c r="D28" s="382">
        <v>122</v>
      </c>
      <c r="E28" s="144">
        <v>122</v>
      </c>
      <c r="F28" s="193">
        <f>IF(C28&lt;972,E28+44,E28)</f>
        <v>122</v>
      </c>
      <c r="G28" s="193">
        <v>122</v>
      </c>
      <c r="H28" s="193">
        <v>122</v>
      </c>
      <c r="I28" s="360">
        <f t="shared" si="2"/>
        <v>626</v>
      </c>
      <c r="J28" s="304">
        <v>388.2</v>
      </c>
      <c r="K28" s="304">
        <v>388.2</v>
      </c>
      <c r="L28" s="304">
        <v>122</v>
      </c>
      <c r="M28" s="304">
        <v>388.2</v>
      </c>
      <c r="N28" s="390">
        <f t="shared" si="1"/>
        <v>388.2</v>
      </c>
      <c r="O28" s="192">
        <f t="shared" si="0"/>
        <v>1850.2</v>
      </c>
      <c r="P28" s="30">
        <v>0</v>
      </c>
      <c r="Q28" s="28">
        <v>0</v>
      </c>
      <c r="R28" s="28">
        <v>0</v>
      </c>
      <c r="S28" s="281"/>
    </row>
    <row r="29" spans="1:19" ht="12.75">
      <c r="A29" s="28">
        <v>627</v>
      </c>
      <c r="B29" s="29" t="s">
        <v>45</v>
      </c>
      <c r="C29" s="28">
        <v>1300</v>
      </c>
      <c r="D29" s="382">
        <v>127</v>
      </c>
      <c r="E29" s="144">
        <v>127</v>
      </c>
      <c r="F29" s="193">
        <f>IF(C29&lt;972,E29+44,E29)</f>
        <v>127</v>
      </c>
      <c r="G29" s="193">
        <v>127</v>
      </c>
      <c r="H29" s="193">
        <v>127</v>
      </c>
      <c r="I29" s="360">
        <f t="shared" si="2"/>
        <v>627</v>
      </c>
      <c r="J29" s="304">
        <v>388.2</v>
      </c>
      <c r="K29" s="304">
        <v>388.2</v>
      </c>
      <c r="L29" s="304">
        <v>127</v>
      </c>
      <c r="M29" s="304">
        <v>388.2</v>
      </c>
      <c r="N29" s="390">
        <f t="shared" si="1"/>
        <v>388.2</v>
      </c>
      <c r="O29" s="192">
        <f t="shared" si="0"/>
        <v>1815.2</v>
      </c>
      <c r="P29" s="30">
        <v>0</v>
      </c>
      <c r="Q29" s="28">
        <v>0</v>
      </c>
      <c r="R29" s="28">
        <v>0</v>
      </c>
      <c r="S29" s="281"/>
    </row>
    <row r="30" spans="1:19" ht="12.75">
      <c r="A30" s="28">
        <v>628</v>
      </c>
      <c r="B30" s="29" t="s">
        <v>46</v>
      </c>
      <c r="C30" s="28">
        <v>980</v>
      </c>
      <c r="D30" s="382">
        <v>169</v>
      </c>
      <c r="E30" s="144">
        <v>169</v>
      </c>
      <c r="F30" s="193">
        <f>IF(C30&lt;972,E30+44,E30)</f>
        <v>169</v>
      </c>
      <c r="G30" s="193">
        <v>169</v>
      </c>
      <c r="H30" s="193">
        <v>169</v>
      </c>
      <c r="I30" s="360">
        <f t="shared" si="2"/>
        <v>628</v>
      </c>
      <c r="J30" s="304">
        <v>0</v>
      </c>
      <c r="K30" s="304">
        <v>0</v>
      </c>
      <c r="L30" s="304">
        <v>169</v>
      </c>
      <c r="M30" s="304">
        <v>0</v>
      </c>
      <c r="N30" s="390">
        <f t="shared" si="1"/>
        <v>0</v>
      </c>
      <c r="O30" s="192">
        <f t="shared" si="0"/>
        <v>1149</v>
      </c>
      <c r="P30" s="30">
        <v>0</v>
      </c>
      <c r="Q30" s="28">
        <v>0</v>
      </c>
      <c r="R30" s="28">
        <v>0</v>
      </c>
      <c r="S30" s="281"/>
    </row>
    <row r="31" spans="1:19" ht="12.75">
      <c r="A31" s="28">
        <v>629</v>
      </c>
      <c r="B31" s="29" t="s">
        <v>47</v>
      </c>
      <c r="C31" s="28">
        <v>941</v>
      </c>
      <c r="D31" s="382">
        <v>170</v>
      </c>
      <c r="E31" s="366">
        <v>216</v>
      </c>
      <c r="F31" s="193">
        <v>261</v>
      </c>
      <c r="G31" s="304">
        <v>327</v>
      </c>
      <c r="H31" s="304">
        <v>350</v>
      </c>
      <c r="I31" s="360">
        <f t="shared" si="2"/>
        <v>629</v>
      </c>
      <c r="J31" s="304">
        <v>0</v>
      </c>
      <c r="K31" s="304">
        <v>0</v>
      </c>
      <c r="L31" s="304">
        <v>414.7</v>
      </c>
      <c r="M31" s="304">
        <v>0</v>
      </c>
      <c r="N31" s="390">
        <f t="shared" si="1"/>
        <v>0</v>
      </c>
      <c r="O31" s="192">
        <f t="shared" si="0"/>
        <v>1268</v>
      </c>
      <c r="P31" s="30">
        <v>0</v>
      </c>
      <c r="Q31" s="28">
        <v>0</v>
      </c>
      <c r="R31" s="28">
        <v>0</v>
      </c>
      <c r="S31" s="281"/>
    </row>
    <row r="32" spans="1:19" ht="12.75">
      <c r="A32" s="28">
        <v>630</v>
      </c>
      <c r="B32" s="29" t="s">
        <v>48</v>
      </c>
      <c r="C32" s="28">
        <v>1170</v>
      </c>
      <c r="D32" s="382">
        <v>144</v>
      </c>
      <c r="E32" s="144">
        <v>144</v>
      </c>
      <c r="F32" s="193">
        <f>IF(C32&lt;972,E32+44,E32)</f>
        <v>144</v>
      </c>
      <c r="G32" s="193">
        <v>144</v>
      </c>
      <c r="H32" s="193">
        <v>144</v>
      </c>
      <c r="I32" s="360">
        <f t="shared" si="2"/>
        <v>630</v>
      </c>
      <c r="J32" s="304">
        <v>0</v>
      </c>
      <c r="K32" s="304">
        <v>0</v>
      </c>
      <c r="L32" s="304">
        <v>144</v>
      </c>
      <c r="M32" s="304">
        <v>0</v>
      </c>
      <c r="N32" s="390">
        <f t="shared" si="1"/>
        <v>0</v>
      </c>
      <c r="O32" s="192">
        <f t="shared" si="0"/>
        <v>1314</v>
      </c>
      <c r="P32" s="30">
        <v>0</v>
      </c>
      <c r="Q32" s="28">
        <v>0</v>
      </c>
      <c r="R32" s="28">
        <v>0</v>
      </c>
      <c r="S32" s="281"/>
    </row>
    <row r="33" spans="1:19" ht="12.75">
      <c r="A33" s="28">
        <v>631</v>
      </c>
      <c r="B33" s="29" t="s">
        <v>49</v>
      </c>
      <c r="C33" s="28">
        <v>1170</v>
      </c>
      <c r="D33" s="382">
        <v>144</v>
      </c>
      <c r="E33" s="144">
        <v>144</v>
      </c>
      <c r="F33" s="193">
        <f>IF(C33&lt;972,E33+44,E33)</f>
        <v>144</v>
      </c>
      <c r="G33" s="193">
        <v>144</v>
      </c>
      <c r="H33" s="193">
        <v>144</v>
      </c>
      <c r="I33" s="360">
        <f t="shared" si="2"/>
        <v>631</v>
      </c>
      <c r="J33" s="304">
        <v>0</v>
      </c>
      <c r="K33" s="304">
        <v>0</v>
      </c>
      <c r="L33" s="304">
        <v>144</v>
      </c>
      <c r="M33" s="304">
        <v>0</v>
      </c>
      <c r="N33" s="390">
        <f t="shared" si="1"/>
        <v>0</v>
      </c>
      <c r="O33" s="192">
        <f t="shared" si="0"/>
        <v>1314</v>
      </c>
      <c r="P33" s="30">
        <v>0</v>
      </c>
      <c r="Q33" s="28">
        <v>0</v>
      </c>
      <c r="R33" s="28">
        <v>0</v>
      </c>
      <c r="S33" s="281"/>
    </row>
    <row r="34" spans="1:19" ht="12.75">
      <c r="A34" s="28">
        <v>632</v>
      </c>
      <c r="B34" s="29" t="s">
        <v>50</v>
      </c>
      <c r="C34" s="28">
        <v>941</v>
      </c>
      <c r="D34" s="382">
        <v>170</v>
      </c>
      <c r="E34" s="366">
        <v>216</v>
      </c>
      <c r="F34" s="193">
        <v>261</v>
      </c>
      <c r="G34" s="304">
        <v>327</v>
      </c>
      <c r="H34" s="304">
        <v>350</v>
      </c>
      <c r="I34" s="360">
        <f t="shared" si="2"/>
        <v>632</v>
      </c>
      <c r="J34" s="304">
        <v>0</v>
      </c>
      <c r="K34" s="304">
        <v>0</v>
      </c>
      <c r="L34" s="304">
        <v>414.7</v>
      </c>
      <c r="M34" s="304">
        <v>0</v>
      </c>
      <c r="N34" s="390">
        <f t="shared" si="1"/>
        <v>0</v>
      </c>
      <c r="O34" s="192">
        <f t="shared" si="0"/>
        <v>1268</v>
      </c>
      <c r="P34" s="30">
        <v>0</v>
      </c>
      <c r="Q34" s="28">
        <v>0</v>
      </c>
      <c r="R34" s="28">
        <v>0</v>
      </c>
      <c r="S34" s="281"/>
    </row>
    <row r="35" spans="1:19" ht="12.75">
      <c r="A35" s="28">
        <v>633</v>
      </c>
      <c r="B35" s="29" t="s">
        <v>51</v>
      </c>
      <c r="C35" s="28">
        <v>941</v>
      </c>
      <c r="D35" s="382">
        <v>170</v>
      </c>
      <c r="E35" s="366">
        <v>216</v>
      </c>
      <c r="F35" s="193">
        <v>261</v>
      </c>
      <c r="G35" s="304">
        <v>327</v>
      </c>
      <c r="H35" s="304">
        <v>350</v>
      </c>
      <c r="I35" s="360">
        <f t="shared" si="2"/>
        <v>633</v>
      </c>
      <c r="J35" s="304">
        <v>0</v>
      </c>
      <c r="K35" s="304">
        <v>0</v>
      </c>
      <c r="L35" s="304">
        <v>414.7</v>
      </c>
      <c r="M35" s="304">
        <v>0</v>
      </c>
      <c r="N35" s="390">
        <f t="shared" si="1"/>
        <v>0</v>
      </c>
      <c r="O35" s="192">
        <f t="shared" si="0"/>
        <v>1268</v>
      </c>
      <c r="P35" s="30">
        <v>0</v>
      </c>
      <c r="Q35" s="28">
        <v>0</v>
      </c>
      <c r="R35" s="28">
        <v>0</v>
      </c>
      <c r="S35" s="281"/>
    </row>
    <row r="36" spans="1:19" ht="12.75">
      <c r="A36" s="28">
        <v>634</v>
      </c>
      <c r="B36" s="29" t="s">
        <v>52</v>
      </c>
      <c r="C36" s="28">
        <v>971</v>
      </c>
      <c r="D36" s="382">
        <v>170</v>
      </c>
      <c r="E36" s="366">
        <v>216</v>
      </c>
      <c r="F36" s="193">
        <v>261</v>
      </c>
      <c r="G36" s="304">
        <v>327</v>
      </c>
      <c r="H36" s="304">
        <v>350</v>
      </c>
      <c r="I36" s="360">
        <f t="shared" si="2"/>
        <v>634</v>
      </c>
      <c r="J36" s="304">
        <v>0</v>
      </c>
      <c r="K36" s="304">
        <v>0</v>
      </c>
      <c r="L36" s="304">
        <v>414.7</v>
      </c>
      <c r="M36" s="304">
        <v>0</v>
      </c>
      <c r="N36" s="390">
        <f t="shared" si="1"/>
        <v>0</v>
      </c>
      <c r="O36" s="192">
        <f t="shared" si="0"/>
        <v>1298</v>
      </c>
      <c r="P36" s="30">
        <v>0</v>
      </c>
      <c r="Q36" s="28">
        <v>0</v>
      </c>
      <c r="R36" s="28">
        <v>0</v>
      </c>
      <c r="S36" s="281"/>
    </row>
    <row r="37" spans="1:19" ht="12.75">
      <c r="A37" s="28">
        <v>635</v>
      </c>
      <c r="B37" s="29" t="s">
        <v>377</v>
      </c>
      <c r="C37" s="28">
        <v>1610</v>
      </c>
      <c r="D37" s="382">
        <v>87</v>
      </c>
      <c r="E37" s="144">
        <v>87</v>
      </c>
      <c r="F37" s="193">
        <f>IF(C37&lt;972,E37+44,E37)</f>
        <v>87</v>
      </c>
      <c r="G37" s="193">
        <v>87</v>
      </c>
      <c r="H37" s="193">
        <v>87</v>
      </c>
      <c r="I37" s="360">
        <f t="shared" si="2"/>
        <v>635</v>
      </c>
      <c r="J37" s="304">
        <v>388.2</v>
      </c>
      <c r="K37" s="304">
        <v>388.2</v>
      </c>
      <c r="L37" s="304">
        <v>87</v>
      </c>
      <c r="M37" s="304">
        <v>388.2</v>
      </c>
      <c r="N37" s="390">
        <f t="shared" si="1"/>
        <v>388.2</v>
      </c>
      <c r="O37" s="192">
        <f t="shared" si="0"/>
        <v>2085.2</v>
      </c>
      <c r="P37" s="30">
        <v>0</v>
      </c>
      <c r="Q37" s="28">
        <v>0</v>
      </c>
      <c r="R37" s="28">
        <v>0</v>
      </c>
      <c r="S37" s="281"/>
    </row>
    <row r="38" spans="1:19" ht="12.75">
      <c r="A38" s="28">
        <v>636</v>
      </c>
      <c r="B38" s="29" t="s">
        <v>53</v>
      </c>
      <c r="C38" s="28">
        <v>971</v>
      </c>
      <c r="D38" s="382">
        <v>170</v>
      </c>
      <c r="E38" s="366">
        <v>216</v>
      </c>
      <c r="F38" s="193">
        <v>261</v>
      </c>
      <c r="G38" s="304">
        <v>327</v>
      </c>
      <c r="H38" s="304">
        <v>350</v>
      </c>
      <c r="I38" s="360">
        <f t="shared" si="2"/>
        <v>636</v>
      </c>
      <c r="J38" s="304">
        <v>0</v>
      </c>
      <c r="K38" s="304">
        <v>0</v>
      </c>
      <c r="L38" s="304">
        <v>414.7</v>
      </c>
      <c r="M38" s="304">
        <v>0</v>
      </c>
      <c r="N38" s="390">
        <f t="shared" si="1"/>
        <v>0</v>
      </c>
      <c r="O38" s="192">
        <f t="shared" si="0"/>
        <v>1298</v>
      </c>
      <c r="P38" s="30">
        <v>0</v>
      </c>
      <c r="Q38" s="28">
        <v>0</v>
      </c>
      <c r="R38" s="28">
        <v>0</v>
      </c>
      <c r="S38" s="281"/>
    </row>
    <row r="39" spans="1:19" ht="12.75">
      <c r="A39" s="28">
        <v>637</v>
      </c>
      <c r="B39" s="29" t="s">
        <v>54</v>
      </c>
      <c r="C39" s="28">
        <v>971</v>
      </c>
      <c r="D39" s="382">
        <v>170</v>
      </c>
      <c r="E39" s="366">
        <v>216</v>
      </c>
      <c r="F39" s="193">
        <v>261</v>
      </c>
      <c r="G39" s="304">
        <v>327</v>
      </c>
      <c r="H39" s="304">
        <v>350</v>
      </c>
      <c r="I39" s="360">
        <f t="shared" si="2"/>
        <v>637</v>
      </c>
      <c r="J39" s="304">
        <v>0</v>
      </c>
      <c r="K39" s="304">
        <v>0</v>
      </c>
      <c r="L39" s="304">
        <v>414.7</v>
      </c>
      <c r="M39" s="304">
        <v>0</v>
      </c>
      <c r="N39" s="390">
        <f t="shared" si="1"/>
        <v>0</v>
      </c>
      <c r="O39" s="192">
        <f t="shared" si="0"/>
        <v>1298</v>
      </c>
      <c r="P39" s="30">
        <v>0</v>
      </c>
      <c r="Q39" s="28">
        <v>0</v>
      </c>
      <c r="R39" s="28">
        <v>0</v>
      </c>
      <c r="S39" s="281"/>
    </row>
    <row r="40" spans="1:19" ht="12.75">
      <c r="A40" s="28">
        <v>638</v>
      </c>
      <c r="B40" s="29" t="s">
        <v>55</v>
      </c>
      <c r="C40" s="28">
        <v>906</v>
      </c>
      <c r="D40" s="382">
        <v>170</v>
      </c>
      <c r="E40" s="366">
        <v>216</v>
      </c>
      <c r="F40" s="193">
        <v>261</v>
      </c>
      <c r="G40" s="304">
        <v>327</v>
      </c>
      <c r="H40" s="304">
        <v>350</v>
      </c>
      <c r="I40" s="360">
        <f t="shared" si="2"/>
        <v>638</v>
      </c>
      <c r="J40" s="304">
        <v>0</v>
      </c>
      <c r="K40" s="304">
        <v>0</v>
      </c>
      <c r="L40" s="304">
        <v>414.7</v>
      </c>
      <c r="M40" s="304">
        <v>0</v>
      </c>
      <c r="N40" s="390">
        <f t="shared" si="1"/>
        <v>0</v>
      </c>
      <c r="O40" s="192">
        <f t="shared" si="0"/>
        <v>1233</v>
      </c>
      <c r="P40" s="30">
        <v>0</v>
      </c>
      <c r="Q40" s="28">
        <v>0</v>
      </c>
      <c r="R40" s="28">
        <v>0</v>
      </c>
      <c r="S40" s="281"/>
    </row>
    <row r="41" spans="1:19" ht="12.75">
      <c r="A41" s="28">
        <v>639</v>
      </c>
      <c r="B41" s="29" t="s">
        <v>56</v>
      </c>
      <c r="C41" s="28">
        <v>1300</v>
      </c>
      <c r="D41" s="382">
        <v>127</v>
      </c>
      <c r="E41" s="144">
        <v>127</v>
      </c>
      <c r="F41" s="193">
        <f aca="true" t="shared" si="4" ref="F41:F47">IF(C41&lt;972,E41+44,E41)</f>
        <v>127</v>
      </c>
      <c r="G41" s="193">
        <v>127</v>
      </c>
      <c r="H41" s="193">
        <v>127</v>
      </c>
      <c r="I41" s="360">
        <f t="shared" si="2"/>
        <v>639</v>
      </c>
      <c r="J41" s="304">
        <v>0</v>
      </c>
      <c r="K41" s="304">
        <v>0</v>
      </c>
      <c r="L41" s="304">
        <v>127</v>
      </c>
      <c r="M41" s="304">
        <v>0</v>
      </c>
      <c r="N41" s="390">
        <f t="shared" si="1"/>
        <v>0</v>
      </c>
      <c r="O41" s="192">
        <f t="shared" si="0"/>
        <v>1427</v>
      </c>
      <c r="P41" s="30">
        <v>0</v>
      </c>
      <c r="Q41" s="28">
        <v>0</v>
      </c>
      <c r="R41" s="28">
        <v>0</v>
      </c>
      <c r="S41" s="281"/>
    </row>
    <row r="42" spans="1:19" ht="12.75">
      <c r="A42" s="28">
        <v>640</v>
      </c>
      <c r="B42" s="29" t="s">
        <v>504</v>
      </c>
      <c r="C42" s="28">
        <v>1680</v>
      </c>
      <c r="D42" s="382">
        <v>0</v>
      </c>
      <c r="E42" s="144">
        <v>0</v>
      </c>
      <c r="F42" s="193">
        <f t="shared" si="4"/>
        <v>0</v>
      </c>
      <c r="G42" s="193">
        <v>0</v>
      </c>
      <c r="H42" s="193">
        <v>77</v>
      </c>
      <c r="I42" s="360">
        <f t="shared" si="2"/>
        <v>640</v>
      </c>
      <c r="J42" s="304">
        <v>0</v>
      </c>
      <c r="K42" s="304">
        <v>0</v>
      </c>
      <c r="L42" s="304">
        <v>77</v>
      </c>
      <c r="M42" s="304">
        <v>0</v>
      </c>
      <c r="N42" s="390">
        <v>453</v>
      </c>
      <c r="O42" s="192">
        <f t="shared" si="0"/>
        <v>1680</v>
      </c>
      <c r="P42" s="30">
        <v>0</v>
      </c>
      <c r="Q42" s="28">
        <v>0</v>
      </c>
      <c r="R42" s="28">
        <v>0</v>
      </c>
      <c r="S42" s="281"/>
    </row>
    <row r="43" spans="1:19" ht="12.75">
      <c r="A43" s="28">
        <v>641</v>
      </c>
      <c r="B43" s="29" t="s">
        <v>505</v>
      </c>
      <c r="C43" s="28">
        <v>1300</v>
      </c>
      <c r="D43" s="382">
        <v>94</v>
      </c>
      <c r="E43" s="144">
        <v>94</v>
      </c>
      <c r="F43" s="193">
        <f t="shared" si="4"/>
        <v>94</v>
      </c>
      <c r="G43" s="193">
        <v>94</v>
      </c>
      <c r="H43" s="193">
        <v>127</v>
      </c>
      <c r="I43" s="360">
        <f t="shared" si="2"/>
        <v>641</v>
      </c>
      <c r="J43" s="304">
        <v>0</v>
      </c>
      <c r="K43" s="304">
        <v>0</v>
      </c>
      <c r="L43" s="304">
        <v>127</v>
      </c>
      <c r="M43" s="304">
        <v>0</v>
      </c>
      <c r="N43" s="390">
        <v>388</v>
      </c>
      <c r="O43" s="192">
        <f t="shared" si="0"/>
        <v>1394</v>
      </c>
      <c r="P43" s="30">
        <v>0</v>
      </c>
      <c r="Q43" s="28">
        <v>0</v>
      </c>
      <c r="R43" s="28">
        <v>0</v>
      </c>
      <c r="S43" s="281"/>
    </row>
    <row r="44" spans="1:19" ht="12.75">
      <c r="A44" s="28">
        <v>642</v>
      </c>
      <c r="B44" s="29" t="s">
        <v>506</v>
      </c>
      <c r="C44" s="28">
        <v>2913</v>
      </c>
      <c r="D44" s="382">
        <v>144</v>
      </c>
      <c r="E44" s="144">
        <v>144</v>
      </c>
      <c r="F44" s="193">
        <f t="shared" si="4"/>
        <v>144</v>
      </c>
      <c r="G44" s="193">
        <v>144</v>
      </c>
      <c r="H44" s="193">
        <v>144</v>
      </c>
      <c r="I44" s="360">
        <f t="shared" si="2"/>
        <v>642</v>
      </c>
      <c r="J44" s="304">
        <v>0</v>
      </c>
      <c r="K44" s="304">
        <v>0</v>
      </c>
      <c r="L44" s="304">
        <v>0</v>
      </c>
      <c r="M44" s="304">
        <v>0</v>
      </c>
      <c r="N44" s="390">
        <v>776</v>
      </c>
      <c r="O44" s="192">
        <f t="shared" si="0"/>
        <v>3057</v>
      </c>
      <c r="P44" s="30">
        <v>0</v>
      </c>
      <c r="Q44" s="28">
        <v>0</v>
      </c>
      <c r="R44" s="28">
        <v>0</v>
      </c>
      <c r="S44" s="281"/>
    </row>
    <row r="45" spans="1:19" ht="12.75">
      <c r="A45" s="28">
        <v>643</v>
      </c>
      <c r="B45" s="29" t="s">
        <v>57</v>
      </c>
      <c r="C45" s="28">
        <v>1500</v>
      </c>
      <c r="D45" s="382">
        <v>101</v>
      </c>
      <c r="E45" s="144">
        <v>101</v>
      </c>
      <c r="F45" s="193">
        <f t="shared" si="4"/>
        <v>101</v>
      </c>
      <c r="G45" s="193">
        <v>101</v>
      </c>
      <c r="H45" s="193">
        <v>101</v>
      </c>
      <c r="I45" s="360">
        <f t="shared" si="2"/>
        <v>643</v>
      </c>
      <c r="J45" s="304">
        <v>388.2</v>
      </c>
      <c r="K45" s="304">
        <v>388.2</v>
      </c>
      <c r="L45" s="304">
        <v>101</v>
      </c>
      <c r="M45" s="304">
        <v>388.2</v>
      </c>
      <c r="N45" s="390">
        <f t="shared" si="1"/>
        <v>388.2</v>
      </c>
      <c r="O45" s="192">
        <f t="shared" si="0"/>
        <v>1989.2</v>
      </c>
      <c r="P45" s="30">
        <v>0</v>
      </c>
      <c r="Q45" s="28">
        <v>0</v>
      </c>
      <c r="R45" s="28">
        <v>0</v>
      </c>
      <c r="S45" s="281"/>
    </row>
    <row r="46" spans="1:19" ht="12.75">
      <c r="A46" s="28">
        <v>644</v>
      </c>
      <c r="B46" s="29" t="s">
        <v>58</v>
      </c>
      <c r="C46" s="28">
        <v>2490</v>
      </c>
      <c r="D46" s="382">
        <v>0</v>
      </c>
      <c r="E46" s="144">
        <v>0</v>
      </c>
      <c r="F46" s="193">
        <f t="shared" si="4"/>
        <v>0</v>
      </c>
      <c r="G46" s="193">
        <v>0</v>
      </c>
      <c r="H46" s="193">
        <v>0</v>
      </c>
      <c r="I46" s="360">
        <f t="shared" si="2"/>
        <v>644</v>
      </c>
      <c r="J46" s="304">
        <v>0</v>
      </c>
      <c r="K46" s="304">
        <v>0</v>
      </c>
      <c r="L46" s="304">
        <v>0</v>
      </c>
      <c r="M46" s="304">
        <v>0</v>
      </c>
      <c r="N46" s="390">
        <f t="shared" si="1"/>
        <v>0</v>
      </c>
      <c r="O46" s="192">
        <f t="shared" si="0"/>
        <v>2490</v>
      </c>
      <c r="P46" s="30">
        <v>0</v>
      </c>
      <c r="Q46" s="28">
        <v>0</v>
      </c>
      <c r="R46" s="28">
        <v>0</v>
      </c>
      <c r="S46" s="281"/>
    </row>
    <row r="47" spans="1:19" ht="12.75">
      <c r="A47" s="28">
        <v>645</v>
      </c>
      <c r="B47" s="29" t="s">
        <v>59</v>
      </c>
      <c r="C47" s="28">
        <v>2329</v>
      </c>
      <c r="D47" s="382">
        <v>0</v>
      </c>
      <c r="E47" s="144">
        <v>0</v>
      </c>
      <c r="F47" s="193">
        <f t="shared" si="4"/>
        <v>0</v>
      </c>
      <c r="G47" s="193">
        <v>0</v>
      </c>
      <c r="H47" s="193">
        <v>0</v>
      </c>
      <c r="I47" s="360">
        <f t="shared" si="2"/>
        <v>645</v>
      </c>
      <c r="J47" s="304">
        <v>0</v>
      </c>
      <c r="K47" s="304">
        <v>0</v>
      </c>
      <c r="L47" s="304">
        <v>0</v>
      </c>
      <c r="M47" s="304">
        <v>0</v>
      </c>
      <c r="N47" s="390">
        <f t="shared" si="1"/>
        <v>0</v>
      </c>
      <c r="O47" s="192">
        <f t="shared" si="0"/>
        <v>2329</v>
      </c>
      <c r="P47" s="30">
        <v>0</v>
      </c>
      <c r="Q47" s="28">
        <v>0</v>
      </c>
      <c r="R47" s="28">
        <v>0</v>
      </c>
      <c r="S47" s="281"/>
    </row>
    <row r="48" spans="1:19" ht="12.75">
      <c r="A48" s="28">
        <v>646</v>
      </c>
      <c r="B48" s="29" t="s">
        <v>60</v>
      </c>
      <c r="C48" s="28">
        <v>906</v>
      </c>
      <c r="D48" s="382">
        <v>170</v>
      </c>
      <c r="E48" s="366">
        <v>216</v>
      </c>
      <c r="F48" s="193">
        <v>261</v>
      </c>
      <c r="G48" s="304">
        <v>327</v>
      </c>
      <c r="H48" s="304">
        <v>350</v>
      </c>
      <c r="I48" s="360">
        <f t="shared" si="2"/>
        <v>646</v>
      </c>
      <c r="J48" s="304">
        <v>0</v>
      </c>
      <c r="K48" s="304">
        <v>0</v>
      </c>
      <c r="L48" s="304">
        <v>414.7</v>
      </c>
      <c r="M48" s="304">
        <v>0</v>
      </c>
      <c r="N48" s="390">
        <f t="shared" si="1"/>
        <v>0</v>
      </c>
      <c r="O48" s="192">
        <f t="shared" si="0"/>
        <v>1233</v>
      </c>
      <c r="P48" s="30">
        <v>0</v>
      </c>
      <c r="Q48" s="28">
        <v>0</v>
      </c>
      <c r="R48" s="28">
        <v>0</v>
      </c>
      <c r="S48" s="281"/>
    </row>
    <row r="49" spans="1:19" ht="12.75">
      <c r="A49" s="28">
        <v>647</v>
      </c>
      <c r="B49" s="29" t="s">
        <v>61</v>
      </c>
      <c r="C49" s="28">
        <v>1830</v>
      </c>
      <c r="D49" s="382">
        <v>58</v>
      </c>
      <c r="E49" s="144">
        <v>58</v>
      </c>
      <c r="F49" s="193">
        <f>IF(C49&lt;972,E49+44,E49)</f>
        <v>58</v>
      </c>
      <c r="G49" s="193">
        <v>58</v>
      </c>
      <c r="H49" s="193">
        <v>58</v>
      </c>
      <c r="I49" s="360">
        <f t="shared" si="2"/>
        <v>647</v>
      </c>
      <c r="J49" s="304">
        <v>0</v>
      </c>
      <c r="K49" s="304">
        <v>0</v>
      </c>
      <c r="L49" s="304">
        <v>58</v>
      </c>
      <c r="M49" s="304">
        <v>0</v>
      </c>
      <c r="N49" s="390">
        <f t="shared" si="1"/>
        <v>0</v>
      </c>
      <c r="O49" s="192">
        <f t="shared" si="0"/>
        <v>1888</v>
      </c>
      <c r="P49" s="30">
        <v>0</v>
      </c>
      <c r="Q49" s="28">
        <v>0</v>
      </c>
      <c r="R49" s="28">
        <v>0</v>
      </c>
      <c r="S49" s="281"/>
    </row>
    <row r="50" spans="1:19" ht="12.75">
      <c r="A50" s="28">
        <v>648</v>
      </c>
      <c r="B50" s="29" t="s">
        <v>62</v>
      </c>
      <c r="C50" s="28">
        <v>1740</v>
      </c>
      <c r="D50" s="382">
        <v>70</v>
      </c>
      <c r="E50" s="144">
        <v>70</v>
      </c>
      <c r="F50" s="193">
        <f>IF(C50&lt;972,E50+44,E50)</f>
        <v>70</v>
      </c>
      <c r="G50" s="193">
        <v>70</v>
      </c>
      <c r="H50" s="193">
        <v>70</v>
      </c>
      <c r="I50" s="360">
        <f t="shared" si="2"/>
        <v>648</v>
      </c>
      <c r="J50" s="304">
        <v>517.6</v>
      </c>
      <c r="K50" s="304">
        <v>517.6</v>
      </c>
      <c r="L50" s="304">
        <v>70</v>
      </c>
      <c r="M50" s="304">
        <v>517.6</v>
      </c>
      <c r="N50" s="390">
        <f t="shared" si="1"/>
        <v>517.6</v>
      </c>
      <c r="O50" s="192">
        <f t="shared" si="0"/>
        <v>2327.6</v>
      </c>
      <c r="P50" s="30">
        <v>0</v>
      </c>
      <c r="Q50" s="28">
        <v>0</v>
      </c>
      <c r="R50" s="28">
        <v>0</v>
      </c>
      <c r="S50" s="281"/>
    </row>
    <row r="51" spans="1:19" ht="12.75">
      <c r="A51" s="28">
        <v>649</v>
      </c>
      <c r="B51" s="29" t="s">
        <v>63</v>
      </c>
      <c r="C51" s="28">
        <v>971</v>
      </c>
      <c r="D51" s="382">
        <v>170</v>
      </c>
      <c r="E51" s="366">
        <v>216</v>
      </c>
      <c r="F51" s="193">
        <v>261</v>
      </c>
      <c r="G51" s="304">
        <v>327</v>
      </c>
      <c r="H51" s="304">
        <v>350</v>
      </c>
      <c r="I51" s="360">
        <f t="shared" si="2"/>
        <v>649</v>
      </c>
      <c r="J51" s="304">
        <v>0</v>
      </c>
      <c r="K51" s="304">
        <v>0</v>
      </c>
      <c r="L51" s="304">
        <v>414.7</v>
      </c>
      <c r="M51" s="304">
        <v>0</v>
      </c>
      <c r="N51" s="390">
        <f t="shared" si="1"/>
        <v>0</v>
      </c>
      <c r="O51" s="192">
        <f t="shared" si="0"/>
        <v>1298</v>
      </c>
      <c r="P51" s="30">
        <v>0</v>
      </c>
      <c r="Q51" s="28">
        <v>0</v>
      </c>
      <c r="R51" s="28">
        <v>0</v>
      </c>
      <c r="S51" s="281"/>
    </row>
    <row r="52" spans="1:19" ht="12.75">
      <c r="A52" s="28">
        <v>650</v>
      </c>
      <c r="B52" s="29" t="s">
        <v>64</v>
      </c>
      <c r="C52" s="28">
        <v>1740</v>
      </c>
      <c r="D52" s="382">
        <v>70</v>
      </c>
      <c r="E52" s="144">
        <v>70</v>
      </c>
      <c r="F52" s="193">
        <f>IF(C52&lt;972,E52+44,E52)</f>
        <v>70</v>
      </c>
      <c r="G52" s="193">
        <v>70</v>
      </c>
      <c r="H52" s="193">
        <v>70</v>
      </c>
      <c r="I52" s="360">
        <f t="shared" si="2"/>
        <v>650</v>
      </c>
      <c r="J52" s="304">
        <v>0</v>
      </c>
      <c r="K52" s="304">
        <v>0</v>
      </c>
      <c r="L52" s="304">
        <v>70</v>
      </c>
      <c r="M52" s="304">
        <v>0</v>
      </c>
      <c r="N52" s="390">
        <f t="shared" si="1"/>
        <v>0</v>
      </c>
      <c r="O52" s="192">
        <f t="shared" si="0"/>
        <v>1810</v>
      </c>
      <c r="P52" s="30">
        <v>0</v>
      </c>
      <c r="Q52" s="28">
        <v>750</v>
      </c>
      <c r="R52" s="28">
        <v>0</v>
      </c>
      <c r="S52" s="281"/>
    </row>
    <row r="53" spans="1:19" ht="12.75">
      <c r="A53" s="28">
        <v>651</v>
      </c>
      <c r="B53" s="29" t="s">
        <v>65</v>
      </c>
      <c r="C53" s="28">
        <v>971</v>
      </c>
      <c r="D53" s="382">
        <v>170</v>
      </c>
      <c r="E53" s="366">
        <v>216</v>
      </c>
      <c r="F53" s="193">
        <v>261</v>
      </c>
      <c r="G53" s="304">
        <v>327</v>
      </c>
      <c r="H53" s="304">
        <v>350</v>
      </c>
      <c r="I53" s="360">
        <f t="shared" si="2"/>
        <v>651</v>
      </c>
      <c r="J53" s="304">
        <v>0</v>
      </c>
      <c r="K53" s="304">
        <v>0</v>
      </c>
      <c r="L53" s="304">
        <v>414.7</v>
      </c>
      <c r="M53" s="304">
        <v>0</v>
      </c>
      <c r="N53" s="390">
        <f t="shared" si="1"/>
        <v>0</v>
      </c>
      <c r="O53" s="192">
        <f t="shared" si="0"/>
        <v>1298</v>
      </c>
      <c r="P53" s="30">
        <v>0</v>
      </c>
      <c r="Q53" s="28">
        <v>0</v>
      </c>
      <c r="R53" s="28">
        <v>0</v>
      </c>
      <c r="S53" s="281"/>
    </row>
    <row r="54" spans="1:19" ht="12.75">
      <c r="A54" s="28">
        <v>652</v>
      </c>
      <c r="B54" s="29" t="s">
        <v>66</v>
      </c>
      <c r="C54" s="28">
        <v>1250</v>
      </c>
      <c r="D54" s="382">
        <v>134</v>
      </c>
      <c r="E54" s="144">
        <v>134</v>
      </c>
      <c r="F54" s="193">
        <f aca="true" t="shared" si="5" ref="F54:F64">IF(C54&lt;972,E54+44,E54)</f>
        <v>134</v>
      </c>
      <c r="G54" s="193">
        <v>134</v>
      </c>
      <c r="H54" s="193">
        <v>134</v>
      </c>
      <c r="I54" s="360">
        <f t="shared" si="2"/>
        <v>652</v>
      </c>
      <c r="J54" s="304">
        <v>0</v>
      </c>
      <c r="K54" s="304">
        <v>0</v>
      </c>
      <c r="L54" s="304">
        <v>134</v>
      </c>
      <c r="M54" s="304">
        <v>0</v>
      </c>
      <c r="N54" s="390">
        <f t="shared" si="1"/>
        <v>0</v>
      </c>
      <c r="O54" s="192">
        <f t="shared" si="0"/>
        <v>1384</v>
      </c>
      <c r="P54" s="30">
        <v>0</v>
      </c>
      <c r="Q54" s="28">
        <v>0</v>
      </c>
      <c r="R54" s="28">
        <v>0</v>
      </c>
      <c r="S54" s="281"/>
    </row>
    <row r="55" spans="1:19" ht="12.75">
      <c r="A55" s="28">
        <v>653</v>
      </c>
      <c r="B55" s="29" t="s">
        <v>67</v>
      </c>
      <c r="C55" s="28">
        <v>1400</v>
      </c>
      <c r="D55" s="382">
        <v>114</v>
      </c>
      <c r="E55" s="144">
        <v>114</v>
      </c>
      <c r="F55" s="193">
        <f t="shared" si="5"/>
        <v>114</v>
      </c>
      <c r="G55" s="193">
        <v>114</v>
      </c>
      <c r="H55" s="193">
        <v>114</v>
      </c>
      <c r="I55" s="360">
        <f t="shared" si="2"/>
        <v>653</v>
      </c>
      <c r="J55" s="304">
        <v>0</v>
      </c>
      <c r="K55" s="304">
        <v>0</v>
      </c>
      <c r="L55" s="304">
        <v>114</v>
      </c>
      <c r="M55" s="304">
        <v>388</v>
      </c>
      <c r="N55" s="390">
        <f t="shared" si="1"/>
        <v>388</v>
      </c>
      <c r="O55" s="192">
        <f t="shared" si="0"/>
        <v>1902</v>
      </c>
      <c r="P55" s="30">
        <v>0</v>
      </c>
      <c r="Q55" s="28">
        <v>100</v>
      </c>
      <c r="R55" s="28">
        <v>0</v>
      </c>
      <c r="S55" s="281"/>
    </row>
    <row r="56" spans="1:19" ht="12.75">
      <c r="A56" s="28">
        <v>654</v>
      </c>
      <c r="B56" s="29" t="s">
        <v>68</v>
      </c>
      <c r="C56" s="28">
        <v>1690</v>
      </c>
      <c r="D56" s="382">
        <v>76</v>
      </c>
      <c r="E56" s="144">
        <v>76</v>
      </c>
      <c r="F56" s="193">
        <f t="shared" si="5"/>
        <v>76</v>
      </c>
      <c r="G56" s="193">
        <v>76</v>
      </c>
      <c r="H56" s="193">
        <v>76</v>
      </c>
      <c r="I56" s="360">
        <f t="shared" si="2"/>
        <v>654</v>
      </c>
      <c r="J56" s="304">
        <v>0</v>
      </c>
      <c r="K56" s="304">
        <v>0</v>
      </c>
      <c r="L56" s="304">
        <v>76</v>
      </c>
      <c r="M56" s="304">
        <v>453</v>
      </c>
      <c r="N56" s="390">
        <f t="shared" si="1"/>
        <v>453</v>
      </c>
      <c r="O56" s="192">
        <f t="shared" si="0"/>
        <v>2219</v>
      </c>
      <c r="P56" s="30">
        <v>0</v>
      </c>
      <c r="Q56" s="28">
        <v>300</v>
      </c>
      <c r="R56" s="28">
        <v>0</v>
      </c>
      <c r="S56" s="281"/>
    </row>
    <row r="57" spans="1:19" ht="12.75">
      <c r="A57" s="28">
        <v>655</v>
      </c>
      <c r="B57" s="29" t="s">
        <v>69</v>
      </c>
      <c r="C57" s="28">
        <v>1550</v>
      </c>
      <c r="D57" s="382">
        <v>94</v>
      </c>
      <c r="E57" s="144">
        <v>94</v>
      </c>
      <c r="F57" s="193">
        <f t="shared" si="5"/>
        <v>94</v>
      </c>
      <c r="G57" s="193">
        <v>94</v>
      </c>
      <c r="H57" s="193">
        <v>94</v>
      </c>
      <c r="I57" s="360">
        <f t="shared" si="2"/>
        <v>655</v>
      </c>
      <c r="J57" s="304">
        <v>0</v>
      </c>
      <c r="K57" s="304">
        <v>0</v>
      </c>
      <c r="L57" s="304">
        <v>94</v>
      </c>
      <c r="M57" s="304">
        <v>388</v>
      </c>
      <c r="N57" s="390">
        <f t="shared" si="1"/>
        <v>388</v>
      </c>
      <c r="O57" s="192">
        <f t="shared" si="0"/>
        <v>2032</v>
      </c>
      <c r="P57" s="30">
        <v>0</v>
      </c>
      <c r="Q57" s="28">
        <v>200</v>
      </c>
      <c r="R57" s="28">
        <v>0</v>
      </c>
      <c r="S57" s="281"/>
    </row>
    <row r="58" spans="1:19" ht="12.75">
      <c r="A58" s="28">
        <v>657</v>
      </c>
      <c r="B58" s="29" t="s">
        <v>70</v>
      </c>
      <c r="C58" s="28">
        <v>1340</v>
      </c>
      <c r="D58" s="382">
        <v>122</v>
      </c>
      <c r="E58" s="144">
        <v>122</v>
      </c>
      <c r="F58" s="193">
        <f t="shared" si="5"/>
        <v>122</v>
      </c>
      <c r="G58" s="193">
        <v>122</v>
      </c>
      <c r="H58" s="193">
        <v>122</v>
      </c>
      <c r="I58" s="360">
        <f t="shared" si="2"/>
        <v>657</v>
      </c>
      <c r="J58" s="304">
        <v>0</v>
      </c>
      <c r="K58" s="304">
        <v>0</v>
      </c>
      <c r="L58" s="304">
        <v>122</v>
      </c>
      <c r="M58" s="304">
        <v>0</v>
      </c>
      <c r="N58" s="390">
        <f t="shared" si="1"/>
        <v>0</v>
      </c>
      <c r="O58" s="192">
        <f t="shared" si="0"/>
        <v>1462</v>
      </c>
      <c r="P58" s="30">
        <v>0</v>
      </c>
      <c r="Q58" s="28">
        <v>0</v>
      </c>
      <c r="R58" s="28">
        <v>0</v>
      </c>
      <c r="S58" s="281"/>
    </row>
    <row r="59" spans="1:19" ht="12.75">
      <c r="A59" s="28">
        <v>658</v>
      </c>
      <c r="B59" s="29" t="s">
        <v>71</v>
      </c>
      <c r="C59" s="28">
        <v>1300</v>
      </c>
      <c r="D59" s="382">
        <v>127</v>
      </c>
      <c r="E59" s="144">
        <v>127</v>
      </c>
      <c r="F59" s="193">
        <f t="shared" si="5"/>
        <v>127</v>
      </c>
      <c r="G59" s="193">
        <v>127</v>
      </c>
      <c r="H59" s="193">
        <v>127</v>
      </c>
      <c r="I59" s="360">
        <f t="shared" si="2"/>
        <v>658</v>
      </c>
      <c r="J59" s="304">
        <v>0</v>
      </c>
      <c r="K59" s="304">
        <v>0</v>
      </c>
      <c r="L59" s="304">
        <v>127</v>
      </c>
      <c r="M59" s="304">
        <v>0</v>
      </c>
      <c r="N59" s="390">
        <f t="shared" si="1"/>
        <v>0</v>
      </c>
      <c r="O59" s="192">
        <f t="shared" si="0"/>
        <v>1427</v>
      </c>
      <c r="P59" s="30">
        <v>0</v>
      </c>
      <c r="Q59" s="28">
        <v>0</v>
      </c>
      <c r="R59" s="28">
        <v>0</v>
      </c>
      <c r="S59" s="281"/>
    </row>
    <row r="60" spans="1:19" ht="12.75">
      <c r="A60" s="28">
        <v>659</v>
      </c>
      <c r="B60" s="29" t="s">
        <v>72</v>
      </c>
      <c r="C60" s="28">
        <v>1340</v>
      </c>
      <c r="D60" s="382">
        <v>122</v>
      </c>
      <c r="E60" s="144">
        <v>122</v>
      </c>
      <c r="F60" s="193">
        <f t="shared" si="5"/>
        <v>122</v>
      </c>
      <c r="G60" s="193">
        <v>122</v>
      </c>
      <c r="H60" s="193">
        <v>122</v>
      </c>
      <c r="I60" s="360">
        <f t="shared" si="2"/>
        <v>659</v>
      </c>
      <c r="J60" s="304">
        <v>0</v>
      </c>
      <c r="K60" s="304">
        <v>0</v>
      </c>
      <c r="L60" s="304">
        <v>122</v>
      </c>
      <c r="M60" s="304">
        <v>0</v>
      </c>
      <c r="N60" s="390">
        <f t="shared" si="1"/>
        <v>0</v>
      </c>
      <c r="O60" s="192">
        <f t="shared" si="0"/>
        <v>1462</v>
      </c>
      <c r="P60" s="30">
        <v>0</v>
      </c>
      <c r="Q60" s="28">
        <v>0</v>
      </c>
      <c r="R60" s="28">
        <v>0</v>
      </c>
      <c r="S60" s="281"/>
    </row>
    <row r="61" spans="1:19" ht="12.75">
      <c r="A61" s="28">
        <v>660</v>
      </c>
      <c r="B61" s="29" t="s">
        <v>73</v>
      </c>
      <c r="C61" s="28">
        <v>1300</v>
      </c>
      <c r="D61" s="382">
        <v>127</v>
      </c>
      <c r="E61" s="144">
        <v>127</v>
      </c>
      <c r="F61" s="193">
        <f t="shared" si="5"/>
        <v>127</v>
      </c>
      <c r="G61" s="193">
        <v>127</v>
      </c>
      <c r="H61" s="193">
        <v>127</v>
      </c>
      <c r="I61" s="360">
        <f t="shared" si="2"/>
        <v>660</v>
      </c>
      <c r="J61" s="304">
        <v>0</v>
      </c>
      <c r="K61" s="304">
        <v>0</v>
      </c>
      <c r="L61" s="304">
        <v>127</v>
      </c>
      <c r="M61" s="304">
        <v>0</v>
      </c>
      <c r="N61" s="390">
        <f t="shared" si="1"/>
        <v>0</v>
      </c>
      <c r="O61" s="192">
        <f t="shared" si="0"/>
        <v>1427</v>
      </c>
      <c r="P61" s="30">
        <v>0</v>
      </c>
      <c r="Q61" s="28">
        <v>0</v>
      </c>
      <c r="R61" s="28">
        <v>0</v>
      </c>
      <c r="S61" s="281"/>
    </row>
    <row r="62" spans="1:19" ht="12.75">
      <c r="A62" s="28">
        <v>661</v>
      </c>
      <c r="B62" s="29" t="s">
        <v>74</v>
      </c>
      <c r="C62" s="28">
        <v>1300</v>
      </c>
      <c r="D62" s="382">
        <v>127</v>
      </c>
      <c r="E62" s="144">
        <v>127</v>
      </c>
      <c r="F62" s="193">
        <f t="shared" si="5"/>
        <v>127</v>
      </c>
      <c r="G62" s="193">
        <v>127</v>
      </c>
      <c r="H62" s="193">
        <v>127</v>
      </c>
      <c r="I62" s="360">
        <f t="shared" si="2"/>
        <v>661</v>
      </c>
      <c r="J62" s="304">
        <v>0</v>
      </c>
      <c r="K62" s="304">
        <v>0</v>
      </c>
      <c r="L62" s="304">
        <v>127</v>
      </c>
      <c r="M62" s="304">
        <v>0</v>
      </c>
      <c r="N62" s="390">
        <f t="shared" si="1"/>
        <v>0</v>
      </c>
      <c r="O62" s="192">
        <f t="shared" si="0"/>
        <v>1427</v>
      </c>
      <c r="P62" s="30">
        <v>0</v>
      </c>
      <c r="Q62" s="28">
        <v>0</v>
      </c>
      <c r="R62" s="28">
        <v>0</v>
      </c>
      <c r="S62" s="281"/>
    </row>
    <row r="63" spans="1:19" ht="12.75">
      <c r="A63" s="28">
        <v>662</v>
      </c>
      <c r="B63" s="29" t="s">
        <v>75</v>
      </c>
      <c r="C63" s="28">
        <v>1690</v>
      </c>
      <c r="D63" s="382">
        <v>76</v>
      </c>
      <c r="E63" s="144">
        <v>76</v>
      </c>
      <c r="F63" s="193">
        <f t="shared" si="5"/>
        <v>76</v>
      </c>
      <c r="G63" s="193">
        <v>76</v>
      </c>
      <c r="H63" s="193">
        <v>76</v>
      </c>
      <c r="I63" s="360">
        <f t="shared" si="2"/>
        <v>662</v>
      </c>
      <c r="J63" s="304">
        <v>0</v>
      </c>
      <c r="K63" s="304">
        <v>0</v>
      </c>
      <c r="L63" s="304">
        <v>76</v>
      </c>
      <c r="M63" s="304">
        <v>0</v>
      </c>
      <c r="N63" s="390">
        <f t="shared" si="1"/>
        <v>0</v>
      </c>
      <c r="O63" s="192">
        <f t="shared" si="0"/>
        <v>1766</v>
      </c>
      <c r="P63" s="30">
        <v>0</v>
      </c>
      <c r="Q63" s="28">
        <v>708</v>
      </c>
      <c r="R63" s="28">
        <v>0</v>
      </c>
      <c r="S63" s="281"/>
    </row>
    <row r="64" spans="1:19" ht="12.75">
      <c r="A64" s="28">
        <v>663</v>
      </c>
      <c r="B64" s="29" t="s">
        <v>76</v>
      </c>
      <c r="C64" s="28">
        <v>1500</v>
      </c>
      <c r="D64" s="382">
        <v>101</v>
      </c>
      <c r="E64" s="144">
        <v>101</v>
      </c>
      <c r="F64" s="193">
        <f t="shared" si="5"/>
        <v>101</v>
      </c>
      <c r="G64" s="193">
        <v>101</v>
      </c>
      <c r="H64" s="193">
        <v>101</v>
      </c>
      <c r="I64" s="360">
        <f t="shared" si="2"/>
        <v>663</v>
      </c>
      <c r="J64" s="304">
        <v>0</v>
      </c>
      <c r="K64" s="304">
        <v>0</v>
      </c>
      <c r="L64" s="304">
        <v>101</v>
      </c>
      <c r="M64" s="304">
        <v>388</v>
      </c>
      <c r="N64" s="390">
        <f t="shared" si="1"/>
        <v>388</v>
      </c>
      <c r="O64" s="192">
        <f t="shared" si="0"/>
        <v>1989</v>
      </c>
      <c r="P64" s="30">
        <v>0</v>
      </c>
      <c r="Q64" s="28">
        <v>0</v>
      </c>
      <c r="R64" s="28">
        <v>0</v>
      </c>
      <c r="S64" s="281"/>
    </row>
    <row r="65" spans="1:19" ht="12.75">
      <c r="A65" s="28">
        <v>664</v>
      </c>
      <c r="B65" s="29" t="s">
        <v>77</v>
      </c>
      <c r="C65" s="28">
        <v>971</v>
      </c>
      <c r="D65" s="382">
        <v>170</v>
      </c>
      <c r="E65" s="366">
        <v>216</v>
      </c>
      <c r="F65" s="193">
        <v>261</v>
      </c>
      <c r="G65" s="304">
        <v>327</v>
      </c>
      <c r="H65" s="304">
        <v>350</v>
      </c>
      <c r="I65" s="360">
        <f t="shared" si="2"/>
        <v>664</v>
      </c>
      <c r="J65" s="304">
        <v>0</v>
      </c>
      <c r="K65" s="304">
        <v>0</v>
      </c>
      <c r="L65" s="304">
        <v>414.7</v>
      </c>
      <c r="M65" s="304">
        <v>0</v>
      </c>
      <c r="N65" s="390">
        <f t="shared" si="1"/>
        <v>0</v>
      </c>
      <c r="O65" s="192">
        <f t="shared" si="0"/>
        <v>1298</v>
      </c>
      <c r="P65" s="30">
        <v>0</v>
      </c>
      <c r="Q65" s="28">
        <v>620</v>
      </c>
      <c r="R65" s="28">
        <v>0</v>
      </c>
      <c r="S65" s="281"/>
    </row>
    <row r="66" spans="1:19" ht="12.75">
      <c r="A66" s="28">
        <v>667</v>
      </c>
      <c r="B66" s="29" t="s">
        <v>78</v>
      </c>
      <c r="C66" s="28">
        <v>2000</v>
      </c>
      <c r="D66" s="382">
        <v>36</v>
      </c>
      <c r="E66" s="144">
        <v>36</v>
      </c>
      <c r="F66" s="193">
        <f aca="true" t="shared" si="6" ref="F66:F92">IF(C66&lt;972,E66+44,E66)</f>
        <v>36</v>
      </c>
      <c r="G66" s="193">
        <v>36</v>
      </c>
      <c r="H66" s="193">
        <v>36</v>
      </c>
      <c r="I66" s="360">
        <f t="shared" si="2"/>
        <v>667</v>
      </c>
      <c r="J66" s="304">
        <v>647</v>
      </c>
      <c r="K66" s="304">
        <v>647</v>
      </c>
      <c r="L66" s="304">
        <v>36</v>
      </c>
      <c r="M66" s="304">
        <v>647</v>
      </c>
      <c r="N66" s="390">
        <f t="shared" si="1"/>
        <v>647</v>
      </c>
      <c r="O66" s="192">
        <f t="shared" si="0"/>
        <v>2683</v>
      </c>
      <c r="P66" s="30">
        <v>0</v>
      </c>
      <c r="Q66" s="28">
        <v>830</v>
      </c>
      <c r="R66" s="28">
        <v>0</v>
      </c>
      <c r="S66" s="281"/>
    </row>
    <row r="67" spans="1:19" ht="12.75">
      <c r="A67" s="28">
        <v>668</v>
      </c>
      <c r="B67" s="29" t="s">
        <v>79</v>
      </c>
      <c r="C67" s="28">
        <v>1840</v>
      </c>
      <c r="D67" s="382">
        <v>57</v>
      </c>
      <c r="E67" s="144">
        <v>57</v>
      </c>
      <c r="F67" s="193">
        <f t="shared" si="6"/>
        <v>57</v>
      </c>
      <c r="G67" s="193">
        <v>57</v>
      </c>
      <c r="H67" s="193">
        <v>57</v>
      </c>
      <c r="I67" s="360">
        <f t="shared" si="2"/>
        <v>668</v>
      </c>
      <c r="J67" s="304">
        <v>582.3</v>
      </c>
      <c r="K67" s="304">
        <v>582.3</v>
      </c>
      <c r="L67" s="304">
        <v>57</v>
      </c>
      <c r="M67" s="304">
        <v>582.3</v>
      </c>
      <c r="N67" s="390">
        <f t="shared" si="1"/>
        <v>582.3</v>
      </c>
      <c r="O67" s="192">
        <f aca="true" t="shared" si="7" ref="O67:O130">C67+G67+M67</f>
        <v>2479.3</v>
      </c>
      <c r="P67" s="30">
        <v>0</v>
      </c>
      <c r="Q67" s="28">
        <v>830</v>
      </c>
      <c r="R67" s="28">
        <v>0</v>
      </c>
      <c r="S67" s="281"/>
    </row>
    <row r="68" spans="1:19" ht="12.75">
      <c r="A68" s="28">
        <v>669</v>
      </c>
      <c r="B68" s="29" t="s">
        <v>80</v>
      </c>
      <c r="C68" s="28">
        <v>1680</v>
      </c>
      <c r="D68" s="382">
        <v>77</v>
      </c>
      <c r="E68" s="144">
        <v>77</v>
      </c>
      <c r="F68" s="193">
        <f t="shared" si="6"/>
        <v>77</v>
      </c>
      <c r="G68" s="193">
        <v>77</v>
      </c>
      <c r="H68" s="193">
        <v>77</v>
      </c>
      <c r="I68" s="360">
        <f t="shared" si="2"/>
        <v>669</v>
      </c>
      <c r="J68" s="304">
        <v>452.9</v>
      </c>
      <c r="K68" s="304">
        <v>452.9</v>
      </c>
      <c r="L68" s="304">
        <v>77</v>
      </c>
      <c r="M68" s="304">
        <v>452.9</v>
      </c>
      <c r="N68" s="390">
        <f aca="true" t="shared" si="8" ref="N68:N97">M68</f>
        <v>452.9</v>
      </c>
      <c r="O68" s="192">
        <f t="shared" si="7"/>
        <v>2209.9</v>
      </c>
      <c r="P68" s="30">
        <v>0</v>
      </c>
      <c r="Q68" s="28">
        <v>830</v>
      </c>
      <c r="R68" s="28">
        <v>0</v>
      </c>
      <c r="S68" s="281"/>
    </row>
    <row r="69" spans="1:19" ht="12.75">
      <c r="A69" s="28">
        <v>670</v>
      </c>
      <c r="B69" s="29" t="s">
        <v>81</v>
      </c>
      <c r="C69" s="28">
        <v>1740</v>
      </c>
      <c r="D69" s="382">
        <v>70</v>
      </c>
      <c r="E69" s="144">
        <v>70</v>
      </c>
      <c r="F69" s="193">
        <f t="shared" si="6"/>
        <v>70</v>
      </c>
      <c r="G69" s="193">
        <v>70</v>
      </c>
      <c r="H69" s="193">
        <v>70</v>
      </c>
      <c r="I69" s="360">
        <f t="shared" si="2"/>
        <v>670</v>
      </c>
      <c r="J69" s="304">
        <v>517.6</v>
      </c>
      <c r="K69" s="304">
        <v>517.6</v>
      </c>
      <c r="L69" s="304">
        <v>70</v>
      </c>
      <c r="M69" s="304">
        <v>517.6</v>
      </c>
      <c r="N69" s="390">
        <f t="shared" si="8"/>
        <v>517.6</v>
      </c>
      <c r="O69" s="192">
        <f t="shared" si="7"/>
        <v>2327.6</v>
      </c>
      <c r="P69" s="30">
        <v>0</v>
      </c>
      <c r="Q69" s="28">
        <v>750</v>
      </c>
      <c r="R69" s="28">
        <v>0</v>
      </c>
      <c r="S69" s="281"/>
    </row>
    <row r="70" spans="1:19" ht="12.75">
      <c r="A70" s="28">
        <v>671</v>
      </c>
      <c r="B70" s="29" t="s">
        <v>82</v>
      </c>
      <c r="C70" s="28">
        <v>1610</v>
      </c>
      <c r="D70" s="382">
        <v>87</v>
      </c>
      <c r="E70" s="144">
        <v>87</v>
      </c>
      <c r="F70" s="193">
        <f t="shared" si="6"/>
        <v>87</v>
      </c>
      <c r="G70" s="193">
        <v>87</v>
      </c>
      <c r="H70" s="193">
        <v>87</v>
      </c>
      <c r="I70" s="360">
        <f aca="true" t="shared" si="9" ref="I70:I133">A70</f>
        <v>671</v>
      </c>
      <c r="J70" s="304">
        <v>0</v>
      </c>
      <c r="K70" s="304">
        <v>0</v>
      </c>
      <c r="L70" s="304">
        <v>87</v>
      </c>
      <c r="M70" s="304">
        <v>0</v>
      </c>
      <c r="N70" s="390">
        <f t="shared" si="8"/>
        <v>0</v>
      </c>
      <c r="O70" s="192">
        <f t="shared" si="7"/>
        <v>1697</v>
      </c>
      <c r="P70" s="30">
        <v>0</v>
      </c>
      <c r="Q70" s="28">
        <v>750</v>
      </c>
      <c r="R70" s="28">
        <v>0</v>
      </c>
      <c r="S70" s="281"/>
    </row>
    <row r="71" spans="1:19" ht="12.75">
      <c r="A71" s="28">
        <v>672</v>
      </c>
      <c r="B71" s="29" t="s">
        <v>83</v>
      </c>
      <c r="C71" s="28">
        <v>2000</v>
      </c>
      <c r="D71" s="382">
        <v>36</v>
      </c>
      <c r="E71" s="144">
        <v>36</v>
      </c>
      <c r="F71" s="193">
        <f t="shared" si="6"/>
        <v>36</v>
      </c>
      <c r="G71" s="193">
        <v>36</v>
      </c>
      <c r="H71" s="193">
        <v>36</v>
      </c>
      <c r="I71" s="360">
        <f t="shared" si="9"/>
        <v>672</v>
      </c>
      <c r="J71" s="304">
        <v>647</v>
      </c>
      <c r="K71" s="304">
        <v>647</v>
      </c>
      <c r="L71" s="304">
        <v>36</v>
      </c>
      <c r="M71" s="304">
        <v>647</v>
      </c>
      <c r="N71" s="390">
        <f t="shared" si="8"/>
        <v>647</v>
      </c>
      <c r="O71" s="192">
        <f t="shared" si="7"/>
        <v>2683</v>
      </c>
      <c r="P71" s="30">
        <v>0</v>
      </c>
      <c r="Q71" s="28">
        <v>300</v>
      </c>
      <c r="R71" s="28">
        <v>0</v>
      </c>
      <c r="S71" s="281"/>
    </row>
    <row r="72" spans="1:19" ht="12.75">
      <c r="A72" s="28">
        <v>673</v>
      </c>
      <c r="B72" s="29" t="s">
        <v>84</v>
      </c>
      <c r="C72" s="28">
        <v>1840</v>
      </c>
      <c r="D72" s="382">
        <v>57</v>
      </c>
      <c r="E72" s="144">
        <v>57</v>
      </c>
      <c r="F72" s="193">
        <f t="shared" si="6"/>
        <v>57</v>
      </c>
      <c r="G72" s="193">
        <v>57</v>
      </c>
      <c r="H72" s="193">
        <v>57</v>
      </c>
      <c r="I72" s="360">
        <f t="shared" si="9"/>
        <v>673</v>
      </c>
      <c r="J72" s="304">
        <v>582.3</v>
      </c>
      <c r="K72" s="304">
        <v>582.3</v>
      </c>
      <c r="L72" s="304">
        <v>57</v>
      </c>
      <c r="M72" s="304">
        <v>582.3</v>
      </c>
      <c r="N72" s="390">
        <f t="shared" si="8"/>
        <v>582.3</v>
      </c>
      <c r="O72" s="192">
        <f t="shared" si="7"/>
        <v>2479.3</v>
      </c>
      <c r="P72" s="30">
        <v>0</v>
      </c>
      <c r="Q72" s="28">
        <v>300</v>
      </c>
      <c r="R72" s="28">
        <v>0</v>
      </c>
      <c r="S72" s="281"/>
    </row>
    <row r="73" spans="1:19" ht="12.75">
      <c r="A73" s="28">
        <v>674</v>
      </c>
      <c r="B73" s="29" t="s">
        <v>85</v>
      </c>
      <c r="C73" s="28">
        <v>1680</v>
      </c>
      <c r="D73" s="382">
        <v>77</v>
      </c>
      <c r="E73" s="144">
        <v>77</v>
      </c>
      <c r="F73" s="193">
        <f t="shared" si="6"/>
        <v>77</v>
      </c>
      <c r="G73" s="193">
        <v>77</v>
      </c>
      <c r="H73" s="193">
        <v>77</v>
      </c>
      <c r="I73" s="360">
        <f t="shared" si="9"/>
        <v>674</v>
      </c>
      <c r="J73" s="304">
        <v>452.9</v>
      </c>
      <c r="K73" s="304">
        <v>452.9</v>
      </c>
      <c r="L73" s="304">
        <v>77</v>
      </c>
      <c r="M73" s="304">
        <v>452.9</v>
      </c>
      <c r="N73" s="390">
        <f t="shared" si="8"/>
        <v>452.9</v>
      </c>
      <c r="O73" s="192">
        <f t="shared" si="7"/>
        <v>2209.9</v>
      </c>
      <c r="P73" s="30">
        <v>0</v>
      </c>
      <c r="Q73" s="28">
        <v>300</v>
      </c>
      <c r="R73" s="28">
        <v>0</v>
      </c>
      <c r="S73" s="281"/>
    </row>
    <row r="74" spans="1:19" ht="12.75">
      <c r="A74" s="28">
        <v>675</v>
      </c>
      <c r="B74" s="29" t="s">
        <v>466</v>
      </c>
      <c r="C74" s="28">
        <v>1740</v>
      </c>
      <c r="D74" s="382">
        <v>70</v>
      </c>
      <c r="E74" s="144">
        <v>70</v>
      </c>
      <c r="F74" s="193">
        <f t="shared" si="6"/>
        <v>70</v>
      </c>
      <c r="G74" s="193">
        <v>70</v>
      </c>
      <c r="H74" s="193">
        <v>70</v>
      </c>
      <c r="I74" s="360">
        <f t="shared" si="9"/>
        <v>675</v>
      </c>
      <c r="J74" s="304">
        <v>0</v>
      </c>
      <c r="K74" s="304">
        <v>0</v>
      </c>
      <c r="L74" s="304">
        <v>70</v>
      </c>
      <c r="M74" s="304">
        <v>517</v>
      </c>
      <c r="N74" s="390">
        <f t="shared" si="8"/>
        <v>517</v>
      </c>
      <c r="O74" s="192">
        <f t="shared" si="7"/>
        <v>2327</v>
      </c>
      <c r="P74" s="30">
        <v>0</v>
      </c>
      <c r="Q74" s="28">
        <v>725</v>
      </c>
      <c r="R74" s="28">
        <v>0</v>
      </c>
      <c r="S74" s="281"/>
    </row>
    <row r="75" spans="1:19" ht="12.75">
      <c r="A75" s="28">
        <v>676</v>
      </c>
      <c r="B75" s="29" t="s">
        <v>464</v>
      </c>
      <c r="C75" s="28">
        <v>1610</v>
      </c>
      <c r="D75" s="382">
        <v>87</v>
      </c>
      <c r="E75" s="144">
        <v>87</v>
      </c>
      <c r="F75" s="193">
        <f t="shared" si="6"/>
        <v>87</v>
      </c>
      <c r="G75" s="193">
        <v>87</v>
      </c>
      <c r="H75" s="193">
        <v>87</v>
      </c>
      <c r="I75" s="360">
        <f t="shared" si="9"/>
        <v>676</v>
      </c>
      <c r="J75" s="304">
        <v>0</v>
      </c>
      <c r="K75" s="304">
        <v>0</v>
      </c>
      <c r="L75" s="304">
        <v>87</v>
      </c>
      <c r="M75" s="304">
        <v>388</v>
      </c>
      <c r="N75" s="390">
        <f t="shared" si="8"/>
        <v>388</v>
      </c>
      <c r="O75" s="192">
        <f t="shared" si="7"/>
        <v>2085</v>
      </c>
      <c r="P75" s="30">
        <v>0</v>
      </c>
      <c r="Q75" s="28">
        <v>725</v>
      </c>
      <c r="R75" s="28">
        <v>0</v>
      </c>
      <c r="S75" s="281"/>
    </row>
    <row r="76" spans="1:19" ht="12.75">
      <c r="A76" s="28">
        <v>677</v>
      </c>
      <c r="B76" s="29" t="s">
        <v>465</v>
      </c>
      <c r="C76" s="28">
        <v>1500</v>
      </c>
      <c r="D76" s="382">
        <v>101</v>
      </c>
      <c r="E76" s="144">
        <v>101</v>
      </c>
      <c r="F76" s="193">
        <f t="shared" si="6"/>
        <v>101</v>
      </c>
      <c r="G76" s="193">
        <v>101</v>
      </c>
      <c r="H76" s="193">
        <v>101</v>
      </c>
      <c r="I76" s="360">
        <f t="shared" si="9"/>
        <v>677</v>
      </c>
      <c r="J76" s="304">
        <v>0</v>
      </c>
      <c r="K76" s="304">
        <v>0</v>
      </c>
      <c r="L76" s="304">
        <v>101</v>
      </c>
      <c r="M76" s="304">
        <v>388</v>
      </c>
      <c r="N76" s="390">
        <f t="shared" si="8"/>
        <v>388</v>
      </c>
      <c r="O76" s="192">
        <f t="shared" si="7"/>
        <v>1989</v>
      </c>
      <c r="P76" s="30">
        <v>0</v>
      </c>
      <c r="Q76" s="28">
        <v>725</v>
      </c>
      <c r="R76" s="28">
        <v>0</v>
      </c>
      <c r="S76" s="281"/>
    </row>
    <row r="77" spans="1:19" ht="12.75">
      <c r="A77" s="28">
        <v>678</v>
      </c>
      <c r="B77" s="29" t="s">
        <v>86</v>
      </c>
      <c r="C77" s="28">
        <v>1320</v>
      </c>
      <c r="D77" s="382">
        <v>124</v>
      </c>
      <c r="E77" s="144">
        <v>124</v>
      </c>
      <c r="F77" s="193">
        <f t="shared" si="6"/>
        <v>124</v>
      </c>
      <c r="G77" s="193">
        <v>124</v>
      </c>
      <c r="H77" s="193">
        <v>124</v>
      </c>
      <c r="I77" s="360">
        <f t="shared" si="9"/>
        <v>678</v>
      </c>
      <c r="J77" s="304">
        <v>0</v>
      </c>
      <c r="K77" s="304">
        <v>0</v>
      </c>
      <c r="L77" s="304">
        <v>124</v>
      </c>
      <c r="M77" s="304">
        <v>0</v>
      </c>
      <c r="N77" s="390">
        <f t="shared" si="8"/>
        <v>0</v>
      </c>
      <c r="O77" s="192">
        <f t="shared" si="7"/>
        <v>1444</v>
      </c>
      <c r="P77" s="30">
        <v>0</v>
      </c>
      <c r="Q77" s="28">
        <v>590</v>
      </c>
      <c r="R77" s="28">
        <v>0</v>
      </c>
      <c r="S77" s="281"/>
    </row>
    <row r="78" spans="1:19" ht="12.75">
      <c r="A78" s="28">
        <v>679</v>
      </c>
      <c r="B78" s="29" t="s">
        <v>87</v>
      </c>
      <c r="C78" s="28">
        <v>1690</v>
      </c>
      <c r="D78" s="382">
        <v>76</v>
      </c>
      <c r="E78" s="144">
        <v>76</v>
      </c>
      <c r="F78" s="193">
        <f t="shared" si="6"/>
        <v>76</v>
      </c>
      <c r="G78" s="193">
        <v>76</v>
      </c>
      <c r="H78" s="193">
        <v>76</v>
      </c>
      <c r="I78" s="360">
        <f t="shared" si="9"/>
        <v>679</v>
      </c>
      <c r="J78" s="304">
        <v>0</v>
      </c>
      <c r="K78" s="304">
        <v>0</v>
      </c>
      <c r="L78" s="304">
        <v>76</v>
      </c>
      <c r="M78" s="304">
        <v>0</v>
      </c>
      <c r="N78" s="390">
        <f t="shared" si="8"/>
        <v>0</v>
      </c>
      <c r="O78" s="192">
        <f t="shared" si="7"/>
        <v>1766</v>
      </c>
      <c r="P78" s="30">
        <v>0</v>
      </c>
      <c r="Q78" s="28">
        <v>708</v>
      </c>
      <c r="R78" s="28">
        <v>0</v>
      </c>
      <c r="S78" s="281"/>
    </row>
    <row r="79" spans="1:19" ht="12.75">
      <c r="A79" s="28">
        <v>680</v>
      </c>
      <c r="B79" s="29" t="s">
        <v>88</v>
      </c>
      <c r="C79" s="28">
        <v>1550</v>
      </c>
      <c r="D79" s="382">
        <v>94</v>
      </c>
      <c r="E79" s="144">
        <v>94</v>
      </c>
      <c r="F79" s="193">
        <f t="shared" si="6"/>
        <v>94</v>
      </c>
      <c r="G79" s="193">
        <v>94</v>
      </c>
      <c r="H79" s="193">
        <v>94</v>
      </c>
      <c r="I79" s="360">
        <f t="shared" si="9"/>
        <v>680</v>
      </c>
      <c r="J79" s="304">
        <v>0</v>
      </c>
      <c r="K79" s="304">
        <v>0</v>
      </c>
      <c r="L79" s="304">
        <v>94</v>
      </c>
      <c r="M79" s="304">
        <v>0</v>
      </c>
      <c r="N79" s="390">
        <f t="shared" si="8"/>
        <v>0</v>
      </c>
      <c r="O79" s="192">
        <f t="shared" si="7"/>
        <v>1644</v>
      </c>
      <c r="P79" s="30">
        <v>0</v>
      </c>
      <c r="Q79" s="28">
        <v>708</v>
      </c>
      <c r="R79" s="28">
        <v>0</v>
      </c>
      <c r="S79" s="281"/>
    </row>
    <row r="80" spans="1:19" ht="12.75">
      <c r="A80" s="28">
        <v>681</v>
      </c>
      <c r="B80" s="29" t="s">
        <v>89</v>
      </c>
      <c r="C80" s="28">
        <v>1400</v>
      </c>
      <c r="D80" s="382">
        <v>114</v>
      </c>
      <c r="E80" s="144">
        <v>114</v>
      </c>
      <c r="F80" s="193">
        <f t="shared" si="6"/>
        <v>114</v>
      </c>
      <c r="G80" s="193">
        <v>114</v>
      </c>
      <c r="H80" s="193">
        <v>114</v>
      </c>
      <c r="I80" s="360">
        <f t="shared" si="9"/>
        <v>681</v>
      </c>
      <c r="J80" s="304">
        <v>0</v>
      </c>
      <c r="K80" s="304">
        <v>0</v>
      </c>
      <c r="L80" s="304">
        <v>114</v>
      </c>
      <c r="M80" s="304">
        <v>0</v>
      </c>
      <c r="N80" s="390">
        <f t="shared" si="8"/>
        <v>0</v>
      </c>
      <c r="O80" s="192">
        <f t="shared" si="7"/>
        <v>1514</v>
      </c>
      <c r="P80" s="30">
        <v>0</v>
      </c>
      <c r="Q80" s="28">
        <v>708</v>
      </c>
      <c r="R80" s="28">
        <v>0</v>
      </c>
      <c r="S80" s="281"/>
    </row>
    <row r="81" spans="1:19" ht="12.75">
      <c r="A81" s="28">
        <v>682</v>
      </c>
      <c r="B81" s="31" t="s">
        <v>90</v>
      </c>
      <c r="C81" s="28">
        <v>1170</v>
      </c>
      <c r="D81" s="382">
        <v>144</v>
      </c>
      <c r="E81" s="144">
        <v>144</v>
      </c>
      <c r="F81" s="193">
        <f t="shared" si="6"/>
        <v>144</v>
      </c>
      <c r="G81" s="193">
        <v>144</v>
      </c>
      <c r="H81" s="193">
        <v>144</v>
      </c>
      <c r="I81" s="360">
        <f t="shared" si="9"/>
        <v>682</v>
      </c>
      <c r="J81" s="304">
        <v>0</v>
      </c>
      <c r="K81" s="304">
        <v>0</v>
      </c>
      <c r="L81" s="304">
        <v>144</v>
      </c>
      <c r="M81" s="304">
        <v>0</v>
      </c>
      <c r="N81" s="390">
        <f t="shared" si="8"/>
        <v>0</v>
      </c>
      <c r="O81" s="192">
        <f t="shared" si="7"/>
        <v>1314</v>
      </c>
      <c r="P81" s="30">
        <v>0</v>
      </c>
      <c r="Q81" s="28">
        <v>580</v>
      </c>
      <c r="R81" s="28">
        <v>0</v>
      </c>
      <c r="S81" s="281"/>
    </row>
    <row r="82" spans="1:19" ht="12.75">
      <c r="A82" s="28">
        <v>683</v>
      </c>
      <c r="B82" s="31" t="s">
        <v>91</v>
      </c>
      <c r="C82" s="28">
        <v>1170</v>
      </c>
      <c r="D82" s="382">
        <v>144</v>
      </c>
      <c r="E82" s="144">
        <v>144</v>
      </c>
      <c r="F82" s="193">
        <f t="shared" si="6"/>
        <v>144</v>
      </c>
      <c r="G82" s="193">
        <v>144</v>
      </c>
      <c r="H82" s="193">
        <v>144</v>
      </c>
      <c r="I82" s="360">
        <f t="shared" si="9"/>
        <v>683</v>
      </c>
      <c r="J82" s="304">
        <v>0</v>
      </c>
      <c r="K82" s="304">
        <v>0</v>
      </c>
      <c r="L82" s="304">
        <v>144</v>
      </c>
      <c r="M82" s="304">
        <v>0</v>
      </c>
      <c r="N82" s="390">
        <f t="shared" si="8"/>
        <v>0</v>
      </c>
      <c r="O82" s="192">
        <f t="shared" si="7"/>
        <v>1314</v>
      </c>
      <c r="P82" s="30">
        <v>0</v>
      </c>
      <c r="Q82" s="28">
        <v>580</v>
      </c>
      <c r="R82" s="28">
        <v>0</v>
      </c>
      <c r="S82" s="281"/>
    </row>
    <row r="83" spans="1:19" ht="12.75">
      <c r="A83" s="28">
        <v>684</v>
      </c>
      <c r="B83" s="29" t="s">
        <v>92</v>
      </c>
      <c r="C83" s="28">
        <v>1170</v>
      </c>
      <c r="D83" s="382">
        <v>144</v>
      </c>
      <c r="E83" s="144">
        <v>144</v>
      </c>
      <c r="F83" s="193">
        <f t="shared" si="6"/>
        <v>144</v>
      </c>
      <c r="G83" s="193">
        <v>144</v>
      </c>
      <c r="H83" s="193">
        <v>144</v>
      </c>
      <c r="I83" s="360">
        <f t="shared" si="9"/>
        <v>684</v>
      </c>
      <c r="J83" s="304">
        <v>0</v>
      </c>
      <c r="K83" s="304">
        <v>0</v>
      </c>
      <c r="L83" s="304">
        <v>144</v>
      </c>
      <c r="M83" s="304">
        <v>0</v>
      </c>
      <c r="N83" s="390">
        <f t="shared" si="8"/>
        <v>0</v>
      </c>
      <c r="O83" s="192">
        <f t="shared" si="7"/>
        <v>1314</v>
      </c>
      <c r="P83" s="30">
        <v>0</v>
      </c>
      <c r="Q83" s="28">
        <v>580</v>
      </c>
      <c r="R83" s="28">
        <v>0</v>
      </c>
      <c r="S83" s="281"/>
    </row>
    <row r="84" spans="1:19" ht="12.75">
      <c r="A84" s="28">
        <v>685</v>
      </c>
      <c r="B84" s="29" t="s">
        <v>93</v>
      </c>
      <c r="C84" s="28">
        <v>1500</v>
      </c>
      <c r="D84" s="382">
        <v>101</v>
      </c>
      <c r="E84" s="144">
        <v>101</v>
      </c>
      <c r="F84" s="193">
        <f t="shared" si="6"/>
        <v>101</v>
      </c>
      <c r="G84" s="193">
        <v>101</v>
      </c>
      <c r="H84" s="193">
        <v>101</v>
      </c>
      <c r="I84" s="360">
        <f t="shared" si="9"/>
        <v>685</v>
      </c>
      <c r="J84" s="304">
        <v>388.2</v>
      </c>
      <c r="K84" s="304">
        <v>388.2</v>
      </c>
      <c r="L84" s="304">
        <v>101</v>
      </c>
      <c r="M84" s="304">
        <v>388.2</v>
      </c>
      <c r="N84" s="390">
        <f t="shared" si="8"/>
        <v>388.2</v>
      </c>
      <c r="O84" s="192">
        <f t="shared" si="7"/>
        <v>1989.2</v>
      </c>
      <c r="P84" s="30">
        <v>0</v>
      </c>
      <c r="Q84" s="28">
        <v>750</v>
      </c>
      <c r="R84" s="28">
        <v>0</v>
      </c>
      <c r="S84" s="281"/>
    </row>
    <row r="85" spans="1:19" ht="12.75">
      <c r="A85" s="28">
        <v>686</v>
      </c>
      <c r="B85" s="29" t="s">
        <v>94</v>
      </c>
      <c r="C85" s="28">
        <v>2000</v>
      </c>
      <c r="D85" s="382">
        <v>36</v>
      </c>
      <c r="E85" s="144">
        <v>36</v>
      </c>
      <c r="F85" s="193">
        <f t="shared" si="6"/>
        <v>36</v>
      </c>
      <c r="G85" s="193">
        <v>36</v>
      </c>
      <c r="H85" s="193">
        <v>36</v>
      </c>
      <c r="I85" s="360">
        <f t="shared" si="9"/>
        <v>686</v>
      </c>
      <c r="J85" s="304">
        <v>647</v>
      </c>
      <c r="K85" s="304">
        <v>647</v>
      </c>
      <c r="L85" s="304">
        <v>36</v>
      </c>
      <c r="M85" s="304">
        <v>647</v>
      </c>
      <c r="N85" s="390">
        <f t="shared" si="8"/>
        <v>647</v>
      </c>
      <c r="O85" s="192">
        <f t="shared" si="7"/>
        <v>2683</v>
      </c>
      <c r="P85" s="30">
        <v>0</v>
      </c>
      <c r="Q85" s="28">
        <v>600</v>
      </c>
      <c r="R85" s="28">
        <v>0</v>
      </c>
      <c r="S85" s="281"/>
    </row>
    <row r="86" spans="1:19" ht="12.75">
      <c r="A86" s="28">
        <v>687</v>
      </c>
      <c r="B86" s="29" t="s">
        <v>95</v>
      </c>
      <c r="C86" s="28">
        <v>1840</v>
      </c>
      <c r="D86" s="382">
        <v>57</v>
      </c>
      <c r="E86" s="144">
        <v>57</v>
      </c>
      <c r="F86" s="193">
        <f t="shared" si="6"/>
        <v>57</v>
      </c>
      <c r="G86" s="193">
        <v>57</v>
      </c>
      <c r="H86" s="193">
        <v>57</v>
      </c>
      <c r="I86" s="360">
        <f t="shared" si="9"/>
        <v>687</v>
      </c>
      <c r="J86" s="304">
        <v>582.3</v>
      </c>
      <c r="K86" s="304">
        <v>582.3</v>
      </c>
      <c r="L86" s="304">
        <v>57</v>
      </c>
      <c r="M86" s="304">
        <v>582.3</v>
      </c>
      <c r="N86" s="390">
        <f t="shared" si="8"/>
        <v>582.3</v>
      </c>
      <c r="O86" s="192">
        <f t="shared" si="7"/>
        <v>2479.3</v>
      </c>
      <c r="P86" s="30">
        <v>0</v>
      </c>
      <c r="Q86" s="28">
        <v>600</v>
      </c>
      <c r="R86" s="28">
        <v>0</v>
      </c>
      <c r="S86" s="281"/>
    </row>
    <row r="87" spans="1:19" ht="12.75">
      <c r="A87" s="28">
        <v>688</v>
      </c>
      <c r="B87" s="29" t="s">
        <v>96</v>
      </c>
      <c r="C87" s="28">
        <v>1680</v>
      </c>
      <c r="D87" s="382">
        <v>77</v>
      </c>
      <c r="E87" s="144">
        <v>77</v>
      </c>
      <c r="F87" s="193">
        <f t="shared" si="6"/>
        <v>77</v>
      </c>
      <c r="G87" s="193">
        <v>77</v>
      </c>
      <c r="H87" s="193">
        <v>77</v>
      </c>
      <c r="I87" s="360">
        <f t="shared" si="9"/>
        <v>688</v>
      </c>
      <c r="J87" s="304">
        <v>0</v>
      </c>
      <c r="K87" s="304">
        <v>0</v>
      </c>
      <c r="L87" s="304">
        <v>77</v>
      </c>
      <c r="M87" s="304">
        <v>0</v>
      </c>
      <c r="N87" s="390">
        <f t="shared" si="8"/>
        <v>0</v>
      </c>
      <c r="O87" s="192">
        <f t="shared" si="7"/>
        <v>1757</v>
      </c>
      <c r="P87" s="30">
        <v>0</v>
      </c>
      <c r="Q87" s="28">
        <v>600</v>
      </c>
      <c r="R87" s="28">
        <v>0</v>
      </c>
      <c r="S87" s="281"/>
    </row>
    <row r="88" spans="1:19" ht="12.75">
      <c r="A88" s="28">
        <v>689</v>
      </c>
      <c r="B88" s="31" t="s">
        <v>97</v>
      </c>
      <c r="C88" s="28">
        <v>1170</v>
      </c>
      <c r="D88" s="382">
        <v>144</v>
      </c>
      <c r="E88" s="144">
        <v>144</v>
      </c>
      <c r="F88" s="193">
        <f t="shared" si="6"/>
        <v>144</v>
      </c>
      <c r="G88" s="193">
        <v>144</v>
      </c>
      <c r="H88" s="193">
        <v>144</v>
      </c>
      <c r="I88" s="360">
        <f t="shared" si="9"/>
        <v>689</v>
      </c>
      <c r="J88" s="304">
        <v>0</v>
      </c>
      <c r="K88" s="304">
        <v>0</v>
      </c>
      <c r="L88" s="304">
        <v>144</v>
      </c>
      <c r="M88" s="304">
        <v>0</v>
      </c>
      <c r="N88" s="390">
        <f t="shared" si="8"/>
        <v>0</v>
      </c>
      <c r="O88" s="192">
        <f t="shared" si="7"/>
        <v>1314</v>
      </c>
      <c r="P88" s="30">
        <v>0</v>
      </c>
      <c r="Q88" s="28">
        <v>580</v>
      </c>
      <c r="R88" s="28">
        <v>0</v>
      </c>
      <c r="S88" s="281"/>
    </row>
    <row r="89" spans="1:19" ht="12.75">
      <c r="A89" s="28">
        <v>691</v>
      </c>
      <c r="B89" s="29" t="s">
        <v>98</v>
      </c>
      <c r="C89" s="28">
        <v>1500</v>
      </c>
      <c r="D89" s="382">
        <v>101</v>
      </c>
      <c r="E89" s="144">
        <v>101</v>
      </c>
      <c r="F89" s="193">
        <f t="shared" si="6"/>
        <v>101</v>
      </c>
      <c r="G89" s="193">
        <v>101</v>
      </c>
      <c r="H89" s="193">
        <v>101</v>
      </c>
      <c r="I89" s="360">
        <f t="shared" si="9"/>
        <v>691</v>
      </c>
      <c r="J89" s="304">
        <v>0</v>
      </c>
      <c r="K89" s="304">
        <v>0</v>
      </c>
      <c r="L89" s="304">
        <v>101</v>
      </c>
      <c r="M89" s="304">
        <v>0</v>
      </c>
      <c r="N89" s="390">
        <f t="shared" si="8"/>
        <v>0</v>
      </c>
      <c r="O89" s="192">
        <f t="shared" si="7"/>
        <v>1601</v>
      </c>
      <c r="P89" s="30">
        <v>0</v>
      </c>
      <c r="Q89" s="28">
        <v>750</v>
      </c>
      <c r="R89" s="28">
        <v>0</v>
      </c>
      <c r="S89" s="281"/>
    </row>
    <row r="90" spans="1:19" ht="12.75">
      <c r="A90" s="28">
        <v>692</v>
      </c>
      <c r="B90" s="29" t="s">
        <v>99</v>
      </c>
      <c r="C90" s="28">
        <v>1690</v>
      </c>
      <c r="D90" s="382">
        <v>76</v>
      </c>
      <c r="E90" s="144">
        <v>76</v>
      </c>
      <c r="F90" s="193">
        <f t="shared" si="6"/>
        <v>76</v>
      </c>
      <c r="G90" s="193">
        <v>76</v>
      </c>
      <c r="H90" s="193">
        <v>76</v>
      </c>
      <c r="I90" s="360">
        <f t="shared" si="9"/>
        <v>692</v>
      </c>
      <c r="J90" s="304">
        <v>0</v>
      </c>
      <c r="K90" s="304">
        <v>0</v>
      </c>
      <c r="L90" s="304">
        <v>76</v>
      </c>
      <c r="M90" s="304">
        <v>0</v>
      </c>
      <c r="N90" s="390">
        <f t="shared" si="8"/>
        <v>0</v>
      </c>
      <c r="O90" s="192">
        <f t="shared" si="7"/>
        <v>1766</v>
      </c>
      <c r="P90" s="30">
        <v>0</v>
      </c>
      <c r="Q90" s="28">
        <v>620</v>
      </c>
      <c r="R90" s="28">
        <v>0</v>
      </c>
      <c r="S90" s="281"/>
    </row>
    <row r="91" spans="1:19" ht="12.75">
      <c r="A91" s="28">
        <v>693</v>
      </c>
      <c r="B91" s="29" t="s">
        <v>100</v>
      </c>
      <c r="C91" s="28">
        <v>1550</v>
      </c>
      <c r="D91" s="382">
        <v>94</v>
      </c>
      <c r="E91" s="144">
        <v>94</v>
      </c>
      <c r="F91" s="193">
        <f t="shared" si="6"/>
        <v>94</v>
      </c>
      <c r="G91" s="193">
        <v>94</v>
      </c>
      <c r="H91" s="193">
        <v>94</v>
      </c>
      <c r="I91" s="360">
        <f t="shared" si="9"/>
        <v>693</v>
      </c>
      <c r="J91" s="304">
        <v>0</v>
      </c>
      <c r="K91" s="304">
        <v>0</v>
      </c>
      <c r="L91" s="304">
        <v>94</v>
      </c>
      <c r="M91" s="304">
        <v>0</v>
      </c>
      <c r="N91" s="390">
        <f t="shared" si="8"/>
        <v>0</v>
      </c>
      <c r="O91" s="192">
        <f t="shared" si="7"/>
        <v>1644</v>
      </c>
      <c r="P91" s="30">
        <v>0</v>
      </c>
      <c r="Q91" s="28">
        <v>620</v>
      </c>
      <c r="R91" s="28">
        <v>0</v>
      </c>
      <c r="S91" s="281"/>
    </row>
    <row r="92" spans="1:19" ht="12.75">
      <c r="A92" s="28">
        <v>694</v>
      </c>
      <c r="B92" s="29" t="s">
        <v>101</v>
      </c>
      <c r="C92" s="28">
        <v>1400</v>
      </c>
      <c r="D92" s="382">
        <v>114</v>
      </c>
      <c r="E92" s="144">
        <v>114</v>
      </c>
      <c r="F92" s="193">
        <f t="shared" si="6"/>
        <v>114</v>
      </c>
      <c r="G92" s="193">
        <v>114</v>
      </c>
      <c r="H92" s="193">
        <v>114</v>
      </c>
      <c r="I92" s="360">
        <f t="shared" si="9"/>
        <v>694</v>
      </c>
      <c r="J92" s="304">
        <v>0</v>
      </c>
      <c r="K92" s="304">
        <v>0</v>
      </c>
      <c r="L92" s="304">
        <v>114</v>
      </c>
      <c r="M92" s="304">
        <v>0</v>
      </c>
      <c r="N92" s="390">
        <f t="shared" si="8"/>
        <v>0</v>
      </c>
      <c r="O92" s="192">
        <f t="shared" si="7"/>
        <v>1514</v>
      </c>
      <c r="P92" s="30">
        <v>0</v>
      </c>
      <c r="Q92" s="28">
        <v>620</v>
      </c>
      <c r="R92" s="28">
        <v>0</v>
      </c>
      <c r="S92" s="281"/>
    </row>
    <row r="93" spans="1:19" ht="12.75">
      <c r="A93" s="28">
        <v>695</v>
      </c>
      <c r="B93" s="29" t="s">
        <v>102</v>
      </c>
      <c r="C93" s="28">
        <v>906</v>
      </c>
      <c r="D93" s="382">
        <v>170</v>
      </c>
      <c r="E93" s="366">
        <v>216</v>
      </c>
      <c r="F93" s="193">
        <v>261</v>
      </c>
      <c r="G93" s="304">
        <v>327</v>
      </c>
      <c r="H93" s="304">
        <v>350</v>
      </c>
      <c r="I93" s="360">
        <f t="shared" si="9"/>
        <v>695</v>
      </c>
      <c r="J93" s="304">
        <v>0</v>
      </c>
      <c r="K93" s="304">
        <v>0</v>
      </c>
      <c r="L93" s="304">
        <v>414.7</v>
      </c>
      <c r="M93" s="304">
        <v>0</v>
      </c>
      <c r="N93" s="390">
        <f t="shared" si="8"/>
        <v>0</v>
      </c>
      <c r="O93" s="192">
        <f t="shared" si="7"/>
        <v>1233</v>
      </c>
      <c r="P93" s="30">
        <v>0</v>
      </c>
      <c r="Q93" s="28">
        <v>0</v>
      </c>
      <c r="R93" s="28">
        <v>0</v>
      </c>
      <c r="S93" s="281"/>
    </row>
    <row r="94" spans="1:19" ht="12.75">
      <c r="A94" s="28">
        <v>696</v>
      </c>
      <c r="B94" s="29" t="s">
        <v>103</v>
      </c>
      <c r="C94" s="28">
        <v>1500</v>
      </c>
      <c r="D94" s="382">
        <v>101</v>
      </c>
      <c r="E94" s="144">
        <v>101</v>
      </c>
      <c r="F94" s="193">
        <f>IF(C94&lt;972,E94+44,E94)</f>
        <v>101</v>
      </c>
      <c r="G94" s="193">
        <v>101</v>
      </c>
      <c r="H94" s="193">
        <v>101</v>
      </c>
      <c r="I94" s="360">
        <f t="shared" si="9"/>
        <v>696</v>
      </c>
      <c r="J94" s="304">
        <v>388.2</v>
      </c>
      <c r="K94" s="304">
        <v>388.2</v>
      </c>
      <c r="L94" s="304">
        <v>101</v>
      </c>
      <c r="M94" s="304">
        <v>388.2</v>
      </c>
      <c r="N94" s="390">
        <f t="shared" si="8"/>
        <v>388.2</v>
      </c>
      <c r="O94" s="192">
        <f t="shared" si="7"/>
        <v>1989.2</v>
      </c>
      <c r="P94" s="30">
        <v>0</v>
      </c>
      <c r="Q94" s="28">
        <v>0</v>
      </c>
      <c r="R94" s="28">
        <v>0</v>
      </c>
      <c r="S94" s="281"/>
    </row>
    <row r="95" spans="1:19" ht="12.75">
      <c r="A95" s="28">
        <v>697</v>
      </c>
      <c r="B95" s="29" t="s">
        <v>104</v>
      </c>
      <c r="C95" s="28">
        <v>1500</v>
      </c>
      <c r="D95" s="382">
        <v>101</v>
      </c>
      <c r="E95" s="144">
        <v>101</v>
      </c>
      <c r="F95" s="193">
        <f>IF(C95&lt;972,E95+44,E95)</f>
        <v>101</v>
      </c>
      <c r="G95" s="193">
        <v>101</v>
      </c>
      <c r="H95" s="193">
        <v>101</v>
      </c>
      <c r="I95" s="360">
        <f t="shared" si="9"/>
        <v>697</v>
      </c>
      <c r="J95" s="304">
        <v>0</v>
      </c>
      <c r="K95" s="304">
        <v>0</v>
      </c>
      <c r="L95" s="304">
        <v>101</v>
      </c>
      <c r="M95" s="304">
        <v>0</v>
      </c>
      <c r="N95" s="390">
        <f t="shared" si="8"/>
        <v>0</v>
      </c>
      <c r="O95" s="192">
        <f t="shared" si="7"/>
        <v>1601</v>
      </c>
      <c r="P95" s="30">
        <v>0</v>
      </c>
      <c r="Q95" s="28">
        <v>0</v>
      </c>
      <c r="R95" s="28">
        <v>0</v>
      </c>
      <c r="S95" s="281"/>
    </row>
    <row r="96" spans="1:19" ht="12.75">
      <c r="A96" s="28">
        <v>698</v>
      </c>
      <c r="B96" s="29" t="s">
        <v>105</v>
      </c>
      <c r="C96" s="28">
        <v>1690</v>
      </c>
      <c r="D96" s="382">
        <v>76</v>
      </c>
      <c r="E96" s="144">
        <v>76</v>
      </c>
      <c r="F96" s="193">
        <f>IF(C96&lt;972,E96+44,E96)</f>
        <v>76</v>
      </c>
      <c r="G96" s="193">
        <v>76</v>
      </c>
      <c r="H96" s="193">
        <v>76</v>
      </c>
      <c r="I96" s="360">
        <f t="shared" si="9"/>
        <v>698</v>
      </c>
      <c r="J96" s="304">
        <v>0</v>
      </c>
      <c r="K96" s="304">
        <v>0</v>
      </c>
      <c r="L96" s="304">
        <v>76</v>
      </c>
      <c r="M96" s="304">
        <v>0</v>
      </c>
      <c r="N96" s="390">
        <f t="shared" si="8"/>
        <v>0</v>
      </c>
      <c r="O96" s="192">
        <f t="shared" si="7"/>
        <v>1766</v>
      </c>
      <c r="P96" s="30">
        <v>0</v>
      </c>
      <c r="Q96" s="28">
        <v>0</v>
      </c>
      <c r="R96" s="28">
        <v>0</v>
      </c>
      <c r="S96" s="281"/>
    </row>
    <row r="97" spans="1:19" ht="12.75">
      <c r="A97" s="28">
        <v>699</v>
      </c>
      <c r="B97" s="29" t="s">
        <v>106</v>
      </c>
      <c r="C97" s="28">
        <v>1550</v>
      </c>
      <c r="D97" s="382">
        <v>94</v>
      </c>
      <c r="E97" s="144">
        <v>94</v>
      </c>
      <c r="F97" s="193">
        <f>IF(C97&lt;972,E97+44,E97)</f>
        <v>94</v>
      </c>
      <c r="G97" s="193">
        <v>94</v>
      </c>
      <c r="H97" s="193">
        <v>94</v>
      </c>
      <c r="I97" s="360">
        <f t="shared" si="9"/>
        <v>699</v>
      </c>
      <c r="J97" s="304">
        <v>0</v>
      </c>
      <c r="K97" s="304">
        <v>0</v>
      </c>
      <c r="L97" s="304">
        <v>94</v>
      </c>
      <c r="M97" s="304">
        <v>0</v>
      </c>
      <c r="N97" s="390">
        <f t="shared" si="8"/>
        <v>0</v>
      </c>
      <c r="O97" s="192">
        <f t="shared" si="7"/>
        <v>1644</v>
      </c>
      <c r="P97" s="30">
        <v>0</v>
      </c>
      <c r="Q97" s="28">
        <v>0</v>
      </c>
      <c r="R97" s="28">
        <v>0</v>
      </c>
      <c r="S97" s="281"/>
    </row>
    <row r="98" spans="1:19" s="312" customFormat="1" ht="12.75">
      <c r="A98" s="306">
        <v>702</v>
      </c>
      <c r="B98" s="307" t="s">
        <v>508</v>
      </c>
      <c r="C98" s="306">
        <v>1400</v>
      </c>
      <c r="D98" s="383">
        <v>170</v>
      </c>
      <c r="E98" s="367">
        <v>216</v>
      </c>
      <c r="F98" s="193">
        <v>261</v>
      </c>
      <c r="G98" s="304">
        <v>327</v>
      </c>
      <c r="H98" s="304">
        <v>350</v>
      </c>
      <c r="I98" s="361">
        <f t="shared" si="9"/>
        <v>702</v>
      </c>
      <c r="J98" s="308">
        <v>0</v>
      </c>
      <c r="K98" s="308">
        <v>0</v>
      </c>
      <c r="L98" s="304">
        <v>114</v>
      </c>
      <c r="M98" s="308">
        <v>0</v>
      </c>
      <c r="N98" s="390">
        <v>310</v>
      </c>
      <c r="O98" s="192">
        <f t="shared" si="7"/>
        <v>1727</v>
      </c>
      <c r="P98" s="310">
        <v>0</v>
      </c>
      <c r="Q98" s="306">
        <v>0</v>
      </c>
      <c r="R98" s="306">
        <v>0</v>
      </c>
      <c r="S98" s="311"/>
    </row>
    <row r="99" spans="1:19" ht="12.75">
      <c r="A99" s="28">
        <v>703</v>
      </c>
      <c r="B99" s="307" t="s">
        <v>509</v>
      </c>
      <c r="C99" s="28">
        <v>1400</v>
      </c>
      <c r="D99" s="382">
        <v>0</v>
      </c>
      <c r="E99" s="144">
        <v>0</v>
      </c>
      <c r="F99" s="193">
        <f>IF(C99&lt;972,E99+44,E99)</f>
        <v>0</v>
      </c>
      <c r="G99" s="193">
        <v>0</v>
      </c>
      <c r="H99" s="193">
        <v>0</v>
      </c>
      <c r="I99" s="360">
        <f t="shared" si="9"/>
        <v>703</v>
      </c>
      <c r="J99" s="304">
        <v>0</v>
      </c>
      <c r="K99" s="304">
        <v>0</v>
      </c>
      <c r="L99" s="304">
        <v>114</v>
      </c>
      <c r="M99" s="304">
        <v>0</v>
      </c>
      <c r="N99" s="390">
        <v>310</v>
      </c>
      <c r="O99" s="192">
        <f t="shared" si="7"/>
        <v>1400</v>
      </c>
      <c r="P99" s="30">
        <v>0</v>
      </c>
      <c r="Q99" s="28">
        <v>0</v>
      </c>
      <c r="R99" s="28">
        <v>0</v>
      </c>
      <c r="S99" s="281"/>
    </row>
    <row r="100" spans="1:19" ht="12.75">
      <c r="A100" s="28">
        <v>704</v>
      </c>
      <c r="B100" s="307" t="s">
        <v>510</v>
      </c>
      <c r="C100" s="28">
        <v>1300</v>
      </c>
      <c r="D100" s="382">
        <v>101</v>
      </c>
      <c r="E100" s="144">
        <v>101</v>
      </c>
      <c r="F100" s="193">
        <f>IF(C100&lt;972,E100+44,E100)</f>
        <v>101</v>
      </c>
      <c r="G100" s="193">
        <v>101</v>
      </c>
      <c r="H100" s="193">
        <v>101</v>
      </c>
      <c r="I100" s="360">
        <f t="shared" si="9"/>
        <v>704</v>
      </c>
      <c r="J100" s="304">
        <v>0</v>
      </c>
      <c r="K100" s="304">
        <v>136</v>
      </c>
      <c r="L100" s="304">
        <v>127</v>
      </c>
      <c r="M100" s="304">
        <v>272</v>
      </c>
      <c r="N100" s="390">
        <v>310</v>
      </c>
      <c r="O100" s="192">
        <f t="shared" si="7"/>
        <v>1673</v>
      </c>
      <c r="P100" s="30">
        <v>0</v>
      </c>
      <c r="Q100" s="28">
        <v>0</v>
      </c>
      <c r="R100" s="28">
        <v>0</v>
      </c>
      <c r="S100" s="281"/>
    </row>
    <row r="101" spans="1:19" ht="12.75">
      <c r="A101" s="28">
        <v>705</v>
      </c>
      <c r="B101" s="307" t="s">
        <v>511</v>
      </c>
      <c r="C101" s="28">
        <v>1300</v>
      </c>
      <c r="D101" s="382">
        <v>89</v>
      </c>
      <c r="E101" s="144">
        <v>89</v>
      </c>
      <c r="F101" s="193">
        <f>IF(C101&lt;972,E101+44,E101)</f>
        <v>89</v>
      </c>
      <c r="G101" s="193">
        <v>89</v>
      </c>
      <c r="H101" s="193">
        <v>89</v>
      </c>
      <c r="I101" s="360">
        <f t="shared" si="9"/>
        <v>705</v>
      </c>
      <c r="J101" s="304">
        <v>0</v>
      </c>
      <c r="K101" s="304">
        <v>175</v>
      </c>
      <c r="L101" s="304">
        <v>127</v>
      </c>
      <c r="M101" s="304">
        <v>350</v>
      </c>
      <c r="N101" s="390">
        <v>310</v>
      </c>
      <c r="O101" s="192">
        <f t="shared" si="7"/>
        <v>1739</v>
      </c>
      <c r="P101" s="30">
        <v>0</v>
      </c>
      <c r="Q101" s="28">
        <v>0</v>
      </c>
      <c r="R101" s="28">
        <v>0</v>
      </c>
      <c r="S101" s="281"/>
    </row>
    <row r="102" spans="1:19" ht="12.75">
      <c r="A102" s="28">
        <v>706</v>
      </c>
      <c r="B102" s="307" t="s">
        <v>512</v>
      </c>
      <c r="C102" s="28">
        <v>1250</v>
      </c>
      <c r="D102" s="382">
        <v>0</v>
      </c>
      <c r="E102" s="144">
        <v>0</v>
      </c>
      <c r="F102" s="193">
        <f>IF(C102&lt;972,E102+44,E102)</f>
        <v>0</v>
      </c>
      <c r="G102" s="193">
        <v>0</v>
      </c>
      <c r="H102" s="193">
        <v>0</v>
      </c>
      <c r="I102" s="360">
        <f t="shared" si="9"/>
        <v>706</v>
      </c>
      <c r="J102" s="304">
        <v>0</v>
      </c>
      <c r="K102" s="304">
        <f>D102*0.09</f>
        <v>0</v>
      </c>
      <c r="L102" s="304">
        <v>134</v>
      </c>
      <c r="M102" s="304">
        <v>0</v>
      </c>
      <c r="N102" s="390">
        <v>310</v>
      </c>
      <c r="O102" s="192">
        <f t="shared" si="7"/>
        <v>1250</v>
      </c>
      <c r="P102" s="30">
        <v>0</v>
      </c>
      <c r="Q102" s="28">
        <v>0</v>
      </c>
      <c r="R102" s="28">
        <v>0</v>
      </c>
      <c r="S102" s="281"/>
    </row>
    <row r="103" spans="1:19" ht="12.75">
      <c r="A103" s="28">
        <v>707</v>
      </c>
      <c r="B103" s="29" t="s">
        <v>437</v>
      </c>
      <c r="C103" s="28">
        <v>2913</v>
      </c>
      <c r="D103" s="382"/>
      <c r="E103" s="144"/>
      <c r="F103" s="193"/>
      <c r="G103" s="193">
        <v>0</v>
      </c>
      <c r="H103" s="193">
        <v>0</v>
      </c>
      <c r="I103" s="360">
        <f t="shared" si="9"/>
        <v>707</v>
      </c>
      <c r="J103" s="304"/>
      <c r="K103" s="304"/>
      <c r="L103" s="304">
        <v>0</v>
      </c>
      <c r="M103" s="304">
        <v>466</v>
      </c>
      <c r="N103" s="390">
        <v>776</v>
      </c>
      <c r="O103" s="192">
        <f t="shared" si="7"/>
        <v>3379</v>
      </c>
      <c r="P103" s="30">
        <v>0</v>
      </c>
      <c r="Q103" s="28">
        <v>0</v>
      </c>
      <c r="R103" s="28">
        <v>0</v>
      </c>
      <c r="S103" s="281"/>
    </row>
    <row r="104" spans="1:19" ht="12.75">
      <c r="A104" s="28">
        <v>708</v>
      </c>
      <c r="B104" s="29" t="s">
        <v>107</v>
      </c>
      <c r="C104" s="28">
        <v>3146</v>
      </c>
      <c r="D104" s="382">
        <v>0</v>
      </c>
      <c r="E104" s="144">
        <v>0</v>
      </c>
      <c r="F104" s="193">
        <f aca="true" t="shared" si="10" ref="F104:F127">IF(C104&lt;972,E104+44,E104)</f>
        <v>0</v>
      </c>
      <c r="G104" s="193">
        <v>0</v>
      </c>
      <c r="H104" s="193">
        <v>0</v>
      </c>
      <c r="I104" s="360">
        <f t="shared" si="9"/>
        <v>708</v>
      </c>
      <c r="J104" s="304">
        <v>0</v>
      </c>
      <c r="K104" s="304">
        <v>0</v>
      </c>
      <c r="L104" s="304">
        <v>0</v>
      </c>
      <c r="M104" s="304">
        <v>466</v>
      </c>
      <c r="N104" s="390">
        <v>776</v>
      </c>
      <c r="O104" s="192">
        <f t="shared" si="7"/>
        <v>3612</v>
      </c>
      <c r="P104" s="30">
        <v>0</v>
      </c>
      <c r="Q104" s="28">
        <v>0</v>
      </c>
      <c r="R104" s="28">
        <v>0</v>
      </c>
      <c r="S104" s="281"/>
    </row>
    <row r="105" spans="1:19" ht="12.75">
      <c r="A105" s="28">
        <v>709</v>
      </c>
      <c r="B105" s="29" t="s">
        <v>438</v>
      </c>
      <c r="C105" s="28">
        <v>2913</v>
      </c>
      <c r="D105" s="382">
        <v>0</v>
      </c>
      <c r="E105" s="144">
        <v>0</v>
      </c>
      <c r="F105" s="193">
        <f t="shared" si="10"/>
        <v>0</v>
      </c>
      <c r="G105" s="193">
        <v>0</v>
      </c>
      <c r="H105" s="193">
        <v>0</v>
      </c>
      <c r="I105" s="360">
        <f t="shared" si="9"/>
        <v>709</v>
      </c>
      <c r="J105" s="304">
        <v>0</v>
      </c>
      <c r="K105" s="345">
        <v>233</v>
      </c>
      <c r="L105" s="304">
        <v>0</v>
      </c>
      <c r="M105" s="345">
        <v>466</v>
      </c>
      <c r="N105" s="390">
        <v>776</v>
      </c>
      <c r="O105" s="192">
        <f t="shared" si="7"/>
        <v>3379</v>
      </c>
      <c r="P105" s="30">
        <v>0</v>
      </c>
      <c r="Q105" s="28">
        <v>0</v>
      </c>
      <c r="R105" s="28">
        <v>0</v>
      </c>
      <c r="S105" s="281"/>
    </row>
    <row r="106" spans="1:19" ht="12.75">
      <c r="A106" s="28">
        <v>710</v>
      </c>
      <c r="B106" s="29" t="s">
        <v>108</v>
      </c>
      <c r="C106" s="28">
        <v>2913</v>
      </c>
      <c r="D106" s="382">
        <v>0</v>
      </c>
      <c r="E106" s="144">
        <v>0</v>
      </c>
      <c r="F106" s="193">
        <f t="shared" si="10"/>
        <v>0</v>
      </c>
      <c r="G106" s="193">
        <v>0</v>
      </c>
      <c r="H106" s="193">
        <v>0</v>
      </c>
      <c r="I106" s="360">
        <f t="shared" si="9"/>
        <v>710</v>
      </c>
      <c r="J106" s="304">
        <v>0</v>
      </c>
      <c r="K106" s="345">
        <v>233</v>
      </c>
      <c r="L106" s="304">
        <v>0</v>
      </c>
      <c r="M106" s="345">
        <v>466</v>
      </c>
      <c r="N106" s="390">
        <v>776</v>
      </c>
      <c r="O106" s="192">
        <f t="shared" si="7"/>
        <v>3379</v>
      </c>
      <c r="P106" s="30">
        <v>20</v>
      </c>
      <c r="Q106" s="28">
        <v>0</v>
      </c>
      <c r="R106" s="28">
        <v>0</v>
      </c>
      <c r="S106" s="281"/>
    </row>
    <row r="107" spans="1:19" ht="12.75">
      <c r="A107" s="28">
        <v>711</v>
      </c>
      <c r="B107" s="29" t="s">
        <v>109</v>
      </c>
      <c r="C107" s="28">
        <v>2913</v>
      </c>
      <c r="D107" s="382">
        <v>0</v>
      </c>
      <c r="E107" s="144">
        <v>0</v>
      </c>
      <c r="F107" s="193">
        <f t="shared" si="10"/>
        <v>0</v>
      </c>
      <c r="G107" s="193">
        <v>0</v>
      </c>
      <c r="H107" s="193">
        <v>0</v>
      </c>
      <c r="I107" s="360">
        <f t="shared" si="9"/>
        <v>711</v>
      </c>
      <c r="J107" s="304">
        <v>0</v>
      </c>
      <c r="K107" s="345">
        <v>233</v>
      </c>
      <c r="L107" s="304">
        <v>0</v>
      </c>
      <c r="M107" s="345">
        <v>466</v>
      </c>
      <c r="N107" s="390">
        <v>776</v>
      </c>
      <c r="O107" s="192">
        <f t="shared" si="7"/>
        <v>3379</v>
      </c>
      <c r="P107" s="30">
        <v>0</v>
      </c>
      <c r="Q107" s="28">
        <v>0</v>
      </c>
      <c r="R107" s="28">
        <v>0</v>
      </c>
      <c r="S107" s="281"/>
    </row>
    <row r="108" spans="1:19" ht="12.75">
      <c r="A108" s="28">
        <v>712</v>
      </c>
      <c r="B108" s="29" t="s">
        <v>439</v>
      </c>
      <c r="C108" s="28">
        <v>2913</v>
      </c>
      <c r="D108" s="382">
        <v>0</v>
      </c>
      <c r="E108" s="144">
        <v>0</v>
      </c>
      <c r="F108" s="193">
        <f t="shared" si="10"/>
        <v>0</v>
      </c>
      <c r="G108" s="193">
        <v>0</v>
      </c>
      <c r="H108" s="193">
        <v>0</v>
      </c>
      <c r="I108" s="360">
        <f t="shared" si="9"/>
        <v>712</v>
      </c>
      <c r="J108" s="304">
        <v>0</v>
      </c>
      <c r="K108" s="345">
        <v>233</v>
      </c>
      <c r="L108" s="304">
        <v>0</v>
      </c>
      <c r="M108" s="345">
        <v>466</v>
      </c>
      <c r="N108" s="390">
        <v>776</v>
      </c>
      <c r="O108" s="192">
        <f t="shared" si="7"/>
        <v>3379</v>
      </c>
      <c r="P108" s="30">
        <v>0</v>
      </c>
      <c r="Q108" s="28">
        <v>0</v>
      </c>
      <c r="R108" s="28">
        <v>0</v>
      </c>
      <c r="S108" s="281"/>
    </row>
    <row r="109" spans="1:19" ht="12.75">
      <c r="A109" s="28">
        <v>713</v>
      </c>
      <c r="B109" s="29" t="s">
        <v>110</v>
      </c>
      <c r="C109" s="28">
        <v>2913</v>
      </c>
      <c r="D109" s="382">
        <v>0</v>
      </c>
      <c r="E109" s="144">
        <v>0</v>
      </c>
      <c r="F109" s="193">
        <f t="shared" si="10"/>
        <v>0</v>
      </c>
      <c r="G109" s="193">
        <v>0</v>
      </c>
      <c r="H109" s="193">
        <v>0</v>
      </c>
      <c r="I109" s="360">
        <f t="shared" si="9"/>
        <v>713</v>
      </c>
      <c r="J109" s="304">
        <v>0</v>
      </c>
      <c r="K109" s="345">
        <v>233</v>
      </c>
      <c r="L109" s="304">
        <v>0</v>
      </c>
      <c r="M109" s="345">
        <v>466</v>
      </c>
      <c r="N109" s="390">
        <v>776</v>
      </c>
      <c r="O109" s="192">
        <f t="shared" si="7"/>
        <v>3379</v>
      </c>
      <c r="P109" s="30">
        <v>0</v>
      </c>
      <c r="Q109" s="28">
        <v>0</v>
      </c>
      <c r="R109" s="28">
        <v>0</v>
      </c>
      <c r="S109" s="281"/>
    </row>
    <row r="110" spans="1:19" ht="12.75">
      <c r="A110" s="28">
        <v>714</v>
      </c>
      <c r="B110" s="29" t="s">
        <v>111</v>
      </c>
      <c r="C110" s="28">
        <v>2913</v>
      </c>
      <c r="D110" s="382">
        <v>0</v>
      </c>
      <c r="E110" s="144">
        <v>0</v>
      </c>
      <c r="F110" s="193">
        <f t="shared" si="10"/>
        <v>0</v>
      </c>
      <c r="G110" s="193">
        <v>0</v>
      </c>
      <c r="H110" s="193">
        <v>0</v>
      </c>
      <c r="I110" s="360">
        <f t="shared" si="9"/>
        <v>714</v>
      </c>
      <c r="J110" s="304">
        <v>0</v>
      </c>
      <c r="K110" s="304">
        <f>D110*0.09</f>
        <v>0</v>
      </c>
      <c r="L110" s="304">
        <v>0</v>
      </c>
      <c r="M110" s="304">
        <v>0</v>
      </c>
      <c r="N110" s="390">
        <f>M110*1.1</f>
        <v>0</v>
      </c>
      <c r="O110" s="192">
        <f t="shared" si="7"/>
        <v>2913</v>
      </c>
      <c r="P110" s="30">
        <v>0</v>
      </c>
      <c r="Q110" s="28">
        <v>0</v>
      </c>
      <c r="R110" s="28">
        <v>0</v>
      </c>
      <c r="S110" s="281"/>
    </row>
    <row r="111" spans="1:19" ht="12.75">
      <c r="A111" s="28">
        <v>715</v>
      </c>
      <c r="B111" s="29" t="s">
        <v>112</v>
      </c>
      <c r="C111" s="28">
        <v>1912</v>
      </c>
      <c r="D111" s="382">
        <v>47</v>
      </c>
      <c r="E111" s="144">
        <v>47</v>
      </c>
      <c r="F111" s="193">
        <f t="shared" si="10"/>
        <v>47</v>
      </c>
      <c r="G111" s="193">
        <v>47</v>
      </c>
      <c r="H111" s="193">
        <v>47</v>
      </c>
      <c r="I111" s="360">
        <f t="shared" si="9"/>
        <v>715</v>
      </c>
      <c r="J111" s="304">
        <v>0</v>
      </c>
      <c r="K111" s="304">
        <v>230</v>
      </c>
      <c r="L111" s="304">
        <v>47</v>
      </c>
      <c r="M111" s="304">
        <v>460</v>
      </c>
      <c r="N111" s="390">
        <f aca="true" t="shared" si="11" ref="N111:N127">M111*1.33333</f>
        <v>613.3317999999999</v>
      </c>
      <c r="O111" s="192">
        <f t="shared" si="7"/>
        <v>2419</v>
      </c>
      <c r="P111" s="30">
        <v>0</v>
      </c>
      <c r="Q111" s="28">
        <v>42</v>
      </c>
      <c r="R111" s="28">
        <v>0</v>
      </c>
      <c r="S111" s="281"/>
    </row>
    <row r="112" spans="1:19" ht="12.75">
      <c r="A112" s="28">
        <v>716</v>
      </c>
      <c r="B112" s="29" t="s">
        <v>113</v>
      </c>
      <c r="C112" s="28">
        <v>1942</v>
      </c>
      <c r="D112" s="382">
        <v>43</v>
      </c>
      <c r="E112" s="144">
        <v>43</v>
      </c>
      <c r="F112" s="193">
        <f t="shared" si="10"/>
        <v>43</v>
      </c>
      <c r="G112" s="193">
        <v>43</v>
      </c>
      <c r="H112" s="193">
        <v>43</v>
      </c>
      <c r="I112" s="360">
        <f t="shared" si="9"/>
        <v>716</v>
      </c>
      <c r="J112" s="304">
        <v>0</v>
      </c>
      <c r="K112" s="346">
        <v>194</v>
      </c>
      <c r="L112" s="304">
        <v>43</v>
      </c>
      <c r="M112" s="346">
        <v>388</v>
      </c>
      <c r="N112" s="390">
        <f t="shared" si="11"/>
        <v>517.33204</v>
      </c>
      <c r="O112" s="192">
        <f t="shared" si="7"/>
        <v>2373</v>
      </c>
      <c r="P112" s="30">
        <v>0</v>
      </c>
      <c r="Q112" s="28">
        <v>0</v>
      </c>
      <c r="R112" s="28">
        <v>0</v>
      </c>
      <c r="S112" s="282">
        <v>782</v>
      </c>
    </row>
    <row r="113" spans="1:19" ht="12.75">
      <c r="A113" s="28">
        <v>717</v>
      </c>
      <c r="B113" s="29" t="s">
        <v>448</v>
      </c>
      <c r="C113" s="28">
        <v>2100</v>
      </c>
      <c r="D113" s="382">
        <v>23</v>
      </c>
      <c r="E113" s="144">
        <v>23</v>
      </c>
      <c r="F113" s="193">
        <f t="shared" si="10"/>
        <v>23</v>
      </c>
      <c r="G113" s="193">
        <v>23</v>
      </c>
      <c r="H113" s="193">
        <v>23</v>
      </c>
      <c r="I113" s="360">
        <f t="shared" si="9"/>
        <v>717</v>
      </c>
      <c r="J113" s="304">
        <v>0</v>
      </c>
      <c r="K113" s="346">
        <v>194</v>
      </c>
      <c r="L113" s="304">
        <v>23</v>
      </c>
      <c r="M113" s="346">
        <v>388</v>
      </c>
      <c r="N113" s="390">
        <f t="shared" si="11"/>
        <v>517.33204</v>
      </c>
      <c r="O113" s="192">
        <f t="shared" si="7"/>
        <v>2511</v>
      </c>
      <c r="P113" s="30">
        <v>150</v>
      </c>
      <c r="Q113" s="28">
        <v>0</v>
      </c>
      <c r="R113" s="28">
        <v>0</v>
      </c>
      <c r="S113" s="281"/>
    </row>
    <row r="114" spans="1:19" ht="12.75">
      <c r="A114" s="28">
        <v>718</v>
      </c>
      <c r="B114" s="29" t="s">
        <v>114</v>
      </c>
      <c r="C114" s="28">
        <v>1942</v>
      </c>
      <c r="D114" s="382">
        <v>43</v>
      </c>
      <c r="E114" s="144">
        <v>43</v>
      </c>
      <c r="F114" s="193">
        <f t="shared" si="10"/>
        <v>43</v>
      </c>
      <c r="G114" s="193">
        <v>43</v>
      </c>
      <c r="H114" s="193">
        <v>43</v>
      </c>
      <c r="I114" s="360">
        <f t="shared" si="9"/>
        <v>718</v>
      </c>
      <c r="J114" s="304">
        <v>0</v>
      </c>
      <c r="K114" s="346">
        <v>194</v>
      </c>
      <c r="L114" s="304">
        <v>43</v>
      </c>
      <c r="M114" s="346">
        <v>388</v>
      </c>
      <c r="N114" s="390">
        <f t="shared" si="11"/>
        <v>517.33204</v>
      </c>
      <c r="O114" s="192">
        <f t="shared" si="7"/>
        <v>2373</v>
      </c>
      <c r="P114" s="30">
        <v>17</v>
      </c>
      <c r="Q114" s="28">
        <v>0</v>
      </c>
      <c r="R114" s="28">
        <v>0</v>
      </c>
      <c r="S114" s="281"/>
    </row>
    <row r="115" spans="1:19" ht="12.75">
      <c r="A115" s="28">
        <v>719</v>
      </c>
      <c r="B115" s="29" t="s">
        <v>115</v>
      </c>
      <c r="C115" s="28">
        <v>1782</v>
      </c>
      <c r="D115" s="382">
        <v>64</v>
      </c>
      <c r="E115" s="144">
        <v>64</v>
      </c>
      <c r="F115" s="193">
        <f t="shared" si="10"/>
        <v>64</v>
      </c>
      <c r="G115" s="193">
        <v>64</v>
      </c>
      <c r="H115" s="193">
        <v>64</v>
      </c>
      <c r="I115" s="360">
        <f t="shared" si="9"/>
        <v>719</v>
      </c>
      <c r="J115" s="304">
        <v>0</v>
      </c>
      <c r="K115" s="346">
        <v>175</v>
      </c>
      <c r="L115" s="304">
        <v>64</v>
      </c>
      <c r="M115" s="346">
        <v>349</v>
      </c>
      <c r="N115" s="390">
        <f t="shared" si="11"/>
        <v>465.33216999999996</v>
      </c>
      <c r="O115" s="192">
        <f t="shared" si="7"/>
        <v>2195</v>
      </c>
      <c r="P115" s="30">
        <v>0</v>
      </c>
      <c r="Q115" s="28">
        <v>0</v>
      </c>
      <c r="R115" s="28">
        <v>0</v>
      </c>
      <c r="S115" s="282">
        <v>782</v>
      </c>
    </row>
    <row r="116" spans="1:19" ht="12.75">
      <c r="A116" s="28">
        <v>720</v>
      </c>
      <c r="B116" s="29" t="s">
        <v>116</v>
      </c>
      <c r="C116" s="28">
        <v>1782</v>
      </c>
      <c r="D116" s="382">
        <v>64</v>
      </c>
      <c r="E116" s="144">
        <v>64</v>
      </c>
      <c r="F116" s="193">
        <f t="shared" si="10"/>
        <v>64</v>
      </c>
      <c r="G116" s="193">
        <v>64</v>
      </c>
      <c r="H116" s="193">
        <v>64</v>
      </c>
      <c r="I116" s="360">
        <f t="shared" si="9"/>
        <v>720</v>
      </c>
      <c r="J116" s="304">
        <v>0</v>
      </c>
      <c r="K116" s="346">
        <v>175</v>
      </c>
      <c r="L116" s="304">
        <v>64</v>
      </c>
      <c r="M116" s="346">
        <v>349</v>
      </c>
      <c r="N116" s="390">
        <f t="shared" si="11"/>
        <v>465.33216999999996</v>
      </c>
      <c r="O116" s="192">
        <f t="shared" si="7"/>
        <v>2195</v>
      </c>
      <c r="P116" s="30">
        <v>17</v>
      </c>
      <c r="Q116" s="28">
        <v>0</v>
      </c>
      <c r="R116" s="28">
        <v>0</v>
      </c>
      <c r="S116" s="281"/>
    </row>
    <row r="117" spans="1:19" ht="12.75">
      <c r="A117" s="28">
        <v>721</v>
      </c>
      <c r="B117" s="29" t="s">
        <v>117</v>
      </c>
      <c r="C117" s="28">
        <v>1942</v>
      </c>
      <c r="D117" s="382">
        <v>43</v>
      </c>
      <c r="E117" s="144">
        <v>43</v>
      </c>
      <c r="F117" s="193">
        <f t="shared" si="10"/>
        <v>43</v>
      </c>
      <c r="G117" s="193">
        <v>43</v>
      </c>
      <c r="H117" s="193">
        <v>43</v>
      </c>
      <c r="I117" s="360">
        <f t="shared" si="9"/>
        <v>721</v>
      </c>
      <c r="J117" s="304">
        <v>0</v>
      </c>
      <c r="K117" s="346">
        <v>194</v>
      </c>
      <c r="L117" s="304">
        <v>43</v>
      </c>
      <c r="M117" s="346">
        <v>388</v>
      </c>
      <c r="N117" s="390">
        <f t="shared" si="11"/>
        <v>517.33204</v>
      </c>
      <c r="O117" s="192">
        <f t="shared" si="7"/>
        <v>2373</v>
      </c>
      <c r="P117" s="30">
        <v>150</v>
      </c>
      <c r="Q117" s="28">
        <v>0</v>
      </c>
      <c r="R117" s="28">
        <v>0</v>
      </c>
      <c r="S117" s="281"/>
    </row>
    <row r="118" spans="1:19" ht="12.75">
      <c r="A118" s="28">
        <v>722</v>
      </c>
      <c r="B118" s="29" t="s">
        <v>118</v>
      </c>
      <c r="C118" s="28">
        <v>1692</v>
      </c>
      <c r="D118" s="382">
        <v>76</v>
      </c>
      <c r="E118" s="144">
        <v>76</v>
      </c>
      <c r="F118" s="193">
        <f t="shared" si="10"/>
        <v>76</v>
      </c>
      <c r="G118" s="193">
        <v>76</v>
      </c>
      <c r="H118" s="193">
        <v>76</v>
      </c>
      <c r="I118" s="360">
        <f t="shared" si="9"/>
        <v>722</v>
      </c>
      <c r="J118" s="304">
        <v>0</v>
      </c>
      <c r="K118" s="346">
        <v>136</v>
      </c>
      <c r="L118" s="304">
        <v>76</v>
      </c>
      <c r="M118" s="346">
        <v>272</v>
      </c>
      <c r="N118" s="390">
        <f t="shared" si="11"/>
        <v>362.66576</v>
      </c>
      <c r="O118" s="192">
        <f t="shared" si="7"/>
        <v>2040</v>
      </c>
      <c r="P118" s="30">
        <v>0</v>
      </c>
      <c r="Q118" s="28">
        <v>0</v>
      </c>
      <c r="R118" s="28">
        <v>0</v>
      </c>
      <c r="S118" s="282">
        <v>744</v>
      </c>
    </row>
    <row r="119" spans="1:19" ht="12.75">
      <c r="A119" s="28">
        <v>723</v>
      </c>
      <c r="B119" s="29" t="s">
        <v>119</v>
      </c>
      <c r="C119" s="28">
        <v>1700</v>
      </c>
      <c r="D119" s="382">
        <v>75</v>
      </c>
      <c r="E119" s="144">
        <v>75</v>
      </c>
      <c r="F119" s="193">
        <f t="shared" si="10"/>
        <v>75</v>
      </c>
      <c r="G119" s="193">
        <v>75</v>
      </c>
      <c r="H119" s="193">
        <v>75</v>
      </c>
      <c r="I119" s="360">
        <f t="shared" si="9"/>
        <v>723</v>
      </c>
      <c r="J119" s="304">
        <v>0</v>
      </c>
      <c r="K119" s="346">
        <v>116</v>
      </c>
      <c r="L119" s="304">
        <v>75</v>
      </c>
      <c r="M119" s="346">
        <v>233</v>
      </c>
      <c r="N119" s="390">
        <f t="shared" si="11"/>
        <v>310.66589</v>
      </c>
      <c r="O119" s="192">
        <f t="shared" si="7"/>
        <v>2008</v>
      </c>
      <c r="P119" s="30">
        <v>0</v>
      </c>
      <c r="Q119" s="28">
        <v>0</v>
      </c>
      <c r="R119" s="28">
        <v>0</v>
      </c>
      <c r="S119" s="282">
        <v>769</v>
      </c>
    </row>
    <row r="120" spans="1:19" ht="12.75">
      <c r="A120" s="28">
        <v>724</v>
      </c>
      <c r="B120" s="29" t="s">
        <v>120</v>
      </c>
      <c r="C120" s="28">
        <v>1942</v>
      </c>
      <c r="D120" s="382">
        <v>43</v>
      </c>
      <c r="E120" s="144">
        <v>43</v>
      </c>
      <c r="F120" s="193">
        <f t="shared" si="10"/>
        <v>43</v>
      </c>
      <c r="G120" s="193">
        <v>43</v>
      </c>
      <c r="H120" s="193">
        <v>43</v>
      </c>
      <c r="I120" s="360">
        <f t="shared" si="9"/>
        <v>724</v>
      </c>
      <c r="J120" s="304">
        <v>0</v>
      </c>
      <c r="K120" s="304">
        <v>233</v>
      </c>
      <c r="L120" s="304">
        <v>43</v>
      </c>
      <c r="M120" s="304">
        <v>466</v>
      </c>
      <c r="N120" s="390">
        <f t="shared" si="11"/>
        <v>621.33178</v>
      </c>
      <c r="O120" s="192">
        <f t="shared" si="7"/>
        <v>2451</v>
      </c>
      <c r="P120" s="30">
        <v>150</v>
      </c>
      <c r="Q120" s="28">
        <v>0</v>
      </c>
      <c r="R120" s="28">
        <v>0</v>
      </c>
      <c r="S120" s="281"/>
    </row>
    <row r="121" spans="1:19" ht="12.75">
      <c r="A121" s="28">
        <v>725</v>
      </c>
      <c r="B121" s="29" t="s">
        <v>121</v>
      </c>
      <c r="C121" s="28">
        <v>1592</v>
      </c>
      <c r="D121" s="382">
        <v>89</v>
      </c>
      <c r="E121" s="144">
        <v>89</v>
      </c>
      <c r="F121" s="193">
        <f t="shared" si="10"/>
        <v>89</v>
      </c>
      <c r="G121" s="193">
        <v>89</v>
      </c>
      <c r="H121" s="193">
        <v>89</v>
      </c>
      <c r="I121" s="360">
        <f t="shared" si="9"/>
        <v>725</v>
      </c>
      <c r="J121" s="304">
        <v>0</v>
      </c>
      <c r="K121" s="304">
        <v>116</v>
      </c>
      <c r="L121" s="304">
        <v>89</v>
      </c>
      <c r="M121" s="304">
        <v>233</v>
      </c>
      <c r="N121" s="390">
        <f t="shared" si="11"/>
        <v>310.66589</v>
      </c>
      <c r="O121" s="192">
        <f t="shared" si="7"/>
        <v>1914</v>
      </c>
      <c r="P121" s="30">
        <v>0</v>
      </c>
      <c r="Q121" s="28">
        <v>0</v>
      </c>
      <c r="R121" s="28">
        <v>0</v>
      </c>
      <c r="S121" s="282">
        <v>738</v>
      </c>
    </row>
    <row r="122" spans="1:19" ht="12.75">
      <c r="A122" s="28">
        <v>726</v>
      </c>
      <c r="B122" s="29" t="s">
        <v>122</v>
      </c>
      <c r="C122" s="28">
        <v>1500</v>
      </c>
      <c r="D122" s="382">
        <v>101</v>
      </c>
      <c r="E122" s="144">
        <v>101</v>
      </c>
      <c r="F122" s="193">
        <f t="shared" si="10"/>
        <v>101</v>
      </c>
      <c r="G122" s="193">
        <v>101</v>
      </c>
      <c r="H122" s="193">
        <v>101</v>
      </c>
      <c r="I122" s="360">
        <f t="shared" si="9"/>
        <v>726</v>
      </c>
      <c r="J122" s="304">
        <v>0</v>
      </c>
      <c r="K122" s="304">
        <v>0</v>
      </c>
      <c r="L122" s="304">
        <v>101</v>
      </c>
      <c r="M122" s="304">
        <v>0</v>
      </c>
      <c r="N122" s="390">
        <f>M122*1.1</f>
        <v>0</v>
      </c>
      <c r="O122" s="192">
        <f t="shared" si="7"/>
        <v>1601</v>
      </c>
      <c r="P122" s="30">
        <v>150</v>
      </c>
      <c r="Q122" s="28">
        <v>0</v>
      </c>
      <c r="R122" s="28">
        <v>0</v>
      </c>
      <c r="S122" s="281"/>
    </row>
    <row r="123" spans="1:19" ht="12.75">
      <c r="A123" s="32">
        <v>727</v>
      </c>
      <c r="B123" s="350" t="s">
        <v>123</v>
      </c>
      <c r="C123" s="351">
        <v>1600</v>
      </c>
      <c r="D123" s="382">
        <v>88</v>
      </c>
      <c r="E123" s="349">
        <v>88</v>
      </c>
      <c r="F123" s="346">
        <f t="shared" si="10"/>
        <v>88</v>
      </c>
      <c r="G123" s="346">
        <v>88</v>
      </c>
      <c r="H123" s="346">
        <v>88</v>
      </c>
      <c r="I123" s="362">
        <f t="shared" si="9"/>
        <v>727</v>
      </c>
      <c r="J123" s="346">
        <v>0</v>
      </c>
      <c r="K123" s="346">
        <v>116</v>
      </c>
      <c r="L123" s="304">
        <v>88</v>
      </c>
      <c r="M123" s="346">
        <v>233</v>
      </c>
      <c r="N123" s="390">
        <f t="shared" si="11"/>
        <v>310.66589</v>
      </c>
      <c r="O123" s="192">
        <f t="shared" si="7"/>
        <v>1921</v>
      </c>
      <c r="P123" s="33">
        <v>0</v>
      </c>
      <c r="Q123" s="32">
        <v>0</v>
      </c>
      <c r="R123" s="32">
        <v>0</v>
      </c>
      <c r="S123" s="282">
        <v>738</v>
      </c>
    </row>
    <row r="124" spans="1:19" ht="12.75">
      <c r="A124" s="28">
        <v>728</v>
      </c>
      <c r="B124" s="29" t="s">
        <v>124</v>
      </c>
      <c r="C124" s="28">
        <v>1360</v>
      </c>
      <c r="D124" s="382">
        <v>120</v>
      </c>
      <c r="E124" s="144">
        <v>120</v>
      </c>
      <c r="F124" s="193">
        <f t="shared" si="10"/>
        <v>120</v>
      </c>
      <c r="G124" s="193">
        <v>120</v>
      </c>
      <c r="H124" s="193">
        <v>120</v>
      </c>
      <c r="I124" s="360">
        <f t="shared" si="9"/>
        <v>728</v>
      </c>
      <c r="J124" s="304">
        <v>0</v>
      </c>
      <c r="K124" s="304">
        <v>116</v>
      </c>
      <c r="L124" s="304">
        <v>120</v>
      </c>
      <c r="M124" s="304">
        <v>233</v>
      </c>
      <c r="N124" s="390">
        <f t="shared" si="11"/>
        <v>310.66589</v>
      </c>
      <c r="O124" s="192">
        <f t="shared" si="7"/>
        <v>1713</v>
      </c>
      <c r="P124" s="30">
        <v>17</v>
      </c>
      <c r="Q124" s="28">
        <v>0</v>
      </c>
      <c r="R124" s="28">
        <v>0</v>
      </c>
      <c r="S124" s="281"/>
    </row>
    <row r="125" spans="1:19" ht="12.75">
      <c r="A125" s="28">
        <v>729</v>
      </c>
      <c r="B125" s="29" t="s">
        <v>125</v>
      </c>
      <c r="C125" s="28">
        <v>1692</v>
      </c>
      <c r="D125" s="382">
        <v>76</v>
      </c>
      <c r="E125" s="144">
        <v>76</v>
      </c>
      <c r="F125" s="193">
        <f t="shared" si="10"/>
        <v>76</v>
      </c>
      <c r="G125" s="193">
        <v>76</v>
      </c>
      <c r="H125" s="193">
        <v>76</v>
      </c>
      <c r="I125" s="360">
        <f t="shared" si="9"/>
        <v>729</v>
      </c>
      <c r="J125" s="304">
        <v>0</v>
      </c>
      <c r="K125" s="346">
        <v>194</v>
      </c>
      <c r="L125" s="304">
        <v>76</v>
      </c>
      <c r="M125" s="346">
        <v>388</v>
      </c>
      <c r="N125" s="390">
        <f t="shared" si="11"/>
        <v>517.33204</v>
      </c>
      <c r="O125" s="192">
        <f t="shared" si="7"/>
        <v>2156</v>
      </c>
      <c r="P125" s="30">
        <v>0</v>
      </c>
      <c r="Q125" s="28">
        <v>0</v>
      </c>
      <c r="R125" s="28">
        <v>0</v>
      </c>
      <c r="S125" s="281"/>
    </row>
    <row r="126" spans="1:19" ht="12.75">
      <c r="A126" s="28">
        <v>730</v>
      </c>
      <c r="B126" s="29" t="s">
        <v>126</v>
      </c>
      <c r="C126" s="28">
        <v>1700</v>
      </c>
      <c r="D126" s="382">
        <v>75</v>
      </c>
      <c r="E126" s="144">
        <v>75</v>
      </c>
      <c r="F126" s="193">
        <f t="shared" si="10"/>
        <v>75</v>
      </c>
      <c r="G126" s="193">
        <v>75</v>
      </c>
      <c r="H126" s="193">
        <v>75</v>
      </c>
      <c r="I126" s="360">
        <f t="shared" si="9"/>
        <v>730</v>
      </c>
      <c r="J126" s="304">
        <v>0</v>
      </c>
      <c r="K126" s="346">
        <v>194</v>
      </c>
      <c r="L126" s="304">
        <v>75</v>
      </c>
      <c r="M126" s="346">
        <v>388</v>
      </c>
      <c r="N126" s="390">
        <f t="shared" si="11"/>
        <v>517.33204</v>
      </c>
      <c r="O126" s="192">
        <f t="shared" si="7"/>
        <v>2163</v>
      </c>
      <c r="P126" s="30">
        <v>0</v>
      </c>
      <c r="Q126" s="28">
        <v>0</v>
      </c>
      <c r="R126" s="28">
        <v>0</v>
      </c>
      <c r="S126" s="281"/>
    </row>
    <row r="127" spans="1:19" ht="12.75">
      <c r="A127" s="28">
        <v>731</v>
      </c>
      <c r="B127" s="29" t="s">
        <v>127</v>
      </c>
      <c r="C127" s="28">
        <v>1592</v>
      </c>
      <c r="D127" s="382">
        <v>89</v>
      </c>
      <c r="E127" s="144">
        <v>89</v>
      </c>
      <c r="F127" s="193">
        <f t="shared" si="10"/>
        <v>89</v>
      </c>
      <c r="G127" s="193">
        <v>89</v>
      </c>
      <c r="H127" s="193">
        <v>89</v>
      </c>
      <c r="I127" s="360">
        <f t="shared" si="9"/>
        <v>731</v>
      </c>
      <c r="J127" s="304">
        <v>0</v>
      </c>
      <c r="K127" s="346">
        <v>175</v>
      </c>
      <c r="L127" s="304">
        <v>89</v>
      </c>
      <c r="M127" s="346">
        <v>349</v>
      </c>
      <c r="N127" s="390">
        <f t="shared" si="11"/>
        <v>465.33216999999996</v>
      </c>
      <c r="O127" s="192">
        <f t="shared" si="7"/>
        <v>2030</v>
      </c>
      <c r="P127" s="30">
        <v>0</v>
      </c>
      <c r="Q127" s="28">
        <v>0</v>
      </c>
      <c r="R127" s="28">
        <v>0</v>
      </c>
      <c r="S127" s="281"/>
    </row>
    <row r="128" spans="1:19" ht="12.75">
      <c r="A128" s="28">
        <v>732</v>
      </c>
      <c r="B128" s="29" t="s">
        <v>128</v>
      </c>
      <c r="C128" s="28">
        <v>971</v>
      </c>
      <c r="D128" s="382">
        <v>170</v>
      </c>
      <c r="E128" s="366">
        <v>216</v>
      </c>
      <c r="F128" s="193">
        <v>261</v>
      </c>
      <c r="G128" s="304">
        <v>327</v>
      </c>
      <c r="H128" s="304">
        <v>350</v>
      </c>
      <c r="I128" s="360">
        <f t="shared" si="9"/>
        <v>732</v>
      </c>
      <c r="J128" s="304">
        <v>0</v>
      </c>
      <c r="K128" s="304">
        <v>0</v>
      </c>
      <c r="L128" s="304">
        <v>414.7</v>
      </c>
      <c r="M128" s="304">
        <v>0</v>
      </c>
      <c r="N128" s="390">
        <f>M128*1.1</f>
        <v>0</v>
      </c>
      <c r="O128" s="192">
        <f t="shared" si="7"/>
        <v>1298</v>
      </c>
      <c r="P128" s="30">
        <v>150</v>
      </c>
      <c r="Q128" s="28">
        <v>0</v>
      </c>
      <c r="R128" s="28">
        <v>0</v>
      </c>
      <c r="S128" s="281"/>
    </row>
    <row r="129" spans="1:19" ht="12.75">
      <c r="A129" s="28">
        <v>733</v>
      </c>
      <c r="B129" s="29" t="s">
        <v>129</v>
      </c>
      <c r="C129" s="28">
        <v>1150</v>
      </c>
      <c r="D129" s="382">
        <v>147</v>
      </c>
      <c r="E129" s="144">
        <v>147</v>
      </c>
      <c r="F129" s="193">
        <f>IF(C129&lt;972,E129+44,E129)</f>
        <v>147</v>
      </c>
      <c r="G129" s="193">
        <v>147</v>
      </c>
      <c r="H129" s="193">
        <v>147</v>
      </c>
      <c r="I129" s="360">
        <f t="shared" si="9"/>
        <v>733</v>
      </c>
      <c r="J129" s="304">
        <v>0</v>
      </c>
      <c r="K129" s="304">
        <v>0</v>
      </c>
      <c r="L129" s="304">
        <v>147</v>
      </c>
      <c r="M129" s="304">
        <v>0</v>
      </c>
      <c r="N129" s="390">
        <f>M129*1.1</f>
        <v>0</v>
      </c>
      <c r="O129" s="192">
        <f t="shared" si="7"/>
        <v>1297</v>
      </c>
      <c r="P129" s="30">
        <v>0</v>
      </c>
      <c r="Q129" s="28">
        <v>0</v>
      </c>
      <c r="R129" s="28">
        <v>0</v>
      </c>
      <c r="S129" s="281"/>
    </row>
    <row r="130" spans="1:19" ht="12.75">
      <c r="A130" s="28">
        <v>734</v>
      </c>
      <c r="B130" s="29" t="s">
        <v>130</v>
      </c>
      <c r="C130" s="28">
        <v>1500</v>
      </c>
      <c r="D130" s="382">
        <v>101</v>
      </c>
      <c r="E130" s="144">
        <v>101</v>
      </c>
      <c r="F130" s="193">
        <f>IF(C130&lt;972,E130+44,E130)</f>
        <v>101</v>
      </c>
      <c r="G130" s="193">
        <v>101</v>
      </c>
      <c r="H130" s="193">
        <v>101</v>
      </c>
      <c r="I130" s="360">
        <f t="shared" si="9"/>
        <v>734</v>
      </c>
      <c r="J130" s="304">
        <v>0</v>
      </c>
      <c r="K130" s="304">
        <v>0</v>
      </c>
      <c r="L130" s="304">
        <v>101</v>
      </c>
      <c r="M130" s="304">
        <v>0</v>
      </c>
      <c r="N130" s="390">
        <f>M130*1.1</f>
        <v>0</v>
      </c>
      <c r="O130" s="192">
        <f t="shared" si="7"/>
        <v>1601</v>
      </c>
      <c r="P130" s="30">
        <v>150</v>
      </c>
      <c r="Q130" s="28">
        <v>0</v>
      </c>
      <c r="R130" s="28">
        <v>0</v>
      </c>
      <c r="S130" s="281"/>
    </row>
    <row r="131" spans="1:19" ht="12.75">
      <c r="A131" s="28">
        <v>735</v>
      </c>
      <c r="B131" s="29" t="s">
        <v>131</v>
      </c>
      <c r="C131" s="28">
        <v>971</v>
      </c>
      <c r="D131" s="382">
        <v>170</v>
      </c>
      <c r="E131" s="366">
        <v>216</v>
      </c>
      <c r="F131" s="193">
        <v>261</v>
      </c>
      <c r="G131" s="304">
        <v>327</v>
      </c>
      <c r="H131" s="304">
        <v>350</v>
      </c>
      <c r="I131" s="360">
        <f t="shared" si="9"/>
        <v>735</v>
      </c>
      <c r="J131" s="304">
        <v>0</v>
      </c>
      <c r="K131" s="304">
        <v>0</v>
      </c>
      <c r="L131" s="304">
        <v>414.7</v>
      </c>
      <c r="M131" s="304">
        <v>0</v>
      </c>
      <c r="N131" s="390">
        <f>M131*1.1</f>
        <v>0</v>
      </c>
      <c r="O131" s="192">
        <f aca="true" t="shared" si="12" ref="O131:O194">C131+G131+M131</f>
        <v>1298</v>
      </c>
      <c r="P131" s="30">
        <v>150</v>
      </c>
      <c r="Q131" s="28">
        <v>0</v>
      </c>
      <c r="R131" s="28">
        <v>0</v>
      </c>
      <c r="S131" s="281"/>
    </row>
    <row r="132" spans="1:19" ht="12.75">
      <c r="A132" s="28">
        <v>736</v>
      </c>
      <c r="B132" s="29" t="s">
        <v>132</v>
      </c>
      <c r="C132" s="28">
        <v>1600</v>
      </c>
      <c r="D132" s="382">
        <v>88</v>
      </c>
      <c r="E132" s="144">
        <v>88</v>
      </c>
      <c r="F132" s="193">
        <f>IF(C132&lt;972,E132+44,E132)</f>
        <v>88</v>
      </c>
      <c r="G132" s="193">
        <v>88</v>
      </c>
      <c r="H132" s="193">
        <v>88</v>
      </c>
      <c r="I132" s="360">
        <f t="shared" si="9"/>
        <v>736</v>
      </c>
      <c r="J132" s="304">
        <v>0</v>
      </c>
      <c r="K132" s="346">
        <v>194</v>
      </c>
      <c r="L132" s="304">
        <v>88</v>
      </c>
      <c r="M132" s="346">
        <v>388</v>
      </c>
      <c r="N132" s="390">
        <f>M132*1.33333</f>
        <v>517.33204</v>
      </c>
      <c r="O132" s="192">
        <f t="shared" si="12"/>
        <v>2076</v>
      </c>
      <c r="P132" s="30">
        <v>0</v>
      </c>
      <c r="Q132" s="28">
        <v>0</v>
      </c>
      <c r="R132" s="28">
        <v>0</v>
      </c>
      <c r="S132" s="281"/>
    </row>
    <row r="133" spans="1:19" ht="12.75">
      <c r="A133" s="28">
        <v>737</v>
      </c>
      <c r="B133" s="29" t="s">
        <v>133</v>
      </c>
      <c r="C133" s="28">
        <v>971</v>
      </c>
      <c r="D133" s="382">
        <v>170</v>
      </c>
      <c r="E133" s="366">
        <v>216</v>
      </c>
      <c r="F133" s="193">
        <v>261</v>
      </c>
      <c r="G133" s="304">
        <v>327</v>
      </c>
      <c r="H133" s="304">
        <v>350</v>
      </c>
      <c r="I133" s="360">
        <f t="shared" si="9"/>
        <v>737</v>
      </c>
      <c r="J133" s="304">
        <v>0</v>
      </c>
      <c r="K133" s="304">
        <v>0</v>
      </c>
      <c r="L133" s="304">
        <v>414.7</v>
      </c>
      <c r="M133" s="304">
        <v>0</v>
      </c>
      <c r="N133" s="390">
        <f>M133*1.1</f>
        <v>0</v>
      </c>
      <c r="O133" s="192">
        <f t="shared" si="12"/>
        <v>1298</v>
      </c>
      <c r="P133" s="30">
        <v>150</v>
      </c>
      <c r="Q133" s="28">
        <v>0</v>
      </c>
      <c r="R133" s="28">
        <v>0</v>
      </c>
      <c r="S133" s="281"/>
    </row>
    <row r="134" spans="1:19" ht="12.75">
      <c r="A134" s="28">
        <v>738</v>
      </c>
      <c r="B134" s="29" t="s">
        <v>134</v>
      </c>
      <c r="C134" s="28">
        <v>971</v>
      </c>
      <c r="D134" s="382">
        <v>170</v>
      </c>
      <c r="E134" s="366">
        <v>216</v>
      </c>
      <c r="F134" s="193">
        <v>261</v>
      </c>
      <c r="G134" s="304">
        <v>327</v>
      </c>
      <c r="H134" s="304">
        <v>350</v>
      </c>
      <c r="I134" s="360">
        <f aca="true" t="shared" si="13" ref="I134:I198">A134</f>
        <v>738</v>
      </c>
      <c r="J134" s="304">
        <v>0</v>
      </c>
      <c r="K134" s="304">
        <v>0</v>
      </c>
      <c r="L134" s="304">
        <v>414.7</v>
      </c>
      <c r="M134" s="304">
        <v>0</v>
      </c>
      <c r="N134" s="390">
        <f>M134*1.1</f>
        <v>0</v>
      </c>
      <c r="O134" s="192">
        <f t="shared" si="12"/>
        <v>1298</v>
      </c>
      <c r="P134" s="30">
        <v>17</v>
      </c>
      <c r="Q134" s="28">
        <v>0</v>
      </c>
      <c r="R134" s="28">
        <v>0</v>
      </c>
      <c r="S134" s="281"/>
    </row>
    <row r="135" spans="1:19" ht="12.75">
      <c r="A135" s="28">
        <v>739</v>
      </c>
      <c r="B135" s="29" t="s">
        <v>135</v>
      </c>
      <c r="C135" s="28">
        <v>971</v>
      </c>
      <c r="D135" s="382">
        <v>170</v>
      </c>
      <c r="E135" s="366">
        <v>216</v>
      </c>
      <c r="F135" s="193">
        <v>261</v>
      </c>
      <c r="G135" s="304">
        <v>327</v>
      </c>
      <c r="H135" s="304">
        <v>350</v>
      </c>
      <c r="I135" s="360">
        <f t="shared" si="13"/>
        <v>739</v>
      </c>
      <c r="J135" s="304">
        <v>0</v>
      </c>
      <c r="K135" s="304">
        <v>0</v>
      </c>
      <c r="L135" s="304">
        <v>414.7</v>
      </c>
      <c r="M135" s="304">
        <v>0</v>
      </c>
      <c r="N135" s="390">
        <f>M135*1.1</f>
        <v>0</v>
      </c>
      <c r="O135" s="192">
        <f t="shared" si="12"/>
        <v>1298</v>
      </c>
      <c r="P135" s="30">
        <v>150</v>
      </c>
      <c r="Q135" s="28">
        <v>0</v>
      </c>
      <c r="R135" s="28">
        <v>0</v>
      </c>
      <c r="S135" s="281"/>
    </row>
    <row r="136" spans="1:19" ht="12.75">
      <c r="A136" s="28">
        <v>740</v>
      </c>
      <c r="B136" s="29" t="s">
        <v>136</v>
      </c>
      <c r="C136" s="28">
        <v>971</v>
      </c>
      <c r="D136" s="382">
        <v>170</v>
      </c>
      <c r="E136" s="366">
        <v>216</v>
      </c>
      <c r="F136" s="193">
        <v>261</v>
      </c>
      <c r="G136" s="304">
        <v>327</v>
      </c>
      <c r="H136" s="304">
        <v>350</v>
      </c>
      <c r="I136" s="360">
        <f t="shared" si="13"/>
        <v>740</v>
      </c>
      <c r="J136" s="304">
        <v>0</v>
      </c>
      <c r="K136" s="304">
        <v>0</v>
      </c>
      <c r="L136" s="304">
        <v>414.7</v>
      </c>
      <c r="M136" s="304">
        <v>0</v>
      </c>
      <c r="N136" s="390">
        <f>M136*1.1</f>
        <v>0</v>
      </c>
      <c r="O136" s="192">
        <f t="shared" si="12"/>
        <v>1298</v>
      </c>
      <c r="P136" s="30">
        <v>150</v>
      </c>
      <c r="Q136" s="28">
        <v>0</v>
      </c>
      <c r="R136" s="28">
        <v>0</v>
      </c>
      <c r="S136" s="281"/>
    </row>
    <row r="137" spans="1:19" ht="12.75">
      <c r="A137" s="28">
        <v>741</v>
      </c>
      <c r="B137" s="29" t="s">
        <v>137</v>
      </c>
      <c r="C137" s="28">
        <v>1300</v>
      </c>
      <c r="D137" s="382">
        <v>127</v>
      </c>
      <c r="E137" s="144">
        <v>127</v>
      </c>
      <c r="F137" s="193">
        <f>IF(C137&lt;972,E137+44,E137)</f>
        <v>127</v>
      </c>
      <c r="G137" s="193">
        <v>127</v>
      </c>
      <c r="H137" s="193">
        <v>127</v>
      </c>
      <c r="I137" s="360">
        <f t="shared" si="13"/>
        <v>741</v>
      </c>
      <c r="J137" s="304">
        <v>0</v>
      </c>
      <c r="K137" s="346">
        <v>116</v>
      </c>
      <c r="L137" s="304">
        <v>127</v>
      </c>
      <c r="M137" s="346">
        <v>233</v>
      </c>
      <c r="N137" s="390">
        <f>M137*1.33333</f>
        <v>310.66589</v>
      </c>
      <c r="O137" s="192">
        <f t="shared" si="12"/>
        <v>1660</v>
      </c>
      <c r="P137" s="30">
        <v>0</v>
      </c>
      <c r="Q137" s="28">
        <v>0</v>
      </c>
      <c r="R137" s="28">
        <v>0</v>
      </c>
      <c r="S137" s="281"/>
    </row>
    <row r="138" spans="1:19" ht="12.75">
      <c r="A138" s="28">
        <v>742</v>
      </c>
      <c r="B138" s="29" t="s">
        <v>138</v>
      </c>
      <c r="C138" s="28">
        <v>971</v>
      </c>
      <c r="D138" s="382">
        <v>170</v>
      </c>
      <c r="E138" s="366">
        <v>216</v>
      </c>
      <c r="F138" s="193">
        <v>261</v>
      </c>
      <c r="G138" s="304">
        <v>327</v>
      </c>
      <c r="H138" s="304">
        <v>350</v>
      </c>
      <c r="I138" s="360">
        <f t="shared" si="13"/>
        <v>742</v>
      </c>
      <c r="J138" s="304">
        <v>0</v>
      </c>
      <c r="K138" s="304">
        <v>0</v>
      </c>
      <c r="L138" s="304">
        <v>414.7</v>
      </c>
      <c r="M138" s="304">
        <v>0</v>
      </c>
      <c r="N138" s="390">
        <f>M138*1.1</f>
        <v>0</v>
      </c>
      <c r="O138" s="192">
        <f t="shared" si="12"/>
        <v>1298</v>
      </c>
      <c r="P138" s="30">
        <v>150</v>
      </c>
      <c r="Q138" s="28">
        <v>0</v>
      </c>
      <c r="R138" s="28">
        <v>0</v>
      </c>
      <c r="S138" s="281"/>
    </row>
    <row r="139" spans="1:19" ht="12.75">
      <c r="A139" s="34">
        <v>743</v>
      </c>
      <c r="B139" s="35" t="s">
        <v>139</v>
      </c>
      <c r="C139" s="34">
        <v>971</v>
      </c>
      <c r="D139" s="382">
        <v>170</v>
      </c>
      <c r="E139" s="366">
        <v>216</v>
      </c>
      <c r="F139" s="193">
        <v>261</v>
      </c>
      <c r="G139" s="304">
        <v>327</v>
      </c>
      <c r="H139" s="304">
        <v>350</v>
      </c>
      <c r="I139" s="360">
        <f t="shared" si="13"/>
        <v>743</v>
      </c>
      <c r="J139" s="304">
        <v>0</v>
      </c>
      <c r="K139" s="304">
        <v>0</v>
      </c>
      <c r="L139" s="304">
        <v>414.7</v>
      </c>
      <c r="M139" s="304">
        <v>0</v>
      </c>
      <c r="N139" s="390">
        <f>M139*1.1</f>
        <v>0</v>
      </c>
      <c r="O139" s="192">
        <f t="shared" si="12"/>
        <v>1298</v>
      </c>
      <c r="P139" s="36">
        <v>17</v>
      </c>
      <c r="Q139" s="34">
        <v>0</v>
      </c>
      <c r="R139" s="34">
        <v>0</v>
      </c>
      <c r="S139" s="281"/>
    </row>
    <row r="140" spans="1:19" ht="12.75">
      <c r="A140" s="28">
        <v>744</v>
      </c>
      <c r="B140" s="29" t="s">
        <v>140</v>
      </c>
      <c r="C140" s="28">
        <v>1400</v>
      </c>
      <c r="D140" s="382">
        <v>114</v>
      </c>
      <c r="E140" s="144">
        <v>114</v>
      </c>
      <c r="F140" s="193">
        <f>IF(C140&lt;972,E140+44,E140)</f>
        <v>114</v>
      </c>
      <c r="G140" s="193">
        <v>114</v>
      </c>
      <c r="H140" s="193">
        <v>114</v>
      </c>
      <c r="I140" s="360">
        <f t="shared" si="13"/>
        <v>744</v>
      </c>
      <c r="J140" s="304">
        <v>0</v>
      </c>
      <c r="K140" s="352">
        <v>116</v>
      </c>
      <c r="L140" s="304">
        <v>114</v>
      </c>
      <c r="M140" s="352">
        <v>233</v>
      </c>
      <c r="N140" s="390">
        <f>M140*1.33333</f>
        <v>310.66589</v>
      </c>
      <c r="O140" s="192">
        <f t="shared" si="12"/>
        <v>1747</v>
      </c>
      <c r="P140" s="30">
        <v>0</v>
      </c>
      <c r="Q140" s="28">
        <v>0</v>
      </c>
      <c r="R140" s="28">
        <v>0</v>
      </c>
      <c r="S140" s="281"/>
    </row>
    <row r="141" spans="1:19" ht="12.75">
      <c r="A141" s="28">
        <v>745</v>
      </c>
      <c r="B141" s="29" t="s">
        <v>141</v>
      </c>
      <c r="C141" s="28">
        <v>1450</v>
      </c>
      <c r="D141" s="382">
        <v>107</v>
      </c>
      <c r="E141" s="144">
        <v>107</v>
      </c>
      <c r="F141" s="193">
        <f>IF(C141&lt;972,E141+44,E141)</f>
        <v>107</v>
      </c>
      <c r="G141" s="193">
        <v>107</v>
      </c>
      <c r="H141" s="193">
        <v>107</v>
      </c>
      <c r="I141" s="360">
        <f t="shared" si="13"/>
        <v>745</v>
      </c>
      <c r="J141" s="304">
        <v>0</v>
      </c>
      <c r="K141" s="304">
        <v>0</v>
      </c>
      <c r="L141" s="304">
        <v>107</v>
      </c>
      <c r="M141" s="304">
        <v>0</v>
      </c>
      <c r="N141" s="390">
        <f>M141*1.1</f>
        <v>0</v>
      </c>
      <c r="O141" s="192">
        <f t="shared" si="12"/>
        <v>1557</v>
      </c>
      <c r="P141" s="30">
        <v>0</v>
      </c>
      <c r="Q141" s="28">
        <v>0</v>
      </c>
      <c r="R141" s="28">
        <v>0</v>
      </c>
      <c r="S141" s="281"/>
    </row>
    <row r="142" spans="1:19" ht="12.75">
      <c r="A142" s="28">
        <v>746</v>
      </c>
      <c r="B142" s="29" t="s">
        <v>142</v>
      </c>
      <c r="C142" s="28">
        <v>971</v>
      </c>
      <c r="D142" s="382">
        <v>170</v>
      </c>
      <c r="E142" s="366">
        <v>216</v>
      </c>
      <c r="F142" s="193">
        <v>261</v>
      </c>
      <c r="G142" s="304">
        <v>327</v>
      </c>
      <c r="H142" s="304">
        <v>350</v>
      </c>
      <c r="I142" s="360">
        <f t="shared" si="13"/>
        <v>746</v>
      </c>
      <c r="J142" s="304">
        <v>0</v>
      </c>
      <c r="K142" s="304">
        <v>0</v>
      </c>
      <c r="L142" s="304">
        <v>414.7</v>
      </c>
      <c r="M142" s="304">
        <v>0</v>
      </c>
      <c r="N142" s="390">
        <f>M142*1.1</f>
        <v>0</v>
      </c>
      <c r="O142" s="192">
        <f t="shared" si="12"/>
        <v>1298</v>
      </c>
      <c r="P142" s="30">
        <v>150</v>
      </c>
      <c r="Q142" s="28">
        <v>0</v>
      </c>
      <c r="R142" s="28">
        <v>0</v>
      </c>
      <c r="S142" s="281"/>
    </row>
    <row r="143" spans="1:19" ht="12.75">
      <c r="A143" s="28">
        <v>747</v>
      </c>
      <c r="B143" s="29" t="s">
        <v>143</v>
      </c>
      <c r="C143" s="28">
        <v>971</v>
      </c>
      <c r="D143" s="382">
        <v>170</v>
      </c>
      <c r="E143" s="366">
        <v>216</v>
      </c>
      <c r="F143" s="193">
        <v>261</v>
      </c>
      <c r="G143" s="304">
        <v>327</v>
      </c>
      <c r="H143" s="304">
        <v>350</v>
      </c>
      <c r="I143" s="360">
        <f t="shared" si="13"/>
        <v>747</v>
      </c>
      <c r="J143" s="304">
        <v>0</v>
      </c>
      <c r="K143" s="304">
        <v>0</v>
      </c>
      <c r="L143" s="304">
        <v>414.7</v>
      </c>
      <c r="M143" s="304">
        <v>0</v>
      </c>
      <c r="N143" s="390">
        <f>M143*1.1</f>
        <v>0</v>
      </c>
      <c r="O143" s="192">
        <f t="shared" si="12"/>
        <v>1298</v>
      </c>
      <c r="P143" s="30">
        <v>0</v>
      </c>
      <c r="Q143" s="28">
        <v>0</v>
      </c>
      <c r="R143" s="28">
        <v>0</v>
      </c>
      <c r="S143" s="281"/>
    </row>
    <row r="144" spans="1:19" ht="12.75">
      <c r="A144" s="28">
        <v>748</v>
      </c>
      <c r="B144" s="29" t="s">
        <v>144</v>
      </c>
      <c r="C144" s="28">
        <v>1250</v>
      </c>
      <c r="D144" s="382">
        <v>134</v>
      </c>
      <c r="E144" s="144">
        <v>134</v>
      </c>
      <c r="F144" s="193">
        <f>IF(C144&lt;972,E144+44,E144)</f>
        <v>134</v>
      </c>
      <c r="G144" s="193">
        <v>134</v>
      </c>
      <c r="H144" s="193">
        <v>134</v>
      </c>
      <c r="I144" s="360">
        <f t="shared" si="13"/>
        <v>748</v>
      </c>
      <c r="J144" s="304">
        <v>0</v>
      </c>
      <c r="K144" s="346">
        <v>116</v>
      </c>
      <c r="L144" s="304">
        <v>134</v>
      </c>
      <c r="M144" s="346">
        <v>233</v>
      </c>
      <c r="N144" s="390">
        <f>M144*1.33333</f>
        <v>310.66589</v>
      </c>
      <c r="O144" s="192">
        <f t="shared" si="12"/>
        <v>1617</v>
      </c>
      <c r="P144" s="30">
        <v>0</v>
      </c>
      <c r="Q144" s="28">
        <v>0</v>
      </c>
      <c r="R144" s="28">
        <v>0</v>
      </c>
      <c r="S144" s="281"/>
    </row>
    <row r="145" spans="1:19" s="312" customFormat="1" ht="12.75">
      <c r="A145" s="306">
        <v>749</v>
      </c>
      <c r="B145" s="307" t="s">
        <v>52</v>
      </c>
      <c r="C145" s="306">
        <v>971</v>
      </c>
      <c r="D145" s="383">
        <v>170</v>
      </c>
      <c r="E145" s="367">
        <v>216</v>
      </c>
      <c r="F145" s="193">
        <v>261</v>
      </c>
      <c r="G145" s="304">
        <v>327</v>
      </c>
      <c r="H145" s="304">
        <v>350</v>
      </c>
      <c r="I145" s="361">
        <f t="shared" si="13"/>
        <v>749</v>
      </c>
      <c r="J145" s="308">
        <v>0</v>
      </c>
      <c r="K145" s="308">
        <v>0</v>
      </c>
      <c r="L145" s="304">
        <v>414.7</v>
      </c>
      <c r="M145" s="308">
        <v>0</v>
      </c>
      <c r="N145" s="390">
        <f>M145*1.1</f>
        <v>0</v>
      </c>
      <c r="O145" s="192">
        <f t="shared" si="12"/>
        <v>1298</v>
      </c>
      <c r="P145" s="310">
        <v>0</v>
      </c>
      <c r="Q145" s="306">
        <v>0</v>
      </c>
      <c r="R145" s="306">
        <v>0</v>
      </c>
      <c r="S145" s="311"/>
    </row>
    <row r="146" spans="1:19" ht="12.75">
      <c r="A146" s="28">
        <v>750</v>
      </c>
      <c r="B146" s="29" t="s">
        <v>51</v>
      </c>
      <c r="C146" s="28">
        <v>971</v>
      </c>
      <c r="D146" s="382">
        <v>170</v>
      </c>
      <c r="E146" s="366">
        <v>216</v>
      </c>
      <c r="F146" s="193">
        <v>261</v>
      </c>
      <c r="G146" s="304">
        <v>327</v>
      </c>
      <c r="H146" s="304">
        <v>350</v>
      </c>
      <c r="I146" s="360">
        <f t="shared" si="13"/>
        <v>750</v>
      </c>
      <c r="J146" s="304">
        <v>0</v>
      </c>
      <c r="K146" s="304">
        <v>0</v>
      </c>
      <c r="L146" s="304">
        <v>414.7</v>
      </c>
      <c r="M146" s="304">
        <v>0</v>
      </c>
      <c r="N146" s="390">
        <f>M146*1.1</f>
        <v>0</v>
      </c>
      <c r="O146" s="192">
        <f t="shared" si="12"/>
        <v>1298</v>
      </c>
      <c r="P146" s="30">
        <v>0</v>
      </c>
      <c r="Q146" s="28">
        <v>0</v>
      </c>
      <c r="R146" s="28">
        <v>0</v>
      </c>
      <c r="S146" s="281"/>
    </row>
    <row r="147" spans="1:19" ht="12.75">
      <c r="A147" s="28">
        <v>751</v>
      </c>
      <c r="B147" s="347" t="s">
        <v>424</v>
      </c>
      <c r="C147" s="28">
        <v>1500</v>
      </c>
      <c r="D147" s="382">
        <v>101</v>
      </c>
      <c r="E147" s="144">
        <v>101</v>
      </c>
      <c r="F147" s="193">
        <f>IF(C147&lt;972,E147+44,E147)</f>
        <v>101</v>
      </c>
      <c r="G147" s="193">
        <v>101</v>
      </c>
      <c r="H147" s="193">
        <v>101</v>
      </c>
      <c r="I147" s="360">
        <f t="shared" si="13"/>
        <v>751</v>
      </c>
      <c r="J147" s="304">
        <v>0</v>
      </c>
      <c r="K147" s="346">
        <v>116</v>
      </c>
      <c r="L147" s="304">
        <v>101</v>
      </c>
      <c r="M147" s="346">
        <v>233</v>
      </c>
      <c r="N147" s="390">
        <f>M147*1.33333</f>
        <v>310.66589</v>
      </c>
      <c r="O147" s="192">
        <f t="shared" si="12"/>
        <v>1834</v>
      </c>
      <c r="P147" s="30">
        <v>150</v>
      </c>
      <c r="Q147" s="28">
        <v>0</v>
      </c>
      <c r="R147" s="28">
        <v>0</v>
      </c>
      <c r="S147" s="281"/>
    </row>
    <row r="148" spans="1:19" ht="12.75">
      <c r="A148" s="28">
        <v>752</v>
      </c>
      <c r="B148" s="29" t="s">
        <v>146</v>
      </c>
      <c r="C148" s="28">
        <v>2913</v>
      </c>
      <c r="D148" s="382">
        <v>0</v>
      </c>
      <c r="E148" s="144">
        <v>0</v>
      </c>
      <c r="F148" s="193">
        <f>IF(C148&lt;972,E148+44,E148)</f>
        <v>0</v>
      </c>
      <c r="G148" s="193">
        <v>0</v>
      </c>
      <c r="H148" s="193">
        <v>0</v>
      </c>
      <c r="I148" s="360">
        <f t="shared" si="13"/>
        <v>752</v>
      </c>
      <c r="J148" s="304">
        <v>0</v>
      </c>
      <c r="K148" s="304">
        <v>0</v>
      </c>
      <c r="L148" s="304">
        <v>0</v>
      </c>
      <c r="M148" s="304">
        <v>0</v>
      </c>
      <c r="N148" s="390">
        <f>M148*1.1</f>
        <v>0</v>
      </c>
      <c r="O148" s="192">
        <f t="shared" si="12"/>
        <v>2913</v>
      </c>
      <c r="P148" s="30">
        <v>20</v>
      </c>
      <c r="Q148" s="28">
        <v>0</v>
      </c>
      <c r="R148" s="28">
        <v>0</v>
      </c>
      <c r="S148" s="281"/>
    </row>
    <row r="149" spans="1:19" ht="12.75">
      <c r="A149" s="28">
        <v>753</v>
      </c>
      <c r="B149" s="29" t="s">
        <v>147</v>
      </c>
      <c r="C149" s="28">
        <v>1942</v>
      </c>
      <c r="D149" s="382">
        <v>43</v>
      </c>
      <c r="E149" s="144">
        <v>43</v>
      </c>
      <c r="F149" s="193">
        <f>IF(C149&lt;972,E149+44,E149)</f>
        <v>43</v>
      </c>
      <c r="G149" s="193">
        <v>43</v>
      </c>
      <c r="H149" s="193">
        <v>43</v>
      </c>
      <c r="I149" s="360">
        <f t="shared" si="13"/>
        <v>753</v>
      </c>
      <c r="J149" s="304">
        <v>0</v>
      </c>
      <c r="K149" s="304">
        <v>233</v>
      </c>
      <c r="L149" s="304">
        <v>43</v>
      </c>
      <c r="M149" s="304">
        <v>466</v>
      </c>
      <c r="N149" s="390">
        <f>M149*1.33333</f>
        <v>621.33178</v>
      </c>
      <c r="O149" s="192">
        <f t="shared" si="12"/>
        <v>2451</v>
      </c>
      <c r="P149" s="30">
        <v>150</v>
      </c>
      <c r="Q149" s="28">
        <v>0</v>
      </c>
      <c r="R149" s="28">
        <v>0</v>
      </c>
      <c r="S149" s="281"/>
    </row>
    <row r="150" spans="1:19" ht="12.75">
      <c r="A150" s="28">
        <v>754</v>
      </c>
      <c r="B150" s="29" t="s">
        <v>148</v>
      </c>
      <c r="C150" s="28">
        <v>971</v>
      </c>
      <c r="D150" s="382">
        <v>170</v>
      </c>
      <c r="E150" s="366">
        <v>216</v>
      </c>
      <c r="F150" s="193">
        <v>261</v>
      </c>
      <c r="G150" s="304">
        <v>327</v>
      </c>
      <c r="H150" s="304">
        <v>350</v>
      </c>
      <c r="I150" s="360">
        <f t="shared" si="13"/>
        <v>754</v>
      </c>
      <c r="J150" s="304">
        <v>0</v>
      </c>
      <c r="K150" s="304">
        <v>0</v>
      </c>
      <c r="L150" s="304">
        <v>414.7</v>
      </c>
      <c r="M150" s="304">
        <v>0</v>
      </c>
      <c r="N150" s="390">
        <f>M150*1.1</f>
        <v>0</v>
      </c>
      <c r="O150" s="192">
        <f t="shared" si="12"/>
        <v>1298</v>
      </c>
      <c r="P150" s="30">
        <v>0</v>
      </c>
      <c r="Q150" s="28">
        <v>0</v>
      </c>
      <c r="R150" s="28">
        <v>0</v>
      </c>
      <c r="S150" s="281"/>
    </row>
    <row r="151" spans="1:19" ht="12.75">
      <c r="A151" s="28">
        <v>755</v>
      </c>
      <c r="B151" s="29" t="s">
        <v>149</v>
      </c>
      <c r="C151" s="28">
        <v>971</v>
      </c>
      <c r="D151" s="382">
        <v>170</v>
      </c>
      <c r="E151" s="366">
        <v>216</v>
      </c>
      <c r="F151" s="193">
        <v>261</v>
      </c>
      <c r="G151" s="304">
        <v>327</v>
      </c>
      <c r="H151" s="304">
        <v>350</v>
      </c>
      <c r="I151" s="360">
        <f t="shared" si="13"/>
        <v>755</v>
      </c>
      <c r="J151" s="304">
        <v>0</v>
      </c>
      <c r="K151" s="304">
        <v>0</v>
      </c>
      <c r="L151" s="304">
        <v>414.7</v>
      </c>
      <c r="M151" s="304">
        <v>0</v>
      </c>
      <c r="N151" s="390">
        <f>M151*1.1</f>
        <v>0</v>
      </c>
      <c r="O151" s="192">
        <f t="shared" si="12"/>
        <v>1298</v>
      </c>
      <c r="P151" s="30">
        <v>0</v>
      </c>
      <c r="Q151" s="28">
        <v>0</v>
      </c>
      <c r="R151" s="28">
        <v>0</v>
      </c>
      <c r="S151" s="281"/>
    </row>
    <row r="152" spans="1:19" ht="12.75">
      <c r="A152" s="28">
        <v>756</v>
      </c>
      <c r="B152" s="29" t="s">
        <v>150</v>
      </c>
      <c r="C152" s="28">
        <v>1290</v>
      </c>
      <c r="D152" s="382">
        <v>128</v>
      </c>
      <c r="E152" s="144">
        <v>128</v>
      </c>
      <c r="F152" s="193">
        <f>IF(C152&lt;972,E152+44,E152)</f>
        <v>128</v>
      </c>
      <c r="G152" s="193">
        <v>128</v>
      </c>
      <c r="H152" s="193">
        <v>128</v>
      </c>
      <c r="I152" s="360">
        <f t="shared" si="13"/>
        <v>756</v>
      </c>
      <c r="J152" s="304">
        <v>0</v>
      </c>
      <c r="K152" s="346">
        <v>116</v>
      </c>
      <c r="L152" s="304">
        <v>128</v>
      </c>
      <c r="M152" s="346">
        <v>232</v>
      </c>
      <c r="N152" s="390">
        <f>M152*1.33333</f>
        <v>309.33256</v>
      </c>
      <c r="O152" s="192">
        <f t="shared" si="12"/>
        <v>1650</v>
      </c>
      <c r="P152" s="30">
        <v>0</v>
      </c>
      <c r="Q152" s="28">
        <v>0</v>
      </c>
      <c r="R152" s="28">
        <v>0</v>
      </c>
      <c r="S152" s="281"/>
    </row>
    <row r="153" spans="1:19" ht="12.75">
      <c r="A153" s="28">
        <v>757</v>
      </c>
      <c r="B153" s="29" t="s">
        <v>151</v>
      </c>
      <c r="C153" s="28">
        <v>971</v>
      </c>
      <c r="D153" s="382">
        <v>170</v>
      </c>
      <c r="E153" s="366">
        <v>216</v>
      </c>
      <c r="F153" s="193">
        <v>261</v>
      </c>
      <c r="G153" s="304">
        <v>327</v>
      </c>
      <c r="H153" s="304">
        <v>350</v>
      </c>
      <c r="I153" s="360">
        <f t="shared" si="13"/>
        <v>757</v>
      </c>
      <c r="J153" s="304">
        <v>0</v>
      </c>
      <c r="K153" s="304">
        <v>0</v>
      </c>
      <c r="L153" s="304">
        <v>414.7</v>
      </c>
      <c r="M153" s="304">
        <v>0</v>
      </c>
      <c r="N153" s="390">
        <f>M153*1.1</f>
        <v>0</v>
      </c>
      <c r="O153" s="192">
        <f t="shared" si="12"/>
        <v>1298</v>
      </c>
      <c r="P153" s="30">
        <v>0</v>
      </c>
      <c r="Q153" s="28">
        <v>0</v>
      </c>
      <c r="R153" s="28">
        <v>0</v>
      </c>
      <c r="S153" s="281"/>
    </row>
    <row r="154" spans="1:19" ht="12.75">
      <c r="A154" s="28">
        <v>758</v>
      </c>
      <c r="B154" s="29" t="s">
        <v>152</v>
      </c>
      <c r="C154" s="28">
        <v>971</v>
      </c>
      <c r="D154" s="382">
        <v>170</v>
      </c>
      <c r="E154" s="366">
        <v>216</v>
      </c>
      <c r="F154" s="193">
        <v>261</v>
      </c>
      <c r="G154" s="304">
        <v>327</v>
      </c>
      <c r="H154" s="304">
        <v>350</v>
      </c>
      <c r="I154" s="360">
        <f t="shared" si="13"/>
        <v>758</v>
      </c>
      <c r="J154" s="304">
        <v>0</v>
      </c>
      <c r="K154" s="304">
        <v>0</v>
      </c>
      <c r="L154" s="304">
        <v>414.7</v>
      </c>
      <c r="M154" s="304">
        <v>0</v>
      </c>
      <c r="N154" s="390">
        <f>M154*1.1</f>
        <v>0</v>
      </c>
      <c r="O154" s="192">
        <f t="shared" si="12"/>
        <v>1298</v>
      </c>
      <c r="P154" s="30">
        <v>0</v>
      </c>
      <c r="Q154" s="28">
        <v>0</v>
      </c>
      <c r="R154" s="28">
        <v>0</v>
      </c>
      <c r="S154" s="281"/>
    </row>
    <row r="155" spans="1:19" ht="12.75">
      <c r="A155" s="28">
        <v>759</v>
      </c>
      <c r="B155" s="29" t="s">
        <v>153</v>
      </c>
      <c r="C155" s="28">
        <v>971</v>
      </c>
      <c r="D155" s="382">
        <v>170</v>
      </c>
      <c r="E155" s="366">
        <v>216</v>
      </c>
      <c r="F155" s="193">
        <v>261</v>
      </c>
      <c r="G155" s="304">
        <v>327</v>
      </c>
      <c r="H155" s="304">
        <v>350</v>
      </c>
      <c r="I155" s="360">
        <f t="shared" si="13"/>
        <v>759</v>
      </c>
      <c r="J155" s="304">
        <v>0</v>
      </c>
      <c r="K155" s="304">
        <v>0</v>
      </c>
      <c r="L155" s="304">
        <v>414.7</v>
      </c>
      <c r="M155" s="304">
        <v>0</v>
      </c>
      <c r="N155" s="390">
        <f>M155*1.1</f>
        <v>0</v>
      </c>
      <c r="O155" s="192">
        <f t="shared" si="12"/>
        <v>1298</v>
      </c>
      <c r="P155" s="30">
        <v>150</v>
      </c>
      <c r="Q155" s="28">
        <v>0</v>
      </c>
      <c r="R155" s="28">
        <v>0</v>
      </c>
      <c r="S155" s="281"/>
    </row>
    <row r="156" spans="1:19" ht="12.75">
      <c r="A156" s="28">
        <v>760</v>
      </c>
      <c r="B156" s="29" t="s">
        <v>154</v>
      </c>
      <c r="C156" s="28">
        <v>1400</v>
      </c>
      <c r="D156" s="382">
        <v>114</v>
      </c>
      <c r="E156" s="144">
        <v>114</v>
      </c>
      <c r="F156" s="193">
        <f>IF(C156&lt;972,E156+44,E156)</f>
        <v>114</v>
      </c>
      <c r="G156" s="193">
        <v>114</v>
      </c>
      <c r="H156" s="193">
        <v>114</v>
      </c>
      <c r="I156" s="360">
        <f t="shared" si="13"/>
        <v>760</v>
      </c>
      <c r="J156" s="304">
        <v>0</v>
      </c>
      <c r="K156" s="304">
        <v>0</v>
      </c>
      <c r="L156" s="304">
        <v>114</v>
      </c>
      <c r="M156" s="304">
        <v>0</v>
      </c>
      <c r="N156" s="390">
        <f>M156*1.1</f>
        <v>0</v>
      </c>
      <c r="O156" s="192">
        <f t="shared" si="12"/>
        <v>1514</v>
      </c>
      <c r="P156" s="30">
        <v>0</v>
      </c>
      <c r="Q156" s="28">
        <v>0</v>
      </c>
      <c r="R156" s="28">
        <v>0</v>
      </c>
      <c r="S156" s="281"/>
    </row>
    <row r="157" spans="1:19" ht="12.75">
      <c r="A157" s="28">
        <v>761</v>
      </c>
      <c r="B157" s="29" t="s">
        <v>155</v>
      </c>
      <c r="C157" s="28">
        <v>1700</v>
      </c>
      <c r="D157" s="382">
        <v>75</v>
      </c>
      <c r="E157" s="144">
        <v>75</v>
      </c>
      <c r="F157" s="193">
        <f>IF(C157&lt;972,E157+44,E157)</f>
        <v>75</v>
      </c>
      <c r="G157" s="193">
        <v>75</v>
      </c>
      <c r="H157" s="193">
        <v>75</v>
      </c>
      <c r="I157" s="360">
        <f t="shared" si="13"/>
        <v>761</v>
      </c>
      <c r="J157" s="304">
        <v>0</v>
      </c>
      <c r="K157" s="304">
        <v>136</v>
      </c>
      <c r="L157" s="304">
        <v>75</v>
      </c>
      <c r="M157" s="304">
        <v>272</v>
      </c>
      <c r="N157" s="390">
        <f>M157*1.33333</f>
        <v>362.66576</v>
      </c>
      <c r="O157" s="192">
        <f t="shared" si="12"/>
        <v>2047</v>
      </c>
      <c r="P157" s="30">
        <v>150</v>
      </c>
      <c r="Q157" s="28">
        <v>0</v>
      </c>
      <c r="R157" s="28">
        <v>0</v>
      </c>
      <c r="S157" s="281"/>
    </row>
    <row r="158" spans="1:19" ht="12.75">
      <c r="A158" s="28">
        <v>762</v>
      </c>
      <c r="B158" s="29" t="s">
        <v>156</v>
      </c>
      <c r="C158" s="28">
        <v>971</v>
      </c>
      <c r="D158" s="382">
        <v>170</v>
      </c>
      <c r="E158" s="366">
        <v>216</v>
      </c>
      <c r="F158" s="193">
        <v>261</v>
      </c>
      <c r="G158" s="304">
        <v>327</v>
      </c>
      <c r="H158" s="304">
        <v>350</v>
      </c>
      <c r="I158" s="360">
        <f t="shared" si="13"/>
        <v>762</v>
      </c>
      <c r="J158" s="304">
        <v>0</v>
      </c>
      <c r="K158" s="304">
        <v>0</v>
      </c>
      <c r="L158" s="304">
        <v>414.7</v>
      </c>
      <c r="M158" s="304">
        <v>0</v>
      </c>
      <c r="N158" s="390">
        <f>M158*1.1</f>
        <v>0</v>
      </c>
      <c r="O158" s="192">
        <f t="shared" si="12"/>
        <v>1298</v>
      </c>
      <c r="P158" s="30">
        <v>0</v>
      </c>
      <c r="Q158" s="28">
        <v>0</v>
      </c>
      <c r="R158" s="28">
        <v>0</v>
      </c>
      <c r="S158" s="281"/>
    </row>
    <row r="159" spans="1:19" ht="12.75">
      <c r="A159" s="28">
        <v>763</v>
      </c>
      <c r="B159" s="29" t="s">
        <v>157</v>
      </c>
      <c r="C159" s="28">
        <v>971</v>
      </c>
      <c r="D159" s="382">
        <v>170</v>
      </c>
      <c r="E159" s="366">
        <v>216</v>
      </c>
      <c r="F159" s="193">
        <v>261</v>
      </c>
      <c r="G159" s="304">
        <v>327</v>
      </c>
      <c r="H159" s="304">
        <v>350</v>
      </c>
      <c r="I159" s="360">
        <f t="shared" si="13"/>
        <v>763</v>
      </c>
      <c r="J159" s="304">
        <v>0</v>
      </c>
      <c r="K159" s="304">
        <v>0</v>
      </c>
      <c r="L159" s="304">
        <v>414.7</v>
      </c>
      <c r="M159" s="304">
        <v>0</v>
      </c>
      <c r="N159" s="390">
        <f>M159*1.1</f>
        <v>0</v>
      </c>
      <c r="O159" s="192">
        <f t="shared" si="12"/>
        <v>1298</v>
      </c>
      <c r="P159" s="30">
        <v>0</v>
      </c>
      <c r="Q159" s="28">
        <v>0</v>
      </c>
      <c r="R159" s="28">
        <v>0</v>
      </c>
      <c r="S159" s="281"/>
    </row>
    <row r="160" spans="1:19" ht="12.75">
      <c r="A160" s="28">
        <v>764</v>
      </c>
      <c r="B160" s="29" t="s">
        <v>158</v>
      </c>
      <c r="C160" s="28">
        <v>1500</v>
      </c>
      <c r="D160" s="382">
        <v>101</v>
      </c>
      <c r="E160" s="144">
        <v>101</v>
      </c>
      <c r="F160" s="193">
        <f>IF(C160&lt;972,E160+44,E160)</f>
        <v>101</v>
      </c>
      <c r="G160" s="193">
        <v>101</v>
      </c>
      <c r="H160" s="193">
        <v>101</v>
      </c>
      <c r="I160" s="360">
        <f t="shared" si="13"/>
        <v>764</v>
      </c>
      <c r="J160" s="304">
        <v>0</v>
      </c>
      <c r="K160" s="304">
        <v>0</v>
      </c>
      <c r="L160" s="304">
        <v>101</v>
      </c>
      <c r="M160" s="304">
        <v>0</v>
      </c>
      <c r="N160" s="390">
        <f>M160*1.1</f>
        <v>0</v>
      </c>
      <c r="O160" s="192">
        <f t="shared" si="12"/>
        <v>1601</v>
      </c>
      <c r="P160" s="30">
        <v>150</v>
      </c>
      <c r="Q160" s="28">
        <v>0</v>
      </c>
      <c r="R160" s="28">
        <v>0</v>
      </c>
      <c r="S160" s="281"/>
    </row>
    <row r="161" spans="1:19" ht="12.75">
      <c r="A161" s="28">
        <v>765</v>
      </c>
      <c r="B161" s="29" t="s">
        <v>159</v>
      </c>
      <c r="C161" s="28">
        <v>1500</v>
      </c>
      <c r="D161" s="382">
        <v>101</v>
      </c>
      <c r="E161" s="144">
        <v>101</v>
      </c>
      <c r="F161" s="193">
        <f>IF(C161&lt;972,E161+44,E161)</f>
        <v>101</v>
      </c>
      <c r="G161" s="193">
        <v>101</v>
      </c>
      <c r="H161" s="193">
        <v>101</v>
      </c>
      <c r="I161" s="360">
        <f t="shared" si="13"/>
        <v>765</v>
      </c>
      <c r="J161" s="304">
        <v>0</v>
      </c>
      <c r="K161" s="304">
        <v>0</v>
      </c>
      <c r="L161" s="304">
        <v>101</v>
      </c>
      <c r="M161" s="304">
        <v>0</v>
      </c>
      <c r="N161" s="390">
        <f>M161*1.1</f>
        <v>0</v>
      </c>
      <c r="O161" s="192">
        <f t="shared" si="12"/>
        <v>1601</v>
      </c>
      <c r="P161" s="30">
        <v>150</v>
      </c>
      <c r="Q161" s="28">
        <v>0</v>
      </c>
      <c r="R161" s="28">
        <v>0</v>
      </c>
      <c r="S161" s="281"/>
    </row>
    <row r="162" spans="1:19" ht="12.75">
      <c r="A162" s="28">
        <v>766</v>
      </c>
      <c r="B162" s="29" t="s">
        <v>160</v>
      </c>
      <c r="C162" s="28">
        <v>1942</v>
      </c>
      <c r="D162" s="382">
        <v>43</v>
      </c>
      <c r="E162" s="144">
        <v>43</v>
      </c>
      <c r="F162" s="193">
        <f>IF(C162&lt;972,E162+44,E162)</f>
        <v>43</v>
      </c>
      <c r="G162" s="193">
        <v>43</v>
      </c>
      <c r="H162" s="193">
        <v>43</v>
      </c>
      <c r="I162" s="360">
        <f t="shared" si="13"/>
        <v>766</v>
      </c>
      <c r="J162" s="304">
        <v>0</v>
      </c>
      <c r="K162" s="304">
        <v>233</v>
      </c>
      <c r="L162" s="304">
        <v>43</v>
      </c>
      <c r="M162" s="304">
        <v>466</v>
      </c>
      <c r="N162" s="390">
        <f>M162*1.33333</f>
        <v>621.33178</v>
      </c>
      <c r="O162" s="192">
        <f t="shared" si="12"/>
        <v>2451</v>
      </c>
      <c r="P162" s="30">
        <v>150</v>
      </c>
      <c r="Q162" s="28">
        <v>0</v>
      </c>
      <c r="R162" s="28">
        <v>0</v>
      </c>
      <c r="S162" s="281"/>
    </row>
    <row r="163" spans="1:19" ht="12.75">
      <c r="A163" s="28">
        <v>767</v>
      </c>
      <c r="B163" s="29" t="s">
        <v>161</v>
      </c>
      <c r="C163" s="28">
        <v>1700</v>
      </c>
      <c r="D163" s="382">
        <v>75</v>
      </c>
      <c r="E163" s="144">
        <v>75</v>
      </c>
      <c r="F163" s="193">
        <f>IF(C163&lt;972,E163+44,E163)</f>
        <v>75</v>
      </c>
      <c r="G163" s="193">
        <v>75</v>
      </c>
      <c r="H163" s="193">
        <v>75</v>
      </c>
      <c r="I163" s="360">
        <f t="shared" si="13"/>
        <v>767</v>
      </c>
      <c r="J163" s="304">
        <v>0</v>
      </c>
      <c r="K163" s="346">
        <v>116</v>
      </c>
      <c r="L163" s="304">
        <v>75</v>
      </c>
      <c r="M163" s="346">
        <v>232</v>
      </c>
      <c r="N163" s="390">
        <f>M163*1.33333</f>
        <v>309.33256</v>
      </c>
      <c r="O163" s="192">
        <f t="shared" si="12"/>
        <v>2007</v>
      </c>
      <c r="P163" s="30">
        <v>150</v>
      </c>
      <c r="Q163" s="28">
        <v>0</v>
      </c>
      <c r="R163" s="28">
        <v>0</v>
      </c>
      <c r="S163" s="281"/>
    </row>
    <row r="164" spans="1:19" ht="12.75">
      <c r="A164" s="28">
        <v>768</v>
      </c>
      <c r="B164" s="29" t="s">
        <v>162</v>
      </c>
      <c r="C164" s="28">
        <v>971</v>
      </c>
      <c r="D164" s="382">
        <v>170</v>
      </c>
      <c r="E164" s="366">
        <v>216</v>
      </c>
      <c r="F164" s="193">
        <v>261</v>
      </c>
      <c r="G164" s="304">
        <v>327</v>
      </c>
      <c r="H164" s="304">
        <v>350</v>
      </c>
      <c r="I164" s="360">
        <f t="shared" si="13"/>
        <v>768</v>
      </c>
      <c r="J164" s="304">
        <v>0</v>
      </c>
      <c r="K164" s="304">
        <v>0</v>
      </c>
      <c r="L164" s="304">
        <v>414.7</v>
      </c>
      <c r="M164" s="304">
        <v>0</v>
      </c>
      <c r="N164" s="390">
        <f>M164*1.1</f>
        <v>0</v>
      </c>
      <c r="O164" s="192">
        <f t="shared" si="12"/>
        <v>1298</v>
      </c>
      <c r="P164" s="30">
        <v>150</v>
      </c>
      <c r="Q164" s="28">
        <v>0</v>
      </c>
      <c r="R164" s="28">
        <v>0</v>
      </c>
      <c r="S164" s="281"/>
    </row>
    <row r="165" spans="1:19" ht="12.75">
      <c r="A165" s="28">
        <v>769</v>
      </c>
      <c r="B165" s="29" t="s">
        <v>163</v>
      </c>
      <c r="C165" s="28">
        <v>2913</v>
      </c>
      <c r="D165" s="382">
        <v>0</v>
      </c>
      <c r="E165" s="144">
        <v>0</v>
      </c>
      <c r="F165" s="193">
        <f>IF(C165&lt;972,E165+44,E165)</f>
        <v>0</v>
      </c>
      <c r="G165" s="193">
        <v>0</v>
      </c>
      <c r="H165" s="193">
        <v>0</v>
      </c>
      <c r="I165" s="360">
        <f t="shared" si="13"/>
        <v>769</v>
      </c>
      <c r="J165" s="304">
        <v>0</v>
      </c>
      <c r="K165" s="304">
        <f>D165*0.09</f>
        <v>0</v>
      </c>
      <c r="L165" s="304">
        <v>0</v>
      </c>
      <c r="M165" s="304">
        <v>0</v>
      </c>
      <c r="N165" s="390">
        <f>M165*1.1</f>
        <v>0</v>
      </c>
      <c r="O165" s="192">
        <f t="shared" si="12"/>
        <v>2913</v>
      </c>
      <c r="P165" s="30">
        <v>0</v>
      </c>
      <c r="Q165" s="28">
        <v>0</v>
      </c>
      <c r="R165" s="28">
        <v>0</v>
      </c>
      <c r="S165" s="281"/>
    </row>
    <row r="166" spans="1:19" ht="12.75">
      <c r="A166" s="28">
        <v>770</v>
      </c>
      <c r="B166" s="29" t="s">
        <v>164</v>
      </c>
      <c r="C166" s="28">
        <v>2913</v>
      </c>
      <c r="D166" s="382">
        <v>0</v>
      </c>
      <c r="E166" s="144">
        <v>0</v>
      </c>
      <c r="F166" s="193">
        <f>IF(C166&lt;972,E166+44,E166)</f>
        <v>0</v>
      </c>
      <c r="G166" s="193">
        <v>0</v>
      </c>
      <c r="H166" s="193">
        <v>0</v>
      </c>
      <c r="I166" s="360">
        <f t="shared" si="13"/>
        <v>770</v>
      </c>
      <c r="J166" s="304">
        <v>0</v>
      </c>
      <c r="K166" s="345">
        <v>233</v>
      </c>
      <c r="L166" s="304">
        <v>0</v>
      </c>
      <c r="M166" s="345">
        <v>776</v>
      </c>
      <c r="N166" s="390">
        <f>M166*1.33333</f>
        <v>1034.66408</v>
      </c>
      <c r="O166" s="192">
        <f t="shared" si="12"/>
        <v>3689</v>
      </c>
      <c r="P166" s="30">
        <v>0</v>
      </c>
      <c r="Q166" s="28">
        <v>0</v>
      </c>
      <c r="R166" s="28">
        <v>0</v>
      </c>
      <c r="S166" s="281"/>
    </row>
    <row r="167" spans="1:19" ht="12.75">
      <c r="A167" s="28">
        <v>771</v>
      </c>
      <c r="B167" s="29" t="s">
        <v>165</v>
      </c>
      <c r="C167" s="28">
        <v>971</v>
      </c>
      <c r="D167" s="382">
        <v>170</v>
      </c>
      <c r="E167" s="366">
        <v>216</v>
      </c>
      <c r="F167" s="193">
        <v>261</v>
      </c>
      <c r="G167" s="304">
        <v>327</v>
      </c>
      <c r="H167" s="304">
        <v>350</v>
      </c>
      <c r="I167" s="360">
        <f t="shared" si="13"/>
        <v>771</v>
      </c>
      <c r="J167" s="304">
        <v>0</v>
      </c>
      <c r="K167" s="304">
        <v>0</v>
      </c>
      <c r="L167" s="304">
        <v>414.7</v>
      </c>
      <c r="M167" s="304">
        <v>0</v>
      </c>
      <c r="N167" s="390">
        <f>M167*1.1</f>
        <v>0</v>
      </c>
      <c r="O167" s="192">
        <f t="shared" si="12"/>
        <v>1298</v>
      </c>
      <c r="P167" s="30">
        <v>0</v>
      </c>
      <c r="Q167" s="28">
        <v>0</v>
      </c>
      <c r="R167" s="28">
        <v>620</v>
      </c>
      <c r="S167" s="281"/>
    </row>
    <row r="168" spans="1:19" ht="12.75">
      <c r="A168" s="28">
        <v>772</v>
      </c>
      <c r="B168" s="29" t="s">
        <v>166</v>
      </c>
      <c r="C168" s="28">
        <v>971</v>
      </c>
      <c r="D168" s="382">
        <v>170</v>
      </c>
      <c r="E168" s="366">
        <v>216</v>
      </c>
      <c r="F168" s="193">
        <v>261</v>
      </c>
      <c r="G168" s="304">
        <v>327</v>
      </c>
      <c r="H168" s="304">
        <v>350</v>
      </c>
      <c r="I168" s="360">
        <f t="shared" si="13"/>
        <v>772</v>
      </c>
      <c r="J168" s="304">
        <v>0</v>
      </c>
      <c r="K168" s="304">
        <v>0</v>
      </c>
      <c r="L168" s="304">
        <v>414.7</v>
      </c>
      <c r="M168" s="304">
        <v>0</v>
      </c>
      <c r="N168" s="390">
        <f>M168*1.1</f>
        <v>0</v>
      </c>
      <c r="O168" s="192">
        <f t="shared" si="12"/>
        <v>1298</v>
      </c>
      <c r="P168" s="30">
        <v>0</v>
      </c>
      <c r="Q168" s="28">
        <v>0</v>
      </c>
      <c r="R168" s="28">
        <v>620</v>
      </c>
      <c r="S168" s="281"/>
    </row>
    <row r="169" spans="1:19" ht="12.75">
      <c r="A169" s="28">
        <v>773</v>
      </c>
      <c r="B169" s="29" t="s">
        <v>451</v>
      </c>
      <c r="C169" s="28">
        <v>1942</v>
      </c>
      <c r="D169" s="382">
        <v>43</v>
      </c>
      <c r="E169" s="144">
        <v>43</v>
      </c>
      <c r="F169" s="193">
        <f>IF(C169&lt;972,E169+44,E169)</f>
        <v>43</v>
      </c>
      <c r="G169" s="193">
        <v>43</v>
      </c>
      <c r="H169" s="193">
        <v>43</v>
      </c>
      <c r="I169" s="360">
        <f t="shared" si="13"/>
        <v>773</v>
      </c>
      <c r="J169" s="304">
        <v>0</v>
      </c>
      <c r="K169" s="304">
        <v>233</v>
      </c>
      <c r="L169" s="304">
        <v>43</v>
      </c>
      <c r="M169" s="304">
        <v>466</v>
      </c>
      <c r="N169" s="390">
        <f>M169*1.33333</f>
        <v>621.33178</v>
      </c>
      <c r="O169" s="192">
        <f t="shared" si="12"/>
        <v>2451</v>
      </c>
      <c r="P169" s="30">
        <v>0</v>
      </c>
      <c r="Q169" s="28">
        <v>0</v>
      </c>
      <c r="R169" s="28">
        <v>669</v>
      </c>
      <c r="S169" s="281"/>
    </row>
    <row r="170" spans="1:19" ht="12.75">
      <c r="A170" s="28">
        <v>774</v>
      </c>
      <c r="B170" s="29" t="s">
        <v>450</v>
      </c>
      <c r="C170" s="28">
        <v>1700</v>
      </c>
      <c r="D170" s="382">
        <v>75</v>
      </c>
      <c r="E170" s="144">
        <v>75</v>
      </c>
      <c r="F170" s="193">
        <f>IF(C170&lt;972,E170+44,E170)</f>
        <v>75</v>
      </c>
      <c r="G170" s="193">
        <v>75</v>
      </c>
      <c r="H170" s="193">
        <v>75</v>
      </c>
      <c r="I170" s="360">
        <f t="shared" si="13"/>
        <v>774</v>
      </c>
      <c r="J170" s="304">
        <v>0</v>
      </c>
      <c r="K170" s="304">
        <v>155</v>
      </c>
      <c r="L170" s="304">
        <v>75</v>
      </c>
      <c r="M170" s="304">
        <v>310</v>
      </c>
      <c r="N170" s="390">
        <f>M170*1.33333</f>
        <v>413.3323</v>
      </c>
      <c r="O170" s="192">
        <f t="shared" si="12"/>
        <v>2085</v>
      </c>
      <c r="P170" s="30">
        <v>0</v>
      </c>
      <c r="Q170" s="28">
        <v>0</v>
      </c>
      <c r="R170" s="28">
        <v>657</v>
      </c>
      <c r="S170" s="281"/>
    </row>
    <row r="171" spans="1:19" ht="12.75">
      <c r="A171" s="28">
        <v>775</v>
      </c>
      <c r="B171" s="29" t="s">
        <v>266</v>
      </c>
      <c r="C171" s="28">
        <v>1400</v>
      </c>
      <c r="D171" s="382">
        <v>114</v>
      </c>
      <c r="E171" s="144">
        <v>114</v>
      </c>
      <c r="F171" s="193">
        <f>IF(C171&lt;972,E171+44,E171)</f>
        <v>114</v>
      </c>
      <c r="G171" s="193">
        <v>114</v>
      </c>
      <c r="H171" s="193">
        <v>114</v>
      </c>
      <c r="I171" s="360">
        <f t="shared" si="13"/>
        <v>775</v>
      </c>
      <c r="J171" s="304">
        <v>0</v>
      </c>
      <c r="K171" s="346">
        <v>116</v>
      </c>
      <c r="L171" s="304">
        <v>114</v>
      </c>
      <c r="M171" s="346">
        <v>233</v>
      </c>
      <c r="N171" s="390">
        <f>M171*1.33333</f>
        <v>310.66589</v>
      </c>
      <c r="O171" s="192">
        <f t="shared" si="12"/>
        <v>1747</v>
      </c>
      <c r="P171" s="30">
        <v>150</v>
      </c>
      <c r="Q171" s="28">
        <v>0</v>
      </c>
      <c r="R171" s="28">
        <v>0</v>
      </c>
      <c r="S171" s="281"/>
    </row>
    <row r="172" spans="1:19" ht="12.75">
      <c r="A172" s="28">
        <v>776</v>
      </c>
      <c r="B172" s="29" t="s">
        <v>167</v>
      </c>
      <c r="C172" s="28">
        <v>971</v>
      </c>
      <c r="D172" s="382">
        <v>170</v>
      </c>
      <c r="E172" s="366">
        <v>216</v>
      </c>
      <c r="F172" s="193">
        <v>261</v>
      </c>
      <c r="G172" s="304">
        <v>327</v>
      </c>
      <c r="H172" s="304">
        <v>350</v>
      </c>
      <c r="I172" s="360">
        <f t="shared" si="13"/>
        <v>776</v>
      </c>
      <c r="J172" s="304">
        <v>0</v>
      </c>
      <c r="K172" s="304">
        <v>0</v>
      </c>
      <c r="L172" s="304">
        <v>414.7</v>
      </c>
      <c r="M172" s="304">
        <v>0</v>
      </c>
      <c r="N172" s="390">
        <f>M172*1.1</f>
        <v>0</v>
      </c>
      <c r="O172" s="192">
        <f t="shared" si="12"/>
        <v>1298</v>
      </c>
      <c r="P172" s="30">
        <v>0</v>
      </c>
      <c r="Q172" s="28">
        <v>0</v>
      </c>
      <c r="R172" s="28">
        <v>0</v>
      </c>
      <c r="S172" s="281"/>
    </row>
    <row r="173" spans="1:19" ht="12.75">
      <c r="A173" s="28">
        <v>777</v>
      </c>
      <c r="B173" s="29" t="s">
        <v>168</v>
      </c>
      <c r="C173" s="28">
        <v>971</v>
      </c>
      <c r="D173" s="382">
        <v>170</v>
      </c>
      <c r="E173" s="366">
        <v>216</v>
      </c>
      <c r="F173" s="193">
        <v>261</v>
      </c>
      <c r="G173" s="304">
        <v>327</v>
      </c>
      <c r="H173" s="304">
        <v>350</v>
      </c>
      <c r="I173" s="360">
        <f t="shared" si="13"/>
        <v>777</v>
      </c>
      <c r="J173" s="304">
        <v>0</v>
      </c>
      <c r="K173" s="304">
        <v>0</v>
      </c>
      <c r="L173" s="304">
        <v>414.7</v>
      </c>
      <c r="M173" s="304">
        <v>0</v>
      </c>
      <c r="N173" s="390">
        <f>M173*1.1</f>
        <v>0</v>
      </c>
      <c r="O173" s="192">
        <f t="shared" si="12"/>
        <v>1298</v>
      </c>
      <c r="P173" s="30">
        <v>0</v>
      </c>
      <c r="Q173" s="28">
        <v>0</v>
      </c>
      <c r="R173" s="28">
        <v>155</v>
      </c>
      <c r="S173" s="281"/>
    </row>
    <row r="174" spans="1:19" ht="12.75">
      <c r="A174" s="28">
        <v>778</v>
      </c>
      <c r="B174" s="29" t="s">
        <v>169</v>
      </c>
      <c r="C174" s="28">
        <v>1692</v>
      </c>
      <c r="D174" s="382">
        <v>76</v>
      </c>
      <c r="E174" s="144">
        <v>76</v>
      </c>
      <c r="F174" s="193">
        <f>IF(C174&lt;972,E174+44,E174)</f>
        <v>76</v>
      </c>
      <c r="G174" s="193">
        <v>76</v>
      </c>
      <c r="H174" s="193">
        <v>76</v>
      </c>
      <c r="I174" s="360">
        <f t="shared" si="13"/>
        <v>778</v>
      </c>
      <c r="J174" s="304">
        <v>0</v>
      </c>
      <c r="K174" s="346">
        <v>136</v>
      </c>
      <c r="L174" s="304">
        <v>76</v>
      </c>
      <c r="M174" s="346">
        <v>272</v>
      </c>
      <c r="N174" s="390">
        <f>M174*1.33333</f>
        <v>362.66576</v>
      </c>
      <c r="O174" s="192">
        <f t="shared" si="12"/>
        <v>2040</v>
      </c>
      <c r="P174" s="30">
        <v>17</v>
      </c>
      <c r="Q174" s="28">
        <v>0</v>
      </c>
      <c r="R174" s="28">
        <v>0</v>
      </c>
      <c r="S174" s="281"/>
    </row>
    <row r="175" spans="1:19" ht="12.75">
      <c r="A175" s="28">
        <v>779</v>
      </c>
      <c r="B175" s="31" t="s">
        <v>170</v>
      </c>
      <c r="C175" s="28">
        <v>853</v>
      </c>
      <c r="D175" s="382">
        <v>170</v>
      </c>
      <c r="E175" s="366">
        <v>216</v>
      </c>
      <c r="F175" s="193">
        <v>261</v>
      </c>
      <c r="G175" s="304">
        <v>327</v>
      </c>
      <c r="H175" s="304">
        <v>350</v>
      </c>
      <c r="I175" s="360">
        <f t="shared" si="13"/>
        <v>779</v>
      </c>
      <c r="J175" s="304">
        <v>0</v>
      </c>
      <c r="K175" s="304">
        <v>0</v>
      </c>
      <c r="L175" s="304">
        <v>414.7</v>
      </c>
      <c r="M175" s="304">
        <v>0</v>
      </c>
      <c r="N175" s="390">
        <f>M175*1.1</f>
        <v>0</v>
      </c>
      <c r="O175" s="192">
        <f t="shared" si="12"/>
        <v>1180</v>
      </c>
      <c r="P175" s="30">
        <v>0</v>
      </c>
      <c r="Q175" s="28">
        <v>0</v>
      </c>
      <c r="R175" s="28">
        <v>0</v>
      </c>
      <c r="S175" s="281"/>
    </row>
    <row r="176" spans="1:19" ht="12.75">
      <c r="A176" s="28">
        <v>780</v>
      </c>
      <c r="B176" s="29" t="s">
        <v>171</v>
      </c>
      <c r="C176" s="28">
        <v>3146</v>
      </c>
      <c r="D176" s="382">
        <v>0</v>
      </c>
      <c r="E176" s="144">
        <v>0</v>
      </c>
      <c r="F176" s="193">
        <f>IF(C176&lt;972,E176+44,E176)</f>
        <v>0</v>
      </c>
      <c r="G176" s="193">
        <v>0</v>
      </c>
      <c r="H176" s="193">
        <v>0</v>
      </c>
      <c r="I176" s="360">
        <f t="shared" si="13"/>
        <v>780</v>
      </c>
      <c r="J176" s="304">
        <v>0</v>
      </c>
      <c r="K176" s="304">
        <f>D176*0.09</f>
        <v>0</v>
      </c>
      <c r="L176" s="304">
        <v>0</v>
      </c>
      <c r="M176" s="304">
        <v>0</v>
      </c>
      <c r="N176" s="390">
        <f>M176*1.1</f>
        <v>0</v>
      </c>
      <c r="O176" s="192">
        <f t="shared" si="12"/>
        <v>3146</v>
      </c>
      <c r="P176" s="30">
        <v>0</v>
      </c>
      <c r="Q176" s="28">
        <v>0</v>
      </c>
      <c r="R176" s="28">
        <v>0</v>
      </c>
      <c r="S176" s="281"/>
    </row>
    <row r="177" spans="1:19" ht="12.75">
      <c r="A177" s="28">
        <v>781</v>
      </c>
      <c r="B177" s="29" t="s">
        <v>172</v>
      </c>
      <c r="C177" s="28">
        <v>2288</v>
      </c>
      <c r="D177" s="382">
        <v>0</v>
      </c>
      <c r="E177" s="144">
        <v>0</v>
      </c>
      <c r="F177" s="193">
        <f>IF(C177&lt;972,E177+44,E177)</f>
        <v>0</v>
      </c>
      <c r="G177" s="193">
        <v>0</v>
      </c>
      <c r="H177" s="193">
        <v>0</v>
      </c>
      <c r="I177" s="360">
        <f t="shared" si="13"/>
        <v>781</v>
      </c>
      <c r="J177" s="304">
        <v>0</v>
      </c>
      <c r="K177" s="304">
        <f>D177*0.09</f>
        <v>0</v>
      </c>
      <c r="L177" s="304">
        <v>0</v>
      </c>
      <c r="M177" s="304">
        <v>0</v>
      </c>
      <c r="N177" s="390">
        <f>M177*1.1</f>
        <v>0</v>
      </c>
      <c r="O177" s="192">
        <f t="shared" si="12"/>
        <v>2288</v>
      </c>
      <c r="P177" s="30">
        <v>0</v>
      </c>
      <c r="Q177" s="28">
        <v>0</v>
      </c>
      <c r="R177" s="28">
        <v>0</v>
      </c>
      <c r="S177" s="281"/>
    </row>
    <row r="178" spans="1:19" ht="12.75">
      <c r="A178" s="28">
        <v>783</v>
      </c>
      <c r="B178" s="29" t="s">
        <v>477</v>
      </c>
      <c r="C178" s="28">
        <v>690</v>
      </c>
      <c r="D178" s="382">
        <v>170</v>
      </c>
      <c r="E178" s="366">
        <v>216</v>
      </c>
      <c r="F178" s="193">
        <v>261</v>
      </c>
      <c r="G178" s="304">
        <v>327</v>
      </c>
      <c r="H178" s="304">
        <v>350</v>
      </c>
      <c r="I178" s="360">
        <f t="shared" si="13"/>
        <v>783</v>
      </c>
      <c r="J178" s="304">
        <v>0</v>
      </c>
      <c r="K178" s="304">
        <v>0</v>
      </c>
      <c r="L178" s="304">
        <v>414.7</v>
      </c>
      <c r="M178" s="304">
        <v>0</v>
      </c>
      <c r="N178" s="390">
        <f>M178*1.1</f>
        <v>0</v>
      </c>
      <c r="O178" s="192">
        <f t="shared" si="12"/>
        <v>1017</v>
      </c>
      <c r="P178" s="30">
        <v>0</v>
      </c>
      <c r="Q178" s="28">
        <v>0</v>
      </c>
      <c r="R178" s="28">
        <v>0</v>
      </c>
      <c r="S178" s="281"/>
    </row>
    <row r="179" spans="1:19" ht="12.75">
      <c r="A179" s="28">
        <v>784</v>
      </c>
      <c r="B179" s="347" t="s">
        <v>423</v>
      </c>
      <c r="C179" s="348">
        <v>1600</v>
      </c>
      <c r="D179" s="382">
        <v>88</v>
      </c>
      <c r="E179" s="349">
        <v>88</v>
      </c>
      <c r="F179" s="346">
        <v>88</v>
      </c>
      <c r="G179" s="346">
        <v>88</v>
      </c>
      <c r="H179" s="346">
        <v>88</v>
      </c>
      <c r="I179" s="362">
        <f t="shared" si="13"/>
        <v>784</v>
      </c>
      <c r="J179" s="346">
        <v>0</v>
      </c>
      <c r="K179" s="346">
        <v>116</v>
      </c>
      <c r="L179" s="304">
        <v>88</v>
      </c>
      <c r="M179" s="346">
        <v>233</v>
      </c>
      <c r="N179" s="390">
        <f>M179*1.33333</f>
        <v>310.66589</v>
      </c>
      <c r="O179" s="192">
        <f t="shared" si="12"/>
        <v>1921</v>
      </c>
      <c r="P179" s="30">
        <v>0</v>
      </c>
      <c r="Q179" s="28">
        <v>0</v>
      </c>
      <c r="R179" s="28">
        <v>0</v>
      </c>
      <c r="S179" s="281"/>
    </row>
    <row r="180" spans="1:19" ht="12.75">
      <c r="A180" s="348">
        <v>785</v>
      </c>
      <c r="B180" s="347" t="s">
        <v>420</v>
      </c>
      <c r="C180" s="348">
        <v>1782</v>
      </c>
      <c r="D180" s="382">
        <v>64</v>
      </c>
      <c r="E180" s="349">
        <v>64</v>
      </c>
      <c r="F180" s="346">
        <v>64</v>
      </c>
      <c r="G180" s="346">
        <v>64</v>
      </c>
      <c r="H180" s="346">
        <v>64</v>
      </c>
      <c r="I180" s="362">
        <f t="shared" si="13"/>
        <v>785</v>
      </c>
      <c r="J180" s="346"/>
      <c r="K180" s="346">
        <v>194</v>
      </c>
      <c r="L180" s="304">
        <v>64</v>
      </c>
      <c r="M180" s="346">
        <v>388</v>
      </c>
      <c r="N180" s="390">
        <f>M180*1.33333</f>
        <v>517.33204</v>
      </c>
      <c r="O180" s="192">
        <f t="shared" si="12"/>
        <v>2234</v>
      </c>
      <c r="P180" s="30">
        <v>17</v>
      </c>
      <c r="Q180" s="28">
        <v>0</v>
      </c>
      <c r="R180" s="28">
        <v>0</v>
      </c>
      <c r="S180" s="281"/>
    </row>
    <row r="181" spans="1:19" ht="12.75">
      <c r="A181" s="348">
        <v>787</v>
      </c>
      <c r="B181" s="347" t="s">
        <v>421</v>
      </c>
      <c r="C181" s="348">
        <v>1700</v>
      </c>
      <c r="D181" s="382">
        <v>75</v>
      </c>
      <c r="E181" s="349">
        <v>75</v>
      </c>
      <c r="F181" s="346">
        <v>75</v>
      </c>
      <c r="G181" s="346">
        <v>75</v>
      </c>
      <c r="H181" s="346">
        <v>75</v>
      </c>
      <c r="I181" s="362">
        <f t="shared" si="13"/>
        <v>787</v>
      </c>
      <c r="J181" s="346"/>
      <c r="K181" s="346">
        <v>116</v>
      </c>
      <c r="L181" s="304">
        <v>75</v>
      </c>
      <c r="M181" s="346">
        <v>233</v>
      </c>
      <c r="N181" s="390">
        <f>M181*1.33333</f>
        <v>310.66589</v>
      </c>
      <c r="O181" s="192">
        <f t="shared" si="12"/>
        <v>2008</v>
      </c>
      <c r="P181" s="30">
        <v>17</v>
      </c>
      <c r="Q181" s="28">
        <v>0</v>
      </c>
      <c r="R181" s="28">
        <v>0</v>
      </c>
      <c r="S181" s="281"/>
    </row>
    <row r="182" spans="1:19" ht="12.75">
      <c r="A182" s="28">
        <v>788</v>
      </c>
      <c r="B182" s="29" t="s">
        <v>173</v>
      </c>
      <c r="C182" s="28">
        <v>2000</v>
      </c>
      <c r="D182" s="382">
        <v>36</v>
      </c>
      <c r="E182" s="144">
        <v>36</v>
      </c>
      <c r="F182" s="193">
        <f>IF(C182&lt;972,E182+44,E182)</f>
        <v>36</v>
      </c>
      <c r="G182" s="193">
        <v>36</v>
      </c>
      <c r="H182" s="193">
        <v>36</v>
      </c>
      <c r="I182" s="360">
        <f t="shared" si="13"/>
        <v>788</v>
      </c>
      <c r="J182" s="304">
        <v>0</v>
      </c>
      <c r="K182" s="304">
        <v>0</v>
      </c>
      <c r="L182" s="304">
        <v>36</v>
      </c>
      <c r="M182" s="304">
        <v>0</v>
      </c>
      <c r="N182" s="390">
        <f>M182*1.1</f>
        <v>0</v>
      </c>
      <c r="O182" s="192">
        <f t="shared" si="12"/>
        <v>2036</v>
      </c>
      <c r="P182" s="30">
        <v>0</v>
      </c>
      <c r="Q182" s="28">
        <v>0</v>
      </c>
      <c r="R182" s="28">
        <v>0</v>
      </c>
      <c r="S182" s="281"/>
    </row>
    <row r="183" spans="1:19" ht="12.75">
      <c r="A183" s="28">
        <v>789</v>
      </c>
      <c r="B183" s="29" t="s">
        <v>174</v>
      </c>
      <c r="C183" s="28">
        <v>971</v>
      </c>
      <c r="D183" s="382">
        <v>170</v>
      </c>
      <c r="E183" s="366">
        <v>216</v>
      </c>
      <c r="F183" s="193">
        <v>261</v>
      </c>
      <c r="G183" s="304">
        <v>327</v>
      </c>
      <c r="H183" s="304">
        <v>350</v>
      </c>
      <c r="I183" s="360">
        <f t="shared" si="13"/>
        <v>789</v>
      </c>
      <c r="J183" s="304">
        <v>0</v>
      </c>
      <c r="K183" s="304">
        <v>0</v>
      </c>
      <c r="L183" s="304">
        <v>414.7</v>
      </c>
      <c r="M183" s="304">
        <v>0</v>
      </c>
      <c r="N183" s="390">
        <f>M183*1.1</f>
        <v>0</v>
      </c>
      <c r="O183" s="192">
        <f t="shared" si="12"/>
        <v>1298</v>
      </c>
      <c r="P183" s="30">
        <v>0</v>
      </c>
      <c r="Q183" s="28">
        <v>0</v>
      </c>
      <c r="R183" s="28">
        <v>0</v>
      </c>
      <c r="S183" s="281"/>
    </row>
    <row r="184" spans="1:19" ht="12.75">
      <c r="A184" s="28">
        <v>791</v>
      </c>
      <c r="B184" s="29" t="s">
        <v>175</v>
      </c>
      <c r="C184" s="28">
        <v>2913</v>
      </c>
      <c r="D184" s="382">
        <v>0</v>
      </c>
      <c r="E184" s="144">
        <v>0</v>
      </c>
      <c r="F184" s="193">
        <f aca="true" t="shared" si="14" ref="F184:F190">IF(C184&lt;972,E184+44,E184)</f>
        <v>0</v>
      </c>
      <c r="G184" s="193">
        <v>0</v>
      </c>
      <c r="H184" s="193">
        <v>0</v>
      </c>
      <c r="I184" s="360">
        <f t="shared" si="13"/>
        <v>791</v>
      </c>
      <c r="J184" s="304">
        <v>0</v>
      </c>
      <c r="K184" s="345">
        <v>233</v>
      </c>
      <c r="L184" s="304">
        <v>0</v>
      </c>
      <c r="M184" s="345">
        <v>466</v>
      </c>
      <c r="N184" s="390">
        <v>776</v>
      </c>
      <c r="O184" s="192">
        <f t="shared" si="12"/>
        <v>3379</v>
      </c>
      <c r="P184" s="30">
        <v>17</v>
      </c>
      <c r="Q184" s="28">
        <v>0</v>
      </c>
      <c r="R184" s="28">
        <v>0</v>
      </c>
      <c r="S184" s="281"/>
    </row>
    <row r="185" spans="1:19" ht="12.75">
      <c r="A185" s="28">
        <v>792</v>
      </c>
      <c r="B185" s="29" t="s">
        <v>176</v>
      </c>
      <c r="C185" s="28">
        <v>2913</v>
      </c>
      <c r="D185" s="382">
        <v>0</v>
      </c>
      <c r="E185" s="144">
        <v>0</v>
      </c>
      <c r="F185" s="193">
        <f t="shared" si="14"/>
        <v>0</v>
      </c>
      <c r="G185" s="193">
        <v>0</v>
      </c>
      <c r="H185" s="193">
        <v>0</v>
      </c>
      <c r="I185" s="360">
        <f t="shared" si="13"/>
        <v>792</v>
      </c>
      <c r="J185" s="304">
        <v>0</v>
      </c>
      <c r="K185">
        <v>233</v>
      </c>
      <c r="L185" s="304">
        <v>0</v>
      </c>
      <c r="M185">
        <v>466</v>
      </c>
      <c r="N185" s="390">
        <v>776</v>
      </c>
      <c r="O185" s="192">
        <f t="shared" si="12"/>
        <v>3379</v>
      </c>
      <c r="P185" s="30">
        <v>0</v>
      </c>
      <c r="Q185" s="28">
        <v>0</v>
      </c>
      <c r="R185" s="28">
        <v>0</v>
      </c>
      <c r="S185" s="281"/>
    </row>
    <row r="186" spans="1:19" ht="12.75">
      <c r="A186" s="28">
        <v>793</v>
      </c>
      <c r="B186" s="29" t="s">
        <v>177</v>
      </c>
      <c r="C186" s="28">
        <v>2913</v>
      </c>
      <c r="D186" s="382">
        <v>0</v>
      </c>
      <c r="E186" s="144">
        <v>0</v>
      </c>
      <c r="F186" s="193">
        <f t="shared" si="14"/>
        <v>0</v>
      </c>
      <c r="G186" s="193">
        <v>0</v>
      </c>
      <c r="H186" s="193">
        <v>0</v>
      </c>
      <c r="I186" s="360">
        <f t="shared" si="13"/>
        <v>793</v>
      </c>
      <c r="J186" s="304">
        <v>0</v>
      </c>
      <c r="K186" s="345">
        <v>233</v>
      </c>
      <c r="L186" s="304">
        <v>0</v>
      </c>
      <c r="M186" s="345">
        <v>466</v>
      </c>
      <c r="N186" s="390">
        <v>776</v>
      </c>
      <c r="O186" s="192">
        <f t="shared" si="12"/>
        <v>3379</v>
      </c>
      <c r="P186" s="30">
        <v>0</v>
      </c>
      <c r="Q186" s="28">
        <v>0</v>
      </c>
      <c r="R186" s="28">
        <v>0</v>
      </c>
      <c r="S186" s="281"/>
    </row>
    <row r="187" spans="1:19" ht="12.75">
      <c r="A187" s="28">
        <v>794</v>
      </c>
      <c r="B187" s="29" t="s">
        <v>178</v>
      </c>
      <c r="C187" s="28">
        <v>1840</v>
      </c>
      <c r="D187" s="382">
        <v>57</v>
      </c>
      <c r="E187" s="144">
        <v>57</v>
      </c>
      <c r="F187" s="193">
        <f t="shared" si="14"/>
        <v>57</v>
      </c>
      <c r="G187" s="193">
        <v>57</v>
      </c>
      <c r="H187" s="193">
        <v>57</v>
      </c>
      <c r="I187" s="360">
        <f t="shared" si="13"/>
        <v>794</v>
      </c>
      <c r="J187" s="304">
        <v>0</v>
      </c>
      <c r="K187" s="304">
        <v>175</v>
      </c>
      <c r="L187" s="304">
        <v>57</v>
      </c>
      <c r="M187" s="304">
        <v>349</v>
      </c>
      <c r="N187" s="390">
        <f>M187*1.33333</f>
        <v>465.33216999999996</v>
      </c>
      <c r="O187" s="192">
        <f t="shared" si="12"/>
        <v>2246</v>
      </c>
      <c r="P187" s="30">
        <v>0</v>
      </c>
      <c r="Q187" s="28">
        <v>0</v>
      </c>
      <c r="R187" s="28">
        <v>0</v>
      </c>
      <c r="S187" s="281"/>
    </row>
    <row r="188" spans="1:19" ht="12.75">
      <c r="A188" s="28">
        <v>795</v>
      </c>
      <c r="B188" s="29" t="s">
        <v>179</v>
      </c>
      <c r="C188" s="348">
        <v>1610</v>
      </c>
      <c r="D188" s="382">
        <v>107</v>
      </c>
      <c r="E188" s="349">
        <v>107</v>
      </c>
      <c r="F188" s="346">
        <f t="shared" si="14"/>
        <v>107</v>
      </c>
      <c r="G188" s="346">
        <v>107</v>
      </c>
      <c r="H188" s="346">
        <v>107</v>
      </c>
      <c r="I188" s="362">
        <f t="shared" si="13"/>
        <v>795</v>
      </c>
      <c r="J188" s="346">
        <v>0</v>
      </c>
      <c r="K188" s="346">
        <v>116</v>
      </c>
      <c r="L188" s="304">
        <v>107</v>
      </c>
      <c r="M188" s="346">
        <v>233</v>
      </c>
      <c r="N188" s="390">
        <f>M188*1.33333</f>
        <v>310.66589</v>
      </c>
      <c r="O188" s="192">
        <f t="shared" si="12"/>
        <v>1950</v>
      </c>
      <c r="P188" s="30">
        <v>0</v>
      </c>
      <c r="Q188" s="28">
        <v>0</v>
      </c>
      <c r="R188" s="28">
        <v>0</v>
      </c>
      <c r="S188" s="281"/>
    </row>
    <row r="189" spans="1:19" ht="12.75">
      <c r="A189" s="28">
        <v>796</v>
      </c>
      <c r="B189" s="29" t="s">
        <v>180</v>
      </c>
      <c r="C189" s="28">
        <v>1340</v>
      </c>
      <c r="D189" s="382">
        <v>122</v>
      </c>
      <c r="E189" s="144">
        <v>122</v>
      </c>
      <c r="F189" s="193">
        <f t="shared" si="14"/>
        <v>122</v>
      </c>
      <c r="G189" s="193">
        <v>122</v>
      </c>
      <c r="H189" s="193">
        <v>122</v>
      </c>
      <c r="I189" s="360">
        <f t="shared" si="13"/>
        <v>796</v>
      </c>
      <c r="J189" s="304">
        <v>0</v>
      </c>
      <c r="K189" s="346">
        <v>116</v>
      </c>
      <c r="L189" s="304">
        <v>122</v>
      </c>
      <c r="M189" s="346">
        <v>233</v>
      </c>
      <c r="N189" s="390">
        <f>M189*1.33333</f>
        <v>310.66589</v>
      </c>
      <c r="O189" s="192">
        <f t="shared" si="12"/>
        <v>1695</v>
      </c>
      <c r="P189" s="30">
        <v>0</v>
      </c>
      <c r="Q189" s="28">
        <v>0</v>
      </c>
      <c r="R189" s="28">
        <v>0</v>
      </c>
      <c r="S189" s="281"/>
    </row>
    <row r="190" spans="1:19" ht="12.75">
      <c r="A190" s="28">
        <v>797</v>
      </c>
      <c r="B190" s="29" t="s">
        <v>181</v>
      </c>
      <c r="C190" s="28">
        <v>1170</v>
      </c>
      <c r="D190" s="382">
        <v>144</v>
      </c>
      <c r="E190" s="144">
        <v>144</v>
      </c>
      <c r="F190" s="193">
        <f t="shared" si="14"/>
        <v>144</v>
      </c>
      <c r="G190" s="193">
        <v>144</v>
      </c>
      <c r="H190" s="193">
        <v>144</v>
      </c>
      <c r="I190" s="360">
        <f t="shared" si="13"/>
        <v>797</v>
      </c>
      <c r="J190" s="304">
        <v>0</v>
      </c>
      <c r="K190" s="304">
        <v>0</v>
      </c>
      <c r="L190" s="304">
        <v>144</v>
      </c>
      <c r="M190" s="304">
        <v>0</v>
      </c>
      <c r="N190" s="390">
        <f>M190*1.1</f>
        <v>0</v>
      </c>
      <c r="O190" s="192">
        <f t="shared" si="12"/>
        <v>1314</v>
      </c>
      <c r="P190" s="30">
        <v>0</v>
      </c>
      <c r="Q190" s="28">
        <v>0</v>
      </c>
      <c r="R190" s="28">
        <v>0</v>
      </c>
      <c r="S190" s="281"/>
    </row>
    <row r="191" spans="1:19" ht="12.75">
      <c r="A191" s="28">
        <v>798</v>
      </c>
      <c r="B191" s="29" t="s">
        <v>182</v>
      </c>
      <c r="C191" s="28">
        <v>961</v>
      </c>
      <c r="D191" s="382">
        <v>170</v>
      </c>
      <c r="E191" s="366">
        <v>216</v>
      </c>
      <c r="F191" s="193">
        <v>261</v>
      </c>
      <c r="G191" s="304">
        <v>327</v>
      </c>
      <c r="H191" s="304">
        <v>350</v>
      </c>
      <c r="I191" s="360">
        <f t="shared" si="13"/>
        <v>798</v>
      </c>
      <c r="J191" s="304">
        <v>0</v>
      </c>
      <c r="K191" s="304">
        <v>0</v>
      </c>
      <c r="L191" s="304">
        <v>414.7</v>
      </c>
      <c r="M191" s="304">
        <v>0</v>
      </c>
      <c r="N191" s="390">
        <f>M191*1.1</f>
        <v>0</v>
      </c>
      <c r="O191" s="192">
        <f t="shared" si="12"/>
        <v>1288</v>
      </c>
      <c r="P191" s="30">
        <v>0</v>
      </c>
      <c r="Q191" s="28">
        <v>0</v>
      </c>
      <c r="R191" s="28">
        <v>0</v>
      </c>
      <c r="S191" s="281"/>
    </row>
    <row r="192" spans="1:19" ht="12.75">
      <c r="A192" s="306">
        <v>800</v>
      </c>
      <c r="B192" s="307" t="s">
        <v>445</v>
      </c>
      <c r="C192" s="306">
        <v>1942</v>
      </c>
      <c r="D192" s="382"/>
      <c r="E192" s="366"/>
      <c r="F192" s="193"/>
      <c r="G192" s="304">
        <v>43</v>
      </c>
      <c r="H192" s="304">
        <v>43</v>
      </c>
      <c r="I192" s="360">
        <f t="shared" si="13"/>
        <v>800</v>
      </c>
      <c r="J192" s="304"/>
      <c r="K192" s="304"/>
      <c r="L192" s="304">
        <v>43</v>
      </c>
      <c r="M192" s="304">
        <v>233</v>
      </c>
      <c r="N192" s="390">
        <f>M192*1.33333</f>
        <v>310.66589</v>
      </c>
      <c r="O192" s="192">
        <f t="shared" si="12"/>
        <v>2218</v>
      </c>
      <c r="P192" s="369">
        <v>17</v>
      </c>
      <c r="Q192" s="28">
        <v>0</v>
      </c>
      <c r="R192" s="28">
        <v>0</v>
      </c>
      <c r="S192" s="281"/>
    </row>
    <row r="193" spans="1:19" ht="12.75">
      <c r="A193" s="306">
        <v>801</v>
      </c>
      <c r="B193" s="307" t="s">
        <v>446</v>
      </c>
      <c r="C193" s="306">
        <v>1782</v>
      </c>
      <c r="D193" s="382"/>
      <c r="E193" s="366"/>
      <c r="F193" s="193"/>
      <c r="G193" s="304">
        <v>64</v>
      </c>
      <c r="H193" s="304">
        <v>64</v>
      </c>
      <c r="I193" s="360">
        <f t="shared" si="13"/>
        <v>801</v>
      </c>
      <c r="J193" s="304"/>
      <c r="K193" s="304"/>
      <c r="L193" s="304">
        <v>64</v>
      </c>
      <c r="M193" s="304">
        <v>233</v>
      </c>
      <c r="N193" s="390">
        <f>M193*1.33333</f>
        <v>310.66589</v>
      </c>
      <c r="O193" s="192">
        <f t="shared" si="12"/>
        <v>2079</v>
      </c>
      <c r="P193" s="369">
        <v>17</v>
      </c>
      <c r="Q193" s="28">
        <v>0</v>
      </c>
      <c r="R193" s="28">
        <v>0</v>
      </c>
      <c r="S193" s="281"/>
    </row>
    <row r="194" spans="1:19" ht="12.75">
      <c r="A194" s="306">
        <v>802</v>
      </c>
      <c r="B194" s="307" t="s">
        <v>449</v>
      </c>
      <c r="C194" s="306">
        <v>1700</v>
      </c>
      <c r="D194" s="382"/>
      <c r="E194" s="366"/>
      <c r="F194" s="193"/>
      <c r="G194" s="304">
        <v>75</v>
      </c>
      <c r="H194" s="304">
        <v>75</v>
      </c>
      <c r="I194" s="360">
        <f t="shared" si="13"/>
        <v>802</v>
      </c>
      <c r="J194" s="304"/>
      <c r="K194" s="304"/>
      <c r="L194" s="304">
        <v>75</v>
      </c>
      <c r="M194" s="304">
        <v>233</v>
      </c>
      <c r="N194" s="390">
        <f>M194*1.33333</f>
        <v>310.66589</v>
      </c>
      <c r="O194" s="192">
        <f t="shared" si="12"/>
        <v>2008</v>
      </c>
      <c r="P194" s="369">
        <v>17</v>
      </c>
      <c r="Q194" s="28">
        <v>0</v>
      </c>
      <c r="R194" s="28">
        <v>0</v>
      </c>
      <c r="S194" s="281"/>
    </row>
    <row r="195" spans="1:19" s="312" customFormat="1" ht="12.75">
      <c r="A195" s="306">
        <v>804</v>
      </c>
      <c r="B195" s="307" t="s">
        <v>431</v>
      </c>
      <c r="C195" s="306">
        <v>971</v>
      </c>
      <c r="D195" s="383">
        <v>170</v>
      </c>
      <c r="E195" s="367">
        <v>216</v>
      </c>
      <c r="F195" s="365">
        <v>261</v>
      </c>
      <c r="G195" s="304">
        <v>327</v>
      </c>
      <c r="H195" s="304">
        <v>350</v>
      </c>
      <c r="I195" s="365">
        <f t="shared" si="13"/>
        <v>804</v>
      </c>
      <c r="J195" s="308">
        <v>0</v>
      </c>
      <c r="K195" s="308">
        <v>0</v>
      </c>
      <c r="L195" s="304">
        <v>414.7</v>
      </c>
      <c r="M195" s="309">
        <v>0</v>
      </c>
      <c r="N195" s="390">
        <f>M195*1.1</f>
        <v>0</v>
      </c>
      <c r="O195" s="192">
        <f aca="true" t="shared" si="15" ref="O195:O259">C195+G195+M195</f>
        <v>1298</v>
      </c>
      <c r="P195" s="306">
        <v>0</v>
      </c>
      <c r="Q195" s="306">
        <v>413</v>
      </c>
      <c r="R195" s="311">
        <v>0</v>
      </c>
      <c r="S195" s="311"/>
    </row>
    <row r="196" spans="1:19" s="312" customFormat="1" ht="12.75">
      <c r="A196" s="306">
        <v>807</v>
      </c>
      <c r="B196" s="307" t="s">
        <v>507</v>
      </c>
      <c r="C196" s="306">
        <v>1942</v>
      </c>
      <c r="D196" s="383"/>
      <c r="E196" s="367"/>
      <c r="F196" s="365"/>
      <c r="G196" s="304"/>
      <c r="H196" s="304"/>
      <c r="I196" s="365">
        <f t="shared" si="13"/>
        <v>807</v>
      </c>
      <c r="J196" s="308"/>
      <c r="K196" s="308"/>
      <c r="L196" s="304">
        <v>43</v>
      </c>
      <c r="M196" s="365"/>
      <c r="N196" s="390">
        <v>518</v>
      </c>
      <c r="O196" s="192">
        <v>0</v>
      </c>
      <c r="P196" s="768">
        <v>0</v>
      </c>
      <c r="Q196" s="306">
        <v>0</v>
      </c>
      <c r="R196" s="311">
        <v>0</v>
      </c>
      <c r="S196" s="311">
        <v>0</v>
      </c>
    </row>
    <row r="197" spans="1:19" ht="12.75">
      <c r="A197" s="28">
        <v>808</v>
      </c>
      <c r="B197" s="29" t="s">
        <v>183</v>
      </c>
      <c r="C197" s="28">
        <v>1942</v>
      </c>
      <c r="D197" s="382">
        <v>43</v>
      </c>
      <c r="E197" s="144">
        <v>43</v>
      </c>
      <c r="F197" s="193">
        <f>IF(C197&lt;972,E197+44,E197)</f>
        <v>43</v>
      </c>
      <c r="G197" s="193">
        <v>43</v>
      </c>
      <c r="H197" s="193">
        <v>43</v>
      </c>
      <c r="I197" s="360">
        <f t="shared" si="13"/>
        <v>808</v>
      </c>
      <c r="J197" s="304">
        <v>0</v>
      </c>
      <c r="K197" s="346">
        <v>116</v>
      </c>
      <c r="L197" s="304">
        <v>43</v>
      </c>
      <c r="M197" s="346">
        <v>233</v>
      </c>
      <c r="N197" s="390">
        <f>M197*1.33333</f>
        <v>310.66589</v>
      </c>
      <c r="O197" s="192">
        <f t="shared" si="15"/>
        <v>2218</v>
      </c>
      <c r="P197" s="30">
        <v>0</v>
      </c>
      <c r="Q197" s="28">
        <v>0</v>
      </c>
      <c r="R197" s="28">
        <v>669</v>
      </c>
      <c r="S197" s="281"/>
    </row>
    <row r="198" spans="1:19" ht="12.75">
      <c r="A198" s="28">
        <v>809</v>
      </c>
      <c r="B198" s="29" t="s">
        <v>184</v>
      </c>
      <c r="C198" s="28">
        <v>1782</v>
      </c>
      <c r="D198" s="382">
        <v>64</v>
      </c>
      <c r="E198" s="144">
        <v>64</v>
      </c>
      <c r="F198" s="193">
        <f>IF(C198&lt;972,E198+44,E198)</f>
        <v>64</v>
      </c>
      <c r="G198" s="193">
        <v>64</v>
      </c>
      <c r="H198" s="193">
        <v>64</v>
      </c>
      <c r="I198" s="360">
        <f t="shared" si="13"/>
        <v>809</v>
      </c>
      <c r="J198" s="304">
        <v>0</v>
      </c>
      <c r="K198" s="346">
        <v>116</v>
      </c>
      <c r="L198" s="304">
        <v>64</v>
      </c>
      <c r="M198" s="346">
        <v>233</v>
      </c>
      <c r="N198" s="390">
        <f>M198*1.33333</f>
        <v>310.66589</v>
      </c>
      <c r="O198" s="192">
        <f t="shared" si="15"/>
        <v>2079</v>
      </c>
      <c r="P198" s="30">
        <v>0</v>
      </c>
      <c r="Q198" s="28">
        <v>0</v>
      </c>
      <c r="R198" s="28">
        <v>669</v>
      </c>
      <c r="S198" s="281"/>
    </row>
    <row r="199" spans="1:19" ht="12.75">
      <c r="A199" s="28">
        <v>810</v>
      </c>
      <c r="B199" s="29" t="s">
        <v>185</v>
      </c>
      <c r="C199" s="28">
        <v>1692</v>
      </c>
      <c r="D199" s="382">
        <v>76</v>
      </c>
      <c r="E199" s="144">
        <v>76</v>
      </c>
      <c r="F199" s="193">
        <f>IF(C199&lt;972,E199+44,E199)</f>
        <v>76</v>
      </c>
      <c r="G199" s="193">
        <v>76</v>
      </c>
      <c r="H199" s="193">
        <v>76</v>
      </c>
      <c r="I199" s="360">
        <f aca="true" t="shared" si="16" ref="I199:I262">A199</f>
        <v>810</v>
      </c>
      <c r="J199" s="304">
        <v>0</v>
      </c>
      <c r="K199" s="346">
        <v>116</v>
      </c>
      <c r="L199" s="304">
        <v>76</v>
      </c>
      <c r="M199" s="346">
        <v>233</v>
      </c>
      <c r="N199" s="390">
        <f>M199*1.33333</f>
        <v>310.66589</v>
      </c>
      <c r="O199" s="192">
        <f t="shared" si="15"/>
        <v>2001</v>
      </c>
      <c r="P199" s="30">
        <v>0</v>
      </c>
      <c r="Q199" s="28">
        <v>0</v>
      </c>
      <c r="R199" s="28">
        <v>663</v>
      </c>
      <c r="S199" s="281"/>
    </row>
    <row r="200" spans="1:19" ht="12.75">
      <c r="A200" s="28">
        <v>811</v>
      </c>
      <c r="B200" s="29" t="s">
        <v>186</v>
      </c>
      <c r="C200" s="28">
        <v>1592</v>
      </c>
      <c r="D200" s="382">
        <v>89</v>
      </c>
      <c r="E200" s="144">
        <v>89</v>
      </c>
      <c r="F200" s="193">
        <f>IF(C200&lt;972,E200+44,E200)</f>
        <v>89</v>
      </c>
      <c r="G200" s="193">
        <v>89</v>
      </c>
      <c r="H200" s="193">
        <v>89</v>
      </c>
      <c r="I200" s="360">
        <f t="shared" si="16"/>
        <v>811</v>
      </c>
      <c r="J200" s="304">
        <v>0</v>
      </c>
      <c r="K200" s="346">
        <v>116</v>
      </c>
      <c r="L200" s="304">
        <v>89</v>
      </c>
      <c r="M200" s="346">
        <v>233</v>
      </c>
      <c r="N200" s="390">
        <f>M200*1.33333</f>
        <v>310.66589</v>
      </c>
      <c r="O200" s="192">
        <f t="shared" si="15"/>
        <v>1914</v>
      </c>
      <c r="P200" s="30">
        <v>0</v>
      </c>
      <c r="Q200" s="28">
        <v>0</v>
      </c>
      <c r="R200" s="28">
        <v>657</v>
      </c>
      <c r="S200" s="281"/>
    </row>
    <row r="201" spans="1:19" ht="12.75">
      <c r="A201" s="28">
        <v>812</v>
      </c>
      <c r="B201" s="29" t="s">
        <v>187</v>
      </c>
      <c r="C201" s="28">
        <v>1600</v>
      </c>
      <c r="D201" s="382">
        <v>88</v>
      </c>
      <c r="E201" s="144">
        <v>88</v>
      </c>
      <c r="F201" s="193">
        <f>IF(C201&lt;972,E201+44,E201)</f>
        <v>88</v>
      </c>
      <c r="G201" s="193">
        <v>88</v>
      </c>
      <c r="H201" s="193">
        <v>88</v>
      </c>
      <c r="I201" s="360">
        <f t="shared" si="16"/>
        <v>812</v>
      </c>
      <c r="J201" s="304">
        <v>0</v>
      </c>
      <c r="K201" s="346">
        <v>116</v>
      </c>
      <c r="L201" s="304">
        <v>88</v>
      </c>
      <c r="M201" s="346">
        <v>233</v>
      </c>
      <c r="N201" s="390">
        <f>M201*1.33333</f>
        <v>310.66589</v>
      </c>
      <c r="O201" s="192">
        <f t="shared" si="15"/>
        <v>1921</v>
      </c>
      <c r="P201" s="30">
        <v>0</v>
      </c>
      <c r="Q201" s="28">
        <v>0</v>
      </c>
      <c r="R201" s="28">
        <v>657</v>
      </c>
      <c r="S201" s="281"/>
    </row>
    <row r="202" spans="1:19" ht="12.75">
      <c r="A202" s="28">
        <v>813</v>
      </c>
      <c r="B202" s="29" t="s">
        <v>188</v>
      </c>
      <c r="C202" s="28">
        <v>971</v>
      </c>
      <c r="D202" s="382">
        <v>170</v>
      </c>
      <c r="E202" s="144">
        <v>170</v>
      </c>
      <c r="F202" s="193">
        <v>170</v>
      </c>
      <c r="G202" s="304">
        <v>214</v>
      </c>
      <c r="H202" s="304">
        <v>214</v>
      </c>
      <c r="I202" s="360">
        <f t="shared" si="16"/>
        <v>813</v>
      </c>
      <c r="J202" s="304">
        <v>0</v>
      </c>
      <c r="K202" s="304">
        <v>0</v>
      </c>
      <c r="L202" s="304">
        <v>214</v>
      </c>
      <c r="M202" s="304">
        <v>0</v>
      </c>
      <c r="N202" s="390">
        <f>M202*1.1</f>
        <v>0</v>
      </c>
      <c r="O202" s="192">
        <f t="shared" si="15"/>
        <v>1185</v>
      </c>
      <c r="P202" s="30">
        <v>0</v>
      </c>
      <c r="Q202" s="28">
        <v>0</v>
      </c>
      <c r="R202" s="28">
        <v>620</v>
      </c>
      <c r="S202" s="281"/>
    </row>
    <row r="203" spans="1:19" ht="12.75">
      <c r="A203" s="28">
        <v>814</v>
      </c>
      <c r="B203" s="29" t="s">
        <v>189</v>
      </c>
      <c r="C203" s="28">
        <v>971</v>
      </c>
      <c r="D203" s="382">
        <v>170</v>
      </c>
      <c r="E203" s="144">
        <v>170</v>
      </c>
      <c r="F203" s="193">
        <v>170</v>
      </c>
      <c r="G203" s="304">
        <v>214</v>
      </c>
      <c r="H203" s="304">
        <v>214</v>
      </c>
      <c r="I203" s="360">
        <f t="shared" si="16"/>
        <v>814</v>
      </c>
      <c r="J203" s="304">
        <v>0</v>
      </c>
      <c r="K203" s="304">
        <v>0</v>
      </c>
      <c r="L203" s="304">
        <v>214</v>
      </c>
      <c r="M203" s="304">
        <v>0</v>
      </c>
      <c r="N203" s="390">
        <f>M203*1.1</f>
        <v>0</v>
      </c>
      <c r="O203" s="192">
        <f t="shared" si="15"/>
        <v>1185</v>
      </c>
      <c r="P203" s="30">
        <v>0</v>
      </c>
      <c r="Q203" s="28">
        <v>0</v>
      </c>
      <c r="R203" s="28">
        <v>155</v>
      </c>
      <c r="S203" s="281"/>
    </row>
    <row r="204" spans="1:19" ht="12.75">
      <c r="A204" s="28">
        <v>815</v>
      </c>
      <c r="B204" s="29" t="s">
        <v>190</v>
      </c>
      <c r="C204" s="28">
        <v>971</v>
      </c>
      <c r="D204" s="382">
        <v>170</v>
      </c>
      <c r="E204" s="144">
        <v>170</v>
      </c>
      <c r="F204" s="193">
        <v>170</v>
      </c>
      <c r="G204" s="304">
        <v>214</v>
      </c>
      <c r="H204" s="304">
        <v>214</v>
      </c>
      <c r="I204" s="360">
        <f t="shared" si="16"/>
        <v>815</v>
      </c>
      <c r="J204" s="304">
        <v>0</v>
      </c>
      <c r="K204" s="304">
        <v>0</v>
      </c>
      <c r="L204" s="304">
        <v>214</v>
      </c>
      <c r="M204" s="304">
        <v>0</v>
      </c>
      <c r="N204" s="390">
        <f>M204*1.1</f>
        <v>0</v>
      </c>
      <c r="O204" s="192">
        <f t="shared" si="15"/>
        <v>1185</v>
      </c>
      <c r="P204" s="30">
        <v>17</v>
      </c>
      <c r="Q204" s="28">
        <v>0</v>
      </c>
      <c r="R204" s="28">
        <v>0</v>
      </c>
      <c r="S204" s="281"/>
    </row>
    <row r="205" spans="1:19" ht="12.75">
      <c r="A205" s="28">
        <v>816</v>
      </c>
      <c r="B205" s="29" t="s">
        <v>191</v>
      </c>
      <c r="C205" s="28">
        <v>1600</v>
      </c>
      <c r="D205" s="382">
        <v>88</v>
      </c>
      <c r="E205" s="144">
        <v>88</v>
      </c>
      <c r="F205" s="193">
        <f>IF(C205&lt;972,E205+44,E205)</f>
        <v>88</v>
      </c>
      <c r="G205" s="193">
        <v>88</v>
      </c>
      <c r="H205" s="193">
        <v>88</v>
      </c>
      <c r="I205" s="360">
        <f t="shared" si="16"/>
        <v>816</v>
      </c>
      <c r="J205" s="304">
        <v>0</v>
      </c>
      <c r="K205" s="346">
        <v>116</v>
      </c>
      <c r="L205" s="304">
        <v>88</v>
      </c>
      <c r="M205" s="346">
        <v>233</v>
      </c>
      <c r="N205" s="390">
        <f>M205*1.33333</f>
        <v>310.66589</v>
      </c>
      <c r="O205" s="192">
        <f t="shared" si="15"/>
        <v>1921</v>
      </c>
      <c r="P205" s="30">
        <v>17</v>
      </c>
      <c r="Q205" s="28">
        <v>0</v>
      </c>
      <c r="R205" s="28">
        <v>0</v>
      </c>
      <c r="S205" s="281"/>
    </row>
    <row r="206" spans="1:19" ht="12.75">
      <c r="A206" s="28">
        <v>817</v>
      </c>
      <c r="B206" s="29" t="s">
        <v>192</v>
      </c>
      <c r="C206" s="28">
        <v>1782</v>
      </c>
      <c r="D206" s="382">
        <v>64</v>
      </c>
      <c r="E206" s="144">
        <v>64</v>
      </c>
      <c r="F206" s="193">
        <f>IF(C206&lt;972,E206+44,E206)</f>
        <v>64</v>
      </c>
      <c r="G206" s="193">
        <v>64</v>
      </c>
      <c r="H206" s="193">
        <v>64</v>
      </c>
      <c r="I206" s="360">
        <f t="shared" si="16"/>
        <v>817</v>
      </c>
      <c r="J206" s="304">
        <v>0</v>
      </c>
      <c r="K206" s="304">
        <v>175</v>
      </c>
      <c r="L206" s="304">
        <v>64</v>
      </c>
      <c r="M206" s="304">
        <v>349</v>
      </c>
      <c r="N206" s="390">
        <f>M206*1.33333</f>
        <v>465.33216999999996</v>
      </c>
      <c r="O206" s="192">
        <f t="shared" si="15"/>
        <v>2195</v>
      </c>
      <c r="P206" s="30">
        <v>0</v>
      </c>
      <c r="Q206" s="28">
        <v>0</v>
      </c>
      <c r="R206" s="28">
        <v>839</v>
      </c>
      <c r="S206" s="281"/>
    </row>
    <row r="207" spans="1:19" ht="12.75">
      <c r="A207" s="28">
        <v>818</v>
      </c>
      <c r="B207" s="29" t="s">
        <v>193</v>
      </c>
      <c r="C207" s="28">
        <v>971</v>
      </c>
      <c r="D207" s="382">
        <v>170</v>
      </c>
      <c r="E207" s="144">
        <v>170</v>
      </c>
      <c r="F207" s="193">
        <v>170</v>
      </c>
      <c r="G207" s="304">
        <v>214</v>
      </c>
      <c r="H207" s="304">
        <v>214</v>
      </c>
      <c r="I207" s="360">
        <f t="shared" si="16"/>
        <v>818</v>
      </c>
      <c r="J207" s="304">
        <v>0</v>
      </c>
      <c r="K207" s="304">
        <v>0</v>
      </c>
      <c r="L207" s="304">
        <v>214</v>
      </c>
      <c r="M207" s="304">
        <v>0</v>
      </c>
      <c r="N207" s="390">
        <f>M207*1.1</f>
        <v>0</v>
      </c>
      <c r="O207" s="192">
        <f t="shared" si="15"/>
        <v>1185</v>
      </c>
      <c r="P207" s="30">
        <v>0</v>
      </c>
      <c r="Q207" s="28">
        <v>0</v>
      </c>
      <c r="R207" s="28">
        <v>659</v>
      </c>
      <c r="S207" s="281"/>
    </row>
    <row r="208" spans="1:19" ht="12.75">
      <c r="A208" s="28">
        <v>819</v>
      </c>
      <c r="B208" s="29" t="s">
        <v>194</v>
      </c>
      <c r="C208" s="28">
        <v>971</v>
      </c>
      <c r="D208" s="382">
        <v>170</v>
      </c>
      <c r="E208" s="144">
        <v>170</v>
      </c>
      <c r="F208" s="193">
        <v>170</v>
      </c>
      <c r="G208" s="304">
        <v>214</v>
      </c>
      <c r="H208" s="304">
        <v>214</v>
      </c>
      <c r="I208" s="360">
        <f t="shared" si="16"/>
        <v>819</v>
      </c>
      <c r="J208" s="304">
        <v>0</v>
      </c>
      <c r="K208" s="304">
        <v>0</v>
      </c>
      <c r="L208" s="304">
        <v>214</v>
      </c>
      <c r="M208" s="304">
        <v>0</v>
      </c>
      <c r="N208" s="390">
        <f>M208*1.1</f>
        <v>0</v>
      </c>
      <c r="O208" s="192">
        <f t="shared" si="15"/>
        <v>1185</v>
      </c>
      <c r="P208" s="30">
        <v>0</v>
      </c>
      <c r="Q208" s="28">
        <v>0</v>
      </c>
      <c r="R208" s="28">
        <v>155</v>
      </c>
      <c r="S208" s="281"/>
    </row>
    <row r="209" spans="1:19" ht="12.75">
      <c r="A209" s="28">
        <v>820</v>
      </c>
      <c r="B209" s="29" t="s">
        <v>195</v>
      </c>
      <c r="C209" s="28">
        <v>1692</v>
      </c>
      <c r="D209" s="382">
        <v>76</v>
      </c>
      <c r="E209" s="144">
        <v>76</v>
      </c>
      <c r="F209" s="193">
        <f>IF(C209&lt;972,E209+44,E209)</f>
        <v>76</v>
      </c>
      <c r="G209" s="193">
        <v>76</v>
      </c>
      <c r="H209" s="193">
        <v>76</v>
      </c>
      <c r="I209" s="360">
        <f t="shared" si="16"/>
        <v>820</v>
      </c>
      <c r="J209" s="304">
        <v>0</v>
      </c>
      <c r="K209" s="346">
        <v>136</v>
      </c>
      <c r="L209" s="304">
        <v>76</v>
      </c>
      <c r="M209" s="346">
        <v>272</v>
      </c>
      <c r="N209" s="390">
        <f>M209*1.33333</f>
        <v>362.66576</v>
      </c>
      <c r="O209" s="192">
        <f t="shared" si="15"/>
        <v>2040</v>
      </c>
      <c r="P209" s="30">
        <v>0</v>
      </c>
      <c r="Q209" s="28">
        <v>0</v>
      </c>
      <c r="R209" s="28">
        <v>839</v>
      </c>
      <c r="S209" s="281"/>
    </row>
    <row r="210" spans="1:19" ht="12.75">
      <c r="A210" s="28">
        <v>821</v>
      </c>
      <c r="B210" s="29" t="s">
        <v>196</v>
      </c>
      <c r="C210" s="28">
        <v>1592</v>
      </c>
      <c r="D210" s="382">
        <v>89</v>
      </c>
      <c r="E210" s="144">
        <v>89</v>
      </c>
      <c r="F210" s="193">
        <f>IF(C210&lt;972,E210+44,E210)</f>
        <v>89</v>
      </c>
      <c r="G210" s="193">
        <v>89</v>
      </c>
      <c r="H210" s="193">
        <v>89</v>
      </c>
      <c r="I210" s="360">
        <f t="shared" si="16"/>
        <v>821</v>
      </c>
      <c r="J210" s="304">
        <v>0</v>
      </c>
      <c r="K210" s="346">
        <v>116</v>
      </c>
      <c r="L210" s="304">
        <v>89</v>
      </c>
      <c r="M210" s="346">
        <v>233</v>
      </c>
      <c r="N210" s="390">
        <f>M210*1.33333</f>
        <v>310.66589</v>
      </c>
      <c r="O210" s="192">
        <f t="shared" si="15"/>
        <v>1914</v>
      </c>
      <c r="P210" s="30">
        <v>0</v>
      </c>
      <c r="Q210" s="28">
        <v>0</v>
      </c>
      <c r="R210" s="28">
        <v>839</v>
      </c>
      <c r="S210" s="281"/>
    </row>
    <row r="211" spans="1:19" ht="12.75">
      <c r="A211" s="28">
        <v>822</v>
      </c>
      <c r="B211" s="29" t="s">
        <v>197</v>
      </c>
      <c r="C211" s="28">
        <v>971</v>
      </c>
      <c r="D211" s="382">
        <v>170</v>
      </c>
      <c r="E211" s="366">
        <v>216</v>
      </c>
      <c r="F211" s="193">
        <v>261</v>
      </c>
      <c r="G211" s="304">
        <v>327</v>
      </c>
      <c r="H211" s="304">
        <v>350</v>
      </c>
      <c r="I211" s="360">
        <f t="shared" si="16"/>
        <v>822</v>
      </c>
      <c r="J211" s="304">
        <v>0</v>
      </c>
      <c r="K211" s="304">
        <v>0</v>
      </c>
      <c r="L211" s="304">
        <v>414.7</v>
      </c>
      <c r="M211" s="304">
        <v>0</v>
      </c>
      <c r="N211" s="390">
        <f>M211*1.1</f>
        <v>0</v>
      </c>
      <c r="O211" s="192">
        <f t="shared" si="15"/>
        <v>1298</v>
      </c>
      <c r="P211" s="30">
        <v>0</v>
      </c>
      <c r="Q211" s="28">
        <v>0</v>
      </c>
      <c r="R211" s="28">
        <v>155</v>
      </c>
      <c r="S211" s="281"/>
    </row>
    <row r="212" spans="1:19" ht="12.75">
      <c r="A212" s="28">
        <v>823</v>
      </c>
      <c r="B212" s="29" t="s">
        <v>198</v>
      </c>
      <c r="C212" s="28">
        <v>1700</v>
      </c>
      <c r="D212" s="382">
        <v>75</v>
      </c>
      <c r="E212" s="144">
        <v>75</v>
      </c>
      <c r="F212" s="193">
        <f>IF(C212&lt;972,E212+44,E212)</f>
        <v>75</v>
      </c>
      <c r="G212" s="193">
        <v>75</v>
      </c>
      <c r="H212" s="193">
        <v>75</v>
      </c>
      <c r="I212" s="360">
        <f t="shared" si="16"/>
        <v>823</v>
      </c>
      <c r="J212" s="304">
        <v>0</v>
      </c>
      <c r="K212" s="346">
        <v>116</v>
      </c>
      <c r="L212" s="304">
        <v>75</v>
      </c>
      <c r="M212" s="346">
        <v>233</v>
      </c>
      <c r="N212" s="390">
        <f>M212*1.33333</f>
        <v>310.66589</v>
      </c>
      <c r="O212" s="192">
        <f t="shared" si="15"/>
        <v>2008</v>
      </c>
      <c r="P212" s="30">
        <v>0</v>
      </c>
      <c r="Q212" s="28">
        <v>0</v>
      </c>
      <c r="R212" s="28">
        <v>657</v>
      </c>
      <c r="S212" s="281"/>
    </row>
    <row r="213" spans="1:19" ht="12.75">
      <c r="A213" s="28">
        <v>824</v>
      </c>
      <c r="B213" s="29" t="s">
        <v>199</v>
      </c>
      <c r="C213" s="28">
        <v>1400</v>
      </c>
      <c r="D213" s="382">
        <v>114</v>
      </c>
      <c r="E213" s="144">
        <v>114</v>
      </c>
      <c r="F213" s="193">
        <f>IF(C213&lt;972,E213+44,E213)</f>
        <v>114</v>
      </c>
      <c r="G213" s="193">
        <v>114</v>
      </c>
      <c r="H213" s="193">
        <v>114</v>
      </c>
      <c r="I213" s="360">
        <f t="shared" si="16"/>
        <v>824</v>
      </c>
      <c r="J213" s="304">
        <v>0</v>
      </c>
      <c r="K213" s="346">
        <v>116</v>
      </c>
      <c r="L213" s="304">
        <v>114</v>
      </c>
      <c r="M213" s="346">
        <v>233</v>
      </c>
      <c r="N213" s="390">
        <f>M213*1.33333</f>
        <v>310.66589</v>
      </c>
      <c r="O213" s="192">
        <f t="shared" si="15"/>
        <v>1747</v>
      </c>
      <c r="P213" s="30">
        <v>0</v>
      </c>
      <c r="Q213" s="28">
        <v>0</v>
      </c>
      <c r="R213" s="28">
        <v>657</v>
      </c>
      <c r="S213" s="281"/>
    </row>
    <row r="214" spans="1:19" ht="12.75">
      <c r="A214" s="28">
        <v>825</v>
      </c>
      <c r="B214" s="29" t="s">
        <v>200</v>
      </c>
      <c r="C214" s="28">
        <v>1300</v>
      </c>
      <c r="D214" s="382">
        <v>127</v>
      </c>
      <c r="E214" s="144">
        <v>127</v>
      </c>
      <c r="F214" s="193">
        <f>IF(C214&lt;972,E214+44,E214)</f>
        <v>127</v>
      </c>
      <c r="G214" s="193">
        <v>127</v>
      </c>
      <c r="H214" s="193">
        <v>127</v>
      </c>
      <c r="I214" s="360">
        <f t="shared" si="16"/>
        <v>825</v>
      </c>
      <c r="J214" s="304">
        <v>0</v>
      </c>
      <c r="K214" s="346">
        <v>116</v>
      </c>
      <c r="L214" s="304">
        <v>127</v>
      </c>
      <c r="M214" s="346">
        <v>233</v>
      </c>
      <c r="N214" s="390">
        <f>M214*1.33333</f>
        <v>310.66589</v>
      </c>
      <c r="O214" s="192">
        <f t="shared" si="15"/>
        <v>1660</v>
      </c>
      <c r="P214" s="30">
        <v>0</v>
      </c>
      <c r="Q214" s="28">
        <v>0</v>
      </c>
      <c r="R214" s="28">
        <v>657</v>
      </c>
      <c r="S214" s="281"/>
    </row>
    <row r="215" spans="1:19" ht="12.75">
      <c r="A215" s="28">
        <v>826</v>
      </c>
      <c r="B215" s="29" t="s">
        <v>201</v>
      </c>
      <c r="C215" s="28">
        <v>1250</v>
      </c>
      <c r="D215" s="382">
        <v>134</v>
      </c>
      <c r="E215" s="144">
        <v>134</v>
      </c>
      <c r="F215" s="193">
        <f>IF(C215&lt;972,E215+44,E215)</f>
        <v>134</v>
      </c>
      <c r="G215" s="193">
        <v>134</v>
      </c>
      <c r="H215" s="193">
        <v>134</v>
      </c>
      <c r="I215" s="360">
        <f t="shared" si="16"/>
        <v>826</v>
      </c>
      <c r="J215" s="304">
        <v>0</v>
      </c>
      <c r="K215" s="346">
        <v>116</v>
      </c>
      <c r="L215" s="304">
        <v>134</v>
      </c>
      <c r="M215" s="346">
        <v>233</v>
      </c>
      <c r="N215" s="390">
        <f>M215*1.33333</f>
        <v>310.66589</v>
      </c>
      <c r="O215" s="192">
        <f t="shared" si="15"/>
        <v>1617</v>
      </c>
      <c r="P215" s="30">
        <v>0</v>
      </c>
      <c r="Q215" s="28">
        <v>0</v>
      </c>
      <c r="R215" s="28">
        <v>657</v>
      </c>
      <c r="S215" s="281"/>
    </row>
    <row r="216" spans="1:19" ht="12.75">
      <c r="A216" s="28">
        <v>827</v>
      </c>
      <c r="B216" s="347" t="s">
        <v>419</v>
      </c>
      <c r="C216" s="348">
        <v>1942</v>
      </c>
      <c r="D216" s="382">
        <v>43</v>
      </c>
      <c r="E216" s="349">
        <v>43</v>
      </c>
      <c r="F216" s="346">
        <v>43</v>
      </c>
      <c r="G216" s="346">
        <v>43</v>
      </c>
      <c r="H216" s="346">
        <v>43</v>
      </c>
      <c r="I216" s="362">
        <f t="shared" si="16"/>
        <v>827</v>
      </c>
      <c r="J216" s="346">
        <v>0</v>
      </c>
      <c r="K216" s="346">
        <v>194</v>
      </c>
      <c r="L216" s="304">
        <v>43</v>
      </c>
      <c r="M216" s="346">
        <v>388</v>
      </c>
      <c r="N216" s="390">
        <f>M216*1.33333</f>
        <v>517.33204</v>
      </c>
      <c r="O216" s="192">
        <f t="shared" si="15"/>
        <v>2373</v>
      </c>
      <c r="P216" s="30">
        <v>0</v>
      </c>
      <c r="Q216" s="28">
        <v>0</v>
      </c>
      <c r="R216" s="28">
        <v>0</v>
      </c>
      <c r="S216" s="281"/>
    </row>
    <row r="217" spans="1:19" ht="12.75">
      <c r="A217" s="28">
        <v>828</v>
      </c>
      <c r="B217" s="29" t="s">
        <v>202</v>
      </c>
      <c r="C217" s="28">
        <v>2913</v>
      </c>
      <c r="D217" s="382">
        <v>0</v>
      </c>
      <c r="E217" s="144">
        <v>0</v>
      </c>
      <c r="F217" s="193">
        <f>IF(C217&lt;972,E217+44,E217)</f>
        <v>0</v>
      </c>
      <c r="G217" s="193">
        <v>0</v>
      </c>
      <c r="H217" s="193">
        <v>0</v>
      </c>
      <c r="I217" s="360">
        <f t="shared" si="16"/>
        <v>828</v>
      </c>
      <c r="J217" s="304">
        <v>0</v>
      </c>
      <c r="K217" s="304">
        <v>0</v>
      </c>
      <c r="L217" s="304">
        <v>0</v>
      </c>
      <c r="M217" s="304">
        <v>0</v>
      </c>
      <c r="N217" s="390">
        <f>M217*1.1</f>
        <v>0</v>
      </c>
      <c r="O217" s="192">
        <f t="shared" si="15"/>
        <v>2913</v>
      </c>
      <c r="P217" s="30">
        <v>0</v>
      </c>
      <c r="Q217" s="28">
        <v>0</v>
      </c>
      <c r="R217" s="28">
        <v>0</v>
      </c>
      <c r="S217" s="281"/>
    </row>
    <row r="218" spans="1:19" ht="12.75">
      <c r="A218" s="28">
        <v>829</v>
      </c>
      <c r="B218" s="347" t="s">
        <v>447</v>
      </c>
      <c r="C218" s="348">
        <v>1782</v>
      </c>
      <c r="D218" s="382">
        <v>64</v>
      </c>
      <c r="E218" s="349">
        <v>64</v>
      </c>
      <c r="F218" s="193">
        <v>64</v>
      </c>
      <c r="G218" s="193">
        <v>64</v>
      </c>
      <c r="H218" s="193">
        <v>64</v>
      </c>
      <c r="I218" s="360">
        <f t="shared" si="16"/>
        <v>829</v>
      </c>
      <c r="J218" s="304">
        <v>0</v>
      </c>
      <c r="K218" s="346">
        <v>175</v>
      </c>
      <c r="L218" s="304">
        <v>64</v>
      </c>
      <c r="M218" s="346">
        <v>349</v>
      </c>
      <c r="N218" s="390">
        <f>M218*1.33333</f>
        <v>465.33216999999996</v>
      </c>
      <c r="O218" s="192">
        <f t="shared" si="15"/>
        <v>2195</v>
      </c>
      <c r="P218" s="30">
        <v>0</v>
      </c>
      <c r="Q218" s="28">
        <v>0</v>
      </c>
      <c r="R218" s="28">
        <v>0</v>
      </c>
      <c r="S218" s="281"/>
    </row>
    <row r="219" spans="1:19" ht="12.75">
      <c r="A219" s="28">
        <v>830</v>
      </c>
      <c r="B219" s="29" t="s">
        <v>203</v>
      </c>
      <c r="C219" s="28">
        <v>1740</v>
      </c>
      <c r="D219" s="382">
        <v>70</v>
      </c>
      <c r="E219" s="144">
        <v>70</v>
      </c>
      <c r="F219" s="193">
        <f>IF(C219&lt;972,E219+44,E219)</f>
        <v>70</v>
      </c>
      <c r="G219" s="193">
        <v>70</v>
      </c>
      <c r="H219" s="193">
        <v>70</v>
      </c>
      <c r="I219" s="360">
        <f t="shared" si="16"/>
        <v>830</v>
      </c>
      <c r="J219" s="304">
        <v>0</v>
      </c>
      <c r="K219" s="304">
        <v>0</v>
      </c>
      <c r="L219" s="304">
        <v>70</v>
      </c>
      <c r="M219" s="304">
        <v>0</v>
      </c>
      <c r="N219" s="390">
        <f>M219*1.1</f>
        <v>0</v>
      </c>
      <c r="O219" s="192">
        <f t="shared" si="15"/>
        <v>1810</v>
      </c>
      <c r="P219" s="30">
        <v>0</v>
      </c>
      <c r="Q219" s="28">
        <v>0</v>
      </c>
      <c r="R219" s="28">
        <v>0</v>
      </c>
      <c r="S219" s="281"/>
    </row>
    <row r="220" spans="1:19" ht="12.75">
      <c r="A220" s="28">
        <v>831</v>
      </c>
      <c r="B220" s="29" t="s">
        <v>204</v>
      </c>
      <c r="C220" s="28">
        <v>971</v>
      </c>
      <c r="D220" s="382">
        <v>170</v>
      </c>
      <c r="E220" s="366">
        <v>216</v>
      </c>
      <c r="F220" s="193">
        <v>261</v>
      </c>
      <c r="G220" s="304">
        <v>327</v>
      </c>
      <c r="H220" s="304">
        <v>350</v>
      </c>
      <c r="I220" s="360">
        <f t="shared" si="16"/>
        <v>831</v>
      </c>
      <c r="J220" s="304">
        <v>0</v>
      </c>
      <c r="K220" s="304">
        <v>0</v>
      </c>
      <c r="L220" s="304">
        <v>414.7</v>
      </c>
      <c r="M220" s="304">
        <v>0</v>
      </c>
      <c r="N220" s="390">
        <f>M220*1.1</f>
        <v>0</v>
      </c>
      <c r="O220" s="192">
        <f t="shared" si="15"/>
        <v>1298</v>
      </c>
      <c r="P220" s="30">
        <v>0</v>
      </c>
      <c r="Q220" s="28">
        <v>0</v>
      </c>
      <c r="R220" s="28">
        <v>0</v>
      </c>
      <c r="S220" s="281"/>
    </row>
    <row r="221" spans="1:19" ht="12.75">
      <c r="A221" s="348">
        <v>832</v>
      </c>
      <c r="B221" s="347" t="s">
        <v>422</v>
      </c>
      <c r="C221" s="348">
        <v>1700</v>
      </c>
      <c r="D221" s="382">
        <v>0</v>
      </c>
      <c r="E221" s="349">
        <v>0</v>
      </c>
      <c r="F221" s="346">
        <f>IF(C221&lt;972,E221+44,E221)</f>
        <v>0</v>
      </c>
      <c r="G221" s="346">
        <v>75</v>
      </c>
      <c r="H221" s="346">
        <v>75</v>
      </c>
      <c r="I221" s="362">
        <f t="shared" si="16"/>
        <v>832</v>
      </c>
      <c r="J221" s="346">
        <v>0</v>
      </c>
      <c r="K221" s="346">
        <v>116</v>
      </c>
      <c r="L221" s="304">
        <v>75</v>
      </c>
      <c r="M221" s="346">
        <v>233</v>
      </c>
      <c r="N221" s="390">
        <f>M221*1.33333</f>
        <v>310.66589</v>
      </c>
      <c r="O221" s="192">
        <f t="shared" si="15"/>
        <v>2008</v>
      </c>
      <c r="P221" s="30">
        <v>0</v>
      </c>
      <c r="Q221" s="28">
        <v>0</v>
      </c>
      <c r="R221" s="28">
        <v>0</v>
      </c>
      <c r="S221" s="281"/>
    </row>
    <row r="222" spans="1:19" ht="12.75">
      <c r="A222" s="28">
        <v>833</v>
      </c>
      <c r="B222" s="29" t="s">
        <v>205</v>
      </c>
      <c r="C222" s="28">
        <v>971</v>
      </c>
      <c r="D222" s="382">
        <v>170</v>
      </c>
      <c r="E222" s="366">
        <v>216</v>
      </c>
      <c r="F222" s="193">
        <v>261</v>
      </c>
      <c r="G222" s="304">
        <v>327</v>
      </c>
      <c r="H222" s="304">
        <v>214</v>
      </c>
      <c r="I222" s="360">
        <f>A222</f>
        <v>833</v>
      </c>
      <c r="J222" s="304">
        <v>0</v>
      </c>
      <c r="K222" s="304">
        <v>0</v>
      </c>
      <c r="L222" s="304">
        <v>214</v>
      </c>
      <c r="M222" s="304">
        <v>0</v>
      </c>
      <c r="N222" s="390">
        <f aca="true" t="shared" si="17" ref="N222:N228">M222*1.1</f>
        <v>0</v>
      </c>
      <c r="O222" s="192">
        <f t="shared" si="15"/>
        <v>1298</v>
      </c>
      <c r="P222" s="30">
        <v>0</v>
      </c>
      <c r="Q222" s="28">
        <v>0</v>
      </c>
      <c r="R222" s="28">
        <v>155</v>
      </c>
      <c r="S222" s="281"/>
    </row>
    <row r="223" spans="1:19" ht="12.75">
      <c r="A223" s="28">
        <v>834</v>
      </c>
      <c r="B223" s="29" t="s">
        <v>206</v>
      </c>
      <c r="C223" s="28">
        <v>971</v>
      </c>
      <c r="D223" s="382">
        <v>170</v>
      </c>
      <c r="E223" s="366">
        <v>216</v>
      </c>
      <c r="F223" s="193">
        <v>261</v>
      </c>
      <c r="G223" s="304">
        <v>327</v>
      </c>
      <c r="H223" s="304">
        <v>214</v>
      </c>
      <c r="I223" s="360">
        <f>A223</f>
        <v>834</v>
      </c>
      <c r="J223" s="304">
        <v>0</v>
      </c>
      <c r="K223" s="304">
        <v>0</v>
      </c>
      <c r="L223" s="304">
        <v>214</v>
      </c>
      <c r="M223" s="304">
        <v>0</v>
      </c>
      <c r="N223" s="390">
        <f t="shared" si="17"/>
        <v>0</v>
      </c>
      <c r="O223" s="192">
        <f t="shared" si="15"/>
        <v>1298</v>
      </c>
      <c r="P223" s="30">
        <v>0</v>
      </c>
      <c r="Q223" s="28">
        <v>0</v>
      </c>
      <c r="R223" s="28">
        <v>155</v>
      </c>
      <c r="S223" s="281"/>
    </row>
    <row r="224" spans="1:19" ht="12.75">
      <c r="A224" s="28">
        <v>835</v>
      </c>
      <c r="B224" s="29" t="s">
        <v>207</v>
      </c>
      <c r="C224" s="28">
        <v>971</v>
      </c>
      <c r="D224" s="382">
        <v>170</v>
      </c>
      <c r="E224" s="366">
        <v>216</v>
      </c>
      <c r="F224" s="193">
        <v>261</v>
      </c>
      <c r="G224" s="304">
        <v>327</v>
      </c>
      <c r="H224" s="304">
        <v>350</v>
      </c>
      <c r="I224" s="360">
        <f t="shared" si="16"/>
        <v>835</v>
      </c>
      <c r="J224" s="304">
        <v>0</v>
      </c>
      <c r="K224" s="304">
        <v>0</v>
      </c>
      <c r="L224" s="304">
        <v>414.7</v>
      </c>
      <c r="M224" s="304">
        <v>0</v>
      </c>
      <c r="N224" s="390">
        <f t="shared" si="17"/>
        <v>0</v>
      </c>
      <c r="O224" s="192">
        <f t="shared" si="15"/>
        <v>1298</v>
      </c>
      <c r="P224" s="30">
        <v>0</v>
      </c>
      <c r="Q224" s="28">
        <v>0</v>
      </c>
      <c r="R224" s="28">
        <v>0</v>
      </c>
      <c r="S224" s="281"/>
    </row>
    <row r="225" spans="1:19" ht="12.75">
      <c r="A225" s="28">
        <v>836</v>
      </c>
      <c r="B225" s="29" t="s">
        <v>208</v>
      </c>
      <c r="C225" s="28">
        <v>971</v>
      </c>
      <c r="D225" s="382">
        <v>170</v>
      </c>
      <c r="E225" s="366">
        <v>216</v>
      </c>
      <c r="F225" s="193">
        <v>261</v>
      </c>
      <c r="G225" s="304">
        <v>327</v>
      </c>
      <c r="H225" s="304">
        <v>350</v>
      </c>
      <c r="I225" s="360">
        <f t="shared" si="16"/>
        <v>836</v>
      </c>
      <c r="J225" s="304">
        <v>0</v>
      </c>
      <c r="K225" s="304">
        <v>0</v>
      </c>
      <c r="L225" s="304">
        <v>414.7</v>
      </c>
      <c r="M225" s="304">
        <v>0</v>
      </c>
      <c r="N225" s="390">
        <f t="shared" si="17"/>
        <v>0</v>
      </c>
      <c r="O225" s="192">
        <f t="shared" si="15"/>
        <v>1298</v>
      </c>
      <c r="P225" s="30">
        <v>0</v>
      </c>
      <c r="Q225" s="28">
        <v>0</v>
      </c>
      <c r="R225" s="28">
        <v>155</v>
      </c>
      <c r="S225" s="281"/>
    </row>
    <row r="226" spans="1:19" ht="12.75">
      <c r="A226" s="28">
        <v>837</v>
      </c>
      <c r="B226" s="29" t="s">
        <v>209</v>
      </c>
      <c r="C226" s="28">
        <v>971</v>
      </c>
      <c r="D226" s="382">
        <v>170</v>
      </c>
      <c r="E226" s="366">
        <v>216</v>
      </c>
      <c r="F226" s="193">
        <v>261</v>
      </c>
      <c r="G226" s="304">
        <v>327</v>
      </c>
      <c r="H226" s="304">
        <v>350</v>
      </c>
      <c r="I226" s="360">
        <f t="shared" si="16"/>
        <v>837</v>
      </c>
      <c r="J226" s="304">
        <v>0</v>
      </c>
      <c r="K226" s="304">
        <v>0</v>
      </c>
      <c r="L226" s="304">
        <v>414.7</v>
      </c>
      <c r="M226" s="304">
        <v>0</v>
      </c>
      <c r="N226" s="390">
        <f t="shared" si="17"/>
        <v>0</v>
      </c>
      <c r="O226" s="192">
        <f t="shared" si="15"/>
        <v>1298</v>
      </c>
      <c r="P226" s="30">
        <v>0</v>
      </c>
      <c r="Q226" s="28">
        <v>0</v>
      </c>
      <c r="R226" s="28">
        <v>155</v>
      </c>
      <c r="S226" s="281"/>
    </row>
    <row r="227" spans="1:19" ht="12.75">
      <c r="A227" s="28">
        <v>839</v>
      </c>
      <c r="B227" s="29" t="s">
        <v>210</v>
      </c>
      <c r="C227" s="28">
        <v>971</v>
      </c>
      <c r="D227" s="382">
        <v>170</v>
      </c>
      <c r="E227" s="366">
        <v>216</v>
      </c>
      <c r="F227" s="193">
        <v>261</v>
      </c>
      <c r="G227" s="304">
        <v>327</v>
      </c>
      <c r="H227" s="304">
        <v>350</v>
      </c>
      <c r="I227" s="360">
        <f t="shared" si="16"/>
        <v>839</v>
      </c>
      <c r="J227" s="304">
        <v>0</v>
      </c>
      <c r="K227" s="304">
        <v>0</v>
      </c>
      <c r="L227" s="304">
        <v>414.7</v>
      </c>
      <c r="M227" s="304">
        <v>0</v>
      </c>
      <c r="N227" s="390">
        <f t="shared" si="17"/>
        <v>0</v>
      </c>
      <c r="O227" s="192">
        <f t="shared" si="15"/>
        <v>1298</v>
      </c>
      <c r="P227" s="30">
        <v>0</v>
      </c>
      <c r="Q227" s="28">
        <v>0</v>
      </c>
      <c r="R227" s="28">
        <v>155</v>
      </c>
      <c r="S227" s="281"/>
    </row>
    <row r="228" spans="1:19" ht="12.75">
      <c r="A228" s="28">
        <v>840</v>
      </c>
      <c r="B228" s="29" t="s">
        <v>211</v>
      </c>
      <c r="C228" s="28">
        <v>971</v>
      </c>
      <c r="D228" s="382">
        <v>170</v>
      </c>
      <c r="E228" s="366">
        <v>216</v>
      </c>
      <c r="F228" s="193">
        <v>261</v>
      </c>
      <c r="G228" s="304">
        <v>327</v>
      </c>
      <c r="H228" s="304">
        <v>350</v>
      </c>
      <c r="I228" s="360">
        <f t="shared" si="16"/>
        <v>840</v>
      </c>
      <c r="J228" s="304">
        <v>0</v>
      </c>
      <c r="K228" s="304">
        <v>0</v>
      </c>
      <c r="L228" s="304">
        <v>414.7</v>
      </c>
      <c r="M228" s="304">
        <v>0</v>
      </c>
      <c r="N228" s="390">
        <f t="shared" si="17"/>
        <v>0</v>
      </c>
      <c r="O228" s="192">
        <f t="shared" si="15"/>
        <v>1298</v>
      </c>
      <c r="P228" s="30">
        <v>0</v>
      </c>
      <c r="Q228" s="28">
        <v>0</v>
      </c>
      <c r="R228" s="28">
        <v>155</v>
      </c>
      <c r="S228" s="281"/>
    </row>
    <row r="229" spans="1:19" s="345" customFormat="1" ht="12.75">
      <c r="A229" s="348">
        <v>841</v>
      </c>
      <c r="B229" s="347" t="s">
        <v>425</v>
      </c>
      <c r="C229" s="348">
        <v>1300</v>
      </c>
      <c r="D229" s="382">
        <v>127</v>
      </c>
      <c r="E229" s="349">
        <v>127</v>
      </c>
      <c r="F229" s="346">
        <v>127</v>
      </c>
      <c r="G229" s="346">
        <v>127</v>
      </c>
      <c r="H229" s="346">
        <v>127</v>
      </c>
      <c r="I229" s="362">
        <f t="shared" si="16"/>
        <v>841</v>
      </c>
      <c r="J229" s="346"/>
      <c r="K229" s="346">
        <v>116</v>
      </c>
      <c r="L229" s="304">
        <v>127</v>
      </c>
      <c r="M229" s="346">
        <v>388</v>
      </c>
      <c r="N229" s="390">
        <f>M229</f>
        <v>388</v>
      </c>
      <c r="O229" s="192">
        <f t="shared" si="15"/>
        <v>1815</v>
      </c>
      <c r="P229" s="353">
        <v>0</v>
      </c>
      <c r="Q229" s="348">
        <v>0</v>
      </c>
      <c r="R229" s="348">
        <v>0</v>
      </c>
      <c r="S229" s="354"/>
    </row>
    <row r="230" spans="1:19" ht="12.75">
      <c r="A230" s="28">
        <v>842</v>
      </c>
      <c r="B230" s="29" t="s">
        <v>212</v>
      </c>
      <c r="C230" s="28">
        <v>1500</v>
      </c>
      <c r="D230" s="382">
        <v>101</v>
      </c>
      <c r="E230" s="144">
        <v>101</v>
      </c>
      <c r="F230" s="193">
        <f>IF(C230&lt;972,E230+44,E230)</f>
        <v>101</v>
      </c>
      <c r="G230" s="193">
        <v>101</v>
      </c>
      <c r="H230" s="193">
        <v>101</v>
      </c>
      <c r="I230" s="360">
        <f t="shared" si="16"/>
        <v>842</v>
      </c>
      <c r="J230" s="304">
        <v>0</v>
      </c>
      <c r="K230" s="346">
        <v>194</v>
      </c>
      <c r="L230" s="304">
        <v>101</v>
      </c>
      <c r="M230" s="346">
        <v>388</v>
      </c>
      <c r="N230" s="390">
        <f>M230</f>
        <v>388</v>
      </c>
      <c r="O230" s="192">
        <f t="shared" si="15"/>
        <v>1989</v>
      </c>
      <c r="P230" s="30">
        <v>0</v>
      </c>
      <c r="Q230" s="28">
        <v>0</v>
      </c>
      <c r="R230" s="28">
        <v>0</v>
      </c>
      <c r="S230" s="281"/>
    </row>
    <row r="231" spans="1:19" ht="12.75">
      <c r="A231" s="28">
        <v>843</v>
      </c>
      <c r="B231" s="29" t="s">
        <v>213</v>
      </c>
      <c r="C231" s="28">
        <v>1250</v>
      </c>
      <c r="D231" s="382">
        <v>134</v>
      </c>
      <c r="E231" s="144">
        <v>134</v>
      </c>
      <c r="F231" s="193">
        <f>IF(C231&lt;972,E231+44,E231)</f>
        <v>134</v>
      </c>
      <c r="G231" s="193">
        <v>134</v>
      </c>
      <c r="H231" s="193">
        <v>134</v>
      </c>
      <c r="I231" s="360">
        <f t="shared" si="16"/>
        <v>843</v>
      </c>
      <c r="J231" s="304">
        <v>0</v>
      </c>
      <c r="K231" s="346">
        <v>116</v>
      </c>
      <c r="L231" s="304">
        <v>134</v>
      </c>
      <c r="M231" s="346">
        <v>233</v>
      </c>
      <c r="N231" s="390">
        <f>M231*1.33333</f>
        <v>310.66589</v>
      </c>
      <c r="O231" s="192">
        <f t="shared" si="15"/>
        <v>1617</v>
      </c>
      <c r="P231" s="30">
        <v>0</v>
      </c>
      <c r="Q231" s="28">
        <v>0</v>
      </c>
      <c r="R231" s="28">
        <v>0</v>
      </c>
      <c r="S231" s="281"/>
    </row>
    <row r="232" spans="1:19" ht="12.75">
      <c r="A232" s="28">
        <v>844</v>
      </c>
      <c r="B232" s="29" t="s">
        <v>214</v>
      </c>
      <c r="C232" s="28">
        <v>1660</v>
      </c>
      <c r="D232" s="382">
        <v>80</v>
      </c>
      <c r="E232" s="144">
        <v>80</v>
      </c>
      <c r="F232" s="193">
        <f>IF(C232&lt;972,E232+44,E232)</f>
        <v>80</v>
      </c>
      <c r="G232" s="193">
        <v>80</v>
      </c>
      <c r="H232" s="193">
        <v>80</v>
      </c>
      <c r="I232" s="360">
        <f t="shared" si="16"/>
        <v>844</v>
      </c>
      <c r="J232" s="304">
        <v>0</v>
      </c>
      <c r="K232" s="304">
        <v>0</v>
      </c>
      <c r="L232" s="304">
        <v>80</v>
      </c>
      <c r="M232" s="304">
        <v>0</v>
      </c>
      <c r="N232" s="390">
        <f>M232</f>
        <v>0</v>
      </c>
      <c r="O232" s="192">
        <f t="shared" si="15"/>
        <v>1740</v>
      </c>
      <c r="P232" s="30">
        <v>0</v>
      </c>
      <c r="Q232" s="28">
        <v>0</v>
      </c>
      <c r="R232" s="28">
        <v>0</v>
      </c>
      <c r="S232" s="281"/>
    </row>
    <row r="233" spans="1:19" ht="12.75">
      <c r="A233" s="28">
        <v>849</v>
      </c>
      <c r="B233" s="29" t="s">
        <v>215</v>
      </c>
      <c r="C233" s="28">
        <v>971</v>
      </c>
      <c r="D233" s="382">
        <v>170</v>
      </c>
      <c r="E233" s="366">
        <v>216</v>
      </c>
      <c r="F233" s="193">
        <v>261</v>
      </c>
      <c r="G233" s="304">
        <v>327</v>
      </c>
      <c r="H233" s="304">
        <v>350</v>
      </c>
      <c r="I233" s="360">
        <f t="shared" si="16"/>
        <v>849</v>
      </c>
      <c r="J233" s="304">
        <v>0</v>
      </c>
      <c r="K233" s="304">
        <v>0</v>
      </c>
      <c r="L233" s="304">
        <v>414.7</v>
      </c>
      <c r="M233" s="304">
        <v>0</v>
      </c>
      <c r="N233" s="390">
        <f>M233</f>
        <v>0</v>
      </c>
      <c r="O233" s="192">
        <f t="shared" si="15"/>
        <v>1298</v>
      </c>
      <c r="P233" s="30">
        <v>0</v>
      </c>
      <c r="Q233" s="28">
        <v>0</v>
      </c>
      <c r="R233" s="28">
        <v>0</v>
      </c>
      <c r="S233" s="281"/>
    </row>
    <row r="234" spans="1:19" ht="12.75">
      <c r="A234" s="28">
        <v>850</v>
      </c>
      <c r="B234" s="307" t="s">
        <v>436</v>
      </c>
      <c r="C234" s="28">
        <v>3146</v>
      </c>
      <c r="D234" s="382"/>
      <c r="E234" s="366"/>
      <c r="F234" s="193"/>
      <c r="G234" s="304">
        <v>0</v>
      </c>
      <c r="H234" s="304">
        <v>0</v>
      </c>
      <c r="I234" s="360">
        <f t="shared" si="16"/>
        <v>850</v>
      </c>
      <c r="J234" s="304">
        <v>0</v>
      </c>
      <c r="K234" s="304"/>
      <c r="L234" s="304">
        <v>0</v>
      </c>
      <c r="M234" s="304">
        <v>466</v>
      </c>
      <c r="N234" s="390">
        <f>M234*1.33333</f>
        <v>621.33178</v>
      </c>
      <c r="O234" s="192">
        <f t="shared" si="15"/>
        <v>3612</v>
      </c>
      <c r="P234" s="30">
        <v>0</v>
      </c>
      <c r="Q234" s="28">
        <v>0</v>
      </c>
      <c r="R234" s="28"/>
      <c r="S234" s="281"/>
    </row>
    <row r="235" spans="1:19" ht="12.75">
      <c r="A235" s="28">
        <v>851</v>
      </c>
      <c r="B235" s="307" t="s">
        <v>440</v>
      </c>
      <c r="C235" s="28">
        <v>2913</v>
      </c>
      <c r="D235" s="382"/>
      <c r="E235" s="366"/>
      <c r="F235" s="193"/>
      <c r="G235" s="304">
        <v>0</v>
      </c>
      <c r="H235" s="304">
        <v>0</v>
      </c>
      <c r="I235" s="360">
        <f t="shared" si="16"/>
        <v>851</v>
      </c>
      <c r="J235" s="304"/>
      <c r="K235" s="304"/>
      <c r="L235" s="304">
        <v>0</v>
      </c>
      <c r="M235" s="304">
        <v>466</v>
      </c>
      <c r="N235" s="390">
        <v>776</v>
      </c>
      <c r="O235" s="192">
        <f t="shared" si="15"/>
        <v>3379</v>
      </c>
      <c r="P235" s="30">
        <v>20</v>
      </c>
      <c r="Q235" s="28">
        <v>0</v>
      </c>
      <c r="R235" s="28">
        <v>0</v>
      </c>
      <c r="S235" s="281"/>
    </row>
    <row r="236" spans="1:19" ht="12.75">
      <c r="A236" s="28">
        <v>852</v>
      </c>
      <c r="B236" s="307" t="s">
        <v>441</v>
      </c>
      <c r="C236" s="28">
        <v>2913</v>
      </c>
      <c r="D236" s="382"/>
      <c r="E236" s="366"/>
      <c r="F236" s="193"/>
      <c r="G236" s="304">
        <v>0</v>
      </c>
      <c r="H236" s="304">
        <v>0</v>
      </c>
      <c r="I236" s="360">
        <f t="shared" si="16"/>
        <v>852</v>
      </c>
      <c r="J236" s="304"/>
      <c r="K236" s="304"/>
      <c r="L236" s="304">
        <v>0</v>
      </c>
      <c r="M236" s="304">
        <v>466</v>
      </c>
      <c r="N236" s="390">
        <v>776</v>
      </c>
      <c r="O236" s="192">
        <f t="shared" si="15"/>
        <v>3379</v>
      </c>
      <c r="P236" s="30">
        <v>0</v>
      </c>
      <c r="Q236" s="28">
        <v>0</v>
      </c>
      <c r="R236" s="28">
        <v>0</v>
      </c>
      <c r="S236" s="281"/>
    </row>
    <row r="237" spans="1:19" ht="12.75">
      <c r="A237" s="28">
        <v>853</v>
      </c>
      <c r="B237" s="307" t="s">
        <v>442</v>
      </c>
      <c r="C237" s="28">
        <v>2913</v>
      </c>
      <c r="D237" s="382"/>
      <c r="E237" s="366"/>
      <c r="F237" s="193"/>
      <c r="G237" s="304">
        <v>0</v>
      </c>
      <c r="H237" s="304">
        <v>0</v>
      </c>
      <c r="I237" s="360">
        <f t="shared" si="16"/>
        <v>853</v>
      </c>
      <c r="J237" s="304"/>
      <c r="K237" s="304"/>
      <c r="L237" s="304">
        <v>0</v>
      </c>
      <c r="M237" s="304">
        <v>466</v>
      </c>
      <c r="N237" s="390">
        <v>776</v>
      </c>
      <c r="O237" s="192">
        <f t="shared" si="15"/>
        <v>3379</v>
      </c>
      <c r="P237" s="30">
        <v>17</v>
      </c>
      <c r="Q237" s="28">
        <v>0</v>
      </c>
      <c r="R237" s="28">
        <v>0</v>
      </c>
      <c r="S237" s="281"/>
    </row>
    <row r="238" spans="1:19" ht="12.75">
      <c r="A238" s="28">
        <v>854</v>
      </c>
      <c r="B238" s="307" t="s">
        <v>443</v>
      </c>
      <c r="C238" s="28">
        <v>2913</v>
      </c>
      <c r="D238" s="382"/>
      <c r="E238" s="366"/>
      <c r="F238" s="193"/>
      <c r="G238" s="304">
        <v>0</v>
      </c>
      <c r="H238" s="304">
        <v>0</v>
      </c>
      <c r="I238" s="360">
        <f t="shared" si="16"/>
        <v>854</v>
      </c>
      <c r="J238" s="304"/>
      <c r="K238" s="304"/>
      <c r="L238" s="304">
        <v>0</v>
      </c>
      <c r="M238" s="304">
        <v>466</v>
      </c>
      <c r="N238" s="390">
        <v>776</v>
      </c>
      <c r="O238" s="192">
        <f t="shared" si="15"/>
        <v>3379</v>
      </c>
      <c r="P238" s="30">
        <v>0</v>
      </c>
      <c r="Q238" s="28">
        <v>0</v>
      </c>
      <c r="R238" s="28">
        <v>0</v>
      </c>
      <c r="S238" s="281"/>
    </row>
    <row r="239" spans="1:19" ht="12.75">
      <c r="A239" s="28">
        <v>857</v>
      </c>
      <c r="B239" s="307" t="s">
        <v>444</v>
      </c>
      <c r="C239" s="28">
        <v>2913</v>
      </c>
      <c r="D239" s="382"/>
      <c r="E239" s="366"/>
      <c r="F239" s="193"/>
      <c r="G239" s="304">
        <v>0</v>
      </c>
      <c r="H239" s="304">
        <v>0</v>
      </c>
      <c r="I239" s="360">
        <f t="shared" si="16"/>
        <v>857</v>
      </c>
      <c r="J239" s="304"/>
      <c r="K239" s="304"/>
      <c r="L239" s="304">
        <v>0</v>
      </c>
      <c r="M239" s="304">
        <v>466</v>
      </c>
      <c r="N239" s="390">
        <v>776</v>
      </c>
      <c r="O239" s="192">
        <f t="shared" si="15"/>
        <v>3379</v>
      </c>
      <c r="P239" s="30">
        <v>0</v>
      </c>
      <c r="Q239" s="28">
        <v>0</v>
      </c>
      <c r="R239" s="28">
        <v>0</v>
      </c>
      <c r="S239" s="281"/>
    </row>
    <row r="240" spans="1:18" ht="12.75">
      <c r="A240" s="28">
        <v>883</v>
      </c>
      <c r="B240" s="307" t="s">
        <v>461</v>
      </c>
      <c r="C240" s="28">
        <v>2220</v>
      </c>
      <c r="D240" s="382"/>
      <c r="E240" s="366"/>
      <c r="F240" s="193"/>
      <c r="G240" s="304">
        <v>7</v>
      </c>
      <c r="H240" s="304">
        <v>7</v>
      </c>
      <c r="I240" s="360">
        <f t="shared" si="16"/>
        <v>883</v>
      </c>
      <c r="J240" s="304"/>
      <c r="K240" s="304"/>
      <c r="L240" s="304">
        <v>7</v>
      </c>
      <c r="M240" s="281">
        <v>521.4</v>
      </c>
      <c r="N240" s="390">
        <f>M240</f>
        <v>521.4</v>
      </c>
      <c r="O240" s="192">
        <f t="shared" si="15"/>
        <v>2748.4</v>
      </c>
      <c r="P240" s="30">
        <v>0</v>
      </c>
      <c r="Q240" s="28">
        <v>0</v>
      </c>
      <c r="R240" s="28">
        <v>0</v>
      </c>
    </row>
    <row r="241" spans="1:18" ht="12.75">
      <c r="A241" s="28">
        <v>885</v>
      </c>
      <c r="B241" s="307" t="s">
        <v>463</v>
      </c>
      <c r="C241" s="28">
        <v>1850</v>
      </c>
      <c r="D241" s="382"/>
      <c r="E241" s="366"/>
      <c r="F241" s="193"/>
      <c r="G241" s="304">
        <v>55</v>
      </c>
      <c r="H241" s="304">
        <v>55</v>
      </c>
      <c r="I241" s="360">
        <f t="shared" si="16"/>
        <v>885</v>
      </c>
      <c r="J241" s="304"/>
      <c r="K241" s="304"/>
      <c r="L241" s="304">
        <v>55</v>
      </c>
      <c r="M241" s="281">
        <v>434.5</v>
      </c>
      <c r="N241" s="390">
        <f>M241</f>
        <v>434.5</v>
      </c>
      <c r="O241" s="192">
        <f t="shared" si="15"/>
        <v>2339.5</v>
      </c>
      <c r="P241" s="30">
        <v>0</v>
      </c>
      <c r="Q241" s="28">
        <v>0</v>
      </c>
      <c r="R241" s="28"/>
    </row>
    <row r="242" spans="1:18" ht="12.75">
      <c r="A242" s="28">
        <v>887</v>
      </c>
      <c r="B242" s="307" t="s">
        <v>462</v>
      </c>
      <c r="C242" s="28">
        <v>1580</v>
      </c>
      <c r="D242" s="382"/>
      <c r="E242" s="366"/>
      <c r="F242" s="193"/>
      <c r="G242" s="304">
        <v>90</v>
      </c>
      <c r="H242" s="304">
        <v>90</v>
      </c>
      <c r="I242" s="360">
        <f t="shared" si="16"/>
        <v>887</v>
      </c>
      <c r="J242" s="304"/>
      <c r="K242" s="304"/>
      <c r="L242" s="304">
        <v>90</v>
      </c>
      <c r="M242" s="281">
        <v>347.6</v>
      </c>
      <c r="N242" s="390">
        <f>M242</f>
        <v>347.6</v>
      </c>
      <c r="O242" s="192">
        <f t="shared" si="15"/>
        <v>2017.6</v>
      </c>
      <c r="P242" s="30">
        <v>0</v>
      </c>
      <c r="Q242" s="28">
        <v>0</v>
      </c>
      <c r="R242" s="28">
        <v>0</v>
      </c>
    </row>
    <row r="243" spans="1:19" ht="12.75">
      <c r="A243" s="28">
        <v>900</v>
      </c>
      <c r="B243" s="29" t="s">
        <v>216</v>
      </c>
      <c r="C243" s="28">
        <v>3146</v>
      </c>
      <c r="D243" s="382">
        <v>0</v>
      </c>
      <c r="E243" s="144">
        <v>0</v>
      </c>
      <c r="F243" s="193">
        <f aca="true" t="shared" si="18" ref="F243:F259">IF(C243&lt;972,E243+44,E243)</f>
        <v>0</v>
      </c>
      <c r="G243" s="193">
        <v>0</v>
      </c>
      <c r="H243" s="193">
        <v>0</v>
      </c>
      <c r="I243" s="360">
        <f t="shared" si="16"/>
        <v>900</v>
      </c>
      <c r="J243" s="304">
        <v>0</v>
      </c>
      <c r="K243" s="304">
        <v>0</v>
      </c>
      <c r="L243" s="304">
        <v>0</v>
      </c>
      <c r="M243" s="304">
        <v>0</v>
      </c>
      <c r="N243" s="390">
        <f>M243</f>
        <v>0</v>
      </c>
      <c r="O243" s="192">
        <f t="shared" si="15"/>
        <v>3146</v>
      </c>
      <c r="P243" s="30">
        <v>0</v>
      </c>
      <c r="Q243" s="28">
        <v>0</v>
      </c>
      <c r="R243" s="28">
        <v>0</v>
      </c>
      <c r="S243" s="281"/>
    </row>
    <row r="244" spans="1:19" ht="12.75">
      <c r="A244" s="28">
        <v>901</v>
      </c>
      <c r="B244" s="29" t="s">
        <v>217</v>
      </c>
      <c r="C244" s="28">
        <v>2913</v>
      </c>
      <c r="D244" s="382">
        <v>0</v>
      </c>
      <c r="E244" s="144">
        <v>0</v>
      </c>
      <c r="F244" s="193">
        <f t="shared" si="18"/>
        <v>0</v>
      </c>
      <c r="G244" s="193">
        <v>0</v>
      </c>
      <c r="H244" s="193">
        <v>0</v>
      </c>
      <c r="I244" s="360">
        <f t="shared" si="16"/>
        <v>901</v>
      </c>
      <c r="J244" s="304">
        <v>0</v>
      </c>
      <c r="K244" s="304">
        <v>0</v>
      </c>
      <c r="L244" s="304">
        <v>0</v>
      </c>
      <c r="M244" s="304">
        <v>0</v>
      </c>
      <c r="N244" s="390">
        <f>M244</f>
        <v>0</v>
      </c>
      <c r="O244" s="192">
        <f t="shared" si="15"/>
        <v>2913</v>
      </c>
      <c r="P244" s="30">
        <v>0</v>
      </c>
      <c r="Q244" s="28">
        <v>0</v>
      </c>
      <c r="R244" s="28">
        <v>0</v>
      </c>
      <c r="S244" s="281"/>
    </row>
    <row r="245" spans="1:19" ht="12.75">
      <c r="A245" s="28">
        <v>902</v>
      </c>
      <c r="B245" s="29" t="s">
        <v>218</v>
      </c>
      <c r="C245" s="28">
        <v>2913</v>
      </c>
      <c r="D245" s="382">
        <v>0</v>
      </c>
      <c r="E245" s="144">
        <v>0</v>
      </c>
      <c r="F245" s="193">
        <f t="shared" si="18"/>
        <v>0</v>
      </c>
      <c r="G245" s="193">
        <v>0</v>
      </c>
      <c r="H245" s="193">
        <v>0</v>
      </c>
      <c r="I245" s="360">
        <f t="shared" si="16"/>
        <v>902</v>
      </c>
      <c r="J245" s="304">
        <v>0</v>
      </c>
      <c r="K245">
        <v>233</v>
      </c>
      <c r="L245" s="304">
        <v>0</v>
      </c>
      <c r="M245">
        <v>466</v>
      </c>
      <c r="N245" s="390">
        <v>776</v>
      </c>
      <c r="O245" s="192">
        <f t="shared" si="15"/>
        <v>3379</v>
      </c>
      <c r="P245" s="30">
        <v>20</v>
      </c>
      <c r="Q245" s="28">
        <v>0</v>
      </c>
      <c r="R245" s="28">
        <v>0</v>
      </c>
      <c r="S245" s="281"/>
    </row>
    <row r="246" spans="1:19" ht="12.75">
      <c r="A246" s="28">
        <v>903</v>
      </c>
      <c r="B246" s="29" t="s">
        <v>219</v>
      </c>
      <c r="C246" s="28">
        <v>2913</v>
      </c>
      <c r="D246" s="382">
        <v>0</v>
      </c>
      <c r="E246" s="144">
        <v>0</v>
      </c>
      <c r="F246" s="193">
        <f t="shared" si="18"/>
        <v>0</v>
      </c>
      <c r="G246" s="193">
        <v>0</v>
      </c>
      <c r="H246" s="193">
        <v>0</v>
      </c>
      <c r="I246" s="360">
        <f t="shared" si="16"/>
        <v>903</v>
      </c>
      <c r="J246" s="304">
        <v>0</v>
      </c>
      <c r="K246">
        <v>233</v>
      </c>
      <c r="L246" s="304">
        <v>0</v>
      </c>
      <c r="M246">
        <v>466</v>
      </c>
      <c r="N246" s="390">
        <v>776</v>
      </c>
      <c r="O246" s="192">
        <f t="shared" si="15"/>
        <v>3379</v>
      </c>
      <c r="P246" s="30">
        <v>0</v>
      </c>
      <c r="Q246" s="28">
        <v>0</v>
      </c>
      <c r="R246" s="28">
        <v>0</v>
      </c>
      <c r="S246" s="281"/>
    </row>
    <row r="247" spans="1:19" ht="12.75">
      <c r="A247" s="28">
        <v>904</v>
      </c>
      <c r="B247" s="29" t="s">
        <v>220</v>
      </c>
      <c r="C247" s="28">
        <v>2100</v>
      </c>
      <c r="D247" s="382">
        <v>23</v>
      </c>
      <c r="E247" s="144">
        <v>23</v>
      </c>
      <c r="F247" s="193">
        <f t="shared" si="18"/>
        <v>23</v>
      </c>
      <c r="G247" s="193">
        <v>23</v>
      </c>
      <c r="H247" s="193">
        <v>23</v>
      </c>
      <c r="I247" s="360">
        <f t="shared" si="16"/>
        <v>904</v>
      </c>
      <c r="J247" s="304">
        <v>0</v>
      </c>
      <c r="K247" s="304">
        <v>0</v>
      </c>
      <c r="L247" s="304">
        <v>23</v>
      </c>
      <c r="M247" s="304">
        <v>0</v>
      </c>
      <c r="N247" s="390">
        <f>M247</f>
        <v>0</v>
      </c>
      <c r="O247" s="192">
        <f t="shared" si="15"/>
        <v>2123</v>
      </c>
      <c r="P247" s="30">
        <v>0</v>
      </c>
      <c r="Q247" s="28">
        <v>0</v>
      </c>
      <c r="R247" s="28">
        <v>0</v>
      </c>
      <c r="S247" s="281"/>
    </row>
    <row r="248" spans="1:19" ht="12.75">
      <c r="A248" s="28">
        <v>905</v>
      </c>
      <c r="B248" s="29" t="s">
        <v>221</v>
      </c>
      <c r="C248" s="28">
        <v>1800</v>
      </c>
      <c r="D248" s="382">
        <v>62</v>
      </c>
      <c r="E248" s="144">
        <v>62</v>
      </c>
      <c r="F248" s="193">
        <f t="shared" si="18"/>
        <v>62</v>
      </c>
      <c r="G248" s="193">
        <v>62</v>
      </c>
      <c r="H248" s="193">
        <v>62</v>
      </c>
      <c r="I248" s="360">
        <f t="shared" si="16"/>
        <v>905</v>
      </c>
      <c r="J248" s="304">
        <v>0</v>
      </c>
      <c r="K248" s="304">
        <v>0</v>
      </c>
      <c r="L248" s="304">
        <v>62</v>
      </c>
      <c r="M248" s="304">
        <v>0</v>
      </c>
      <c r="N248" s="390">
        <f>M248</f>
        <v>0</v>
      </c>
      <c r="O248" s="192">
        <f t="shared" si="15"/>
        <v>1862</v>
      </c>
      <c r="P248" s="30">
        <v>0</v>
      </c>
      <c r="Q248" s="28">
        <v>0</v>
      </c>
      <c r="R248" s="28">
        <v>0</v>
      </c>
      <c r="S248" s="281"/>
    </row>
    <row r="249" spans="1:19" ht="12.75">
      <c r="A249" s="28">
        <v>906</v>
      </c>
      <c r="B249" s="29" t="s">
        <v>222</v>
      </c>
      <c r="C249" s="28">
        <v>1942</v>
      </c>
      <c r="D249" s="382">
        <v>43</v>
      </c>
      <c r="E249" s="144">
        <v>43</v>
      </c>
      <c r="F249" s="193">
        <f t="shared" si="18"/>
        <v>43</v>
      </c>
      <c r="G249" s="193">
        <v>43</v>
      </c>
      <c r="H249" s="193">
        <v>43</v>
      </c>
      <c r="I249" s="360">
        <f t="shared" si="16"/>
        <v>906</v>
      </c>
      <c r="J249" s="304">
        <v>0</v>
      </c>
      <c r="K249" s="304">
        <v>194</v>
      </c>
      <c r="L249" s="304">
        <v>43</v>
      </c>
      <c r="M249" s="304">
        <v>388</v>
      </c>
      <c r="N249" s="390">
        <f aca="true" t="shared" si="19" ref="N249:N259">M249*1.33333</f>
        <v>517.33204</v>
      </c>
      <c r="O249" s="192">
        <f t="shared" si="15"/>
        <v>2373</v>
      </c>
      <c r="P249" s="30">
        <v>0</v>
      </c>
      <c r="Q249" s="28">
        <v>0</v>
      </c>
      <c r="R249" s="28">
        <v>0</v>
      </c>
      <c r="S249" s="282">
        <v>782</v>
      </c>
    </row>
    <row r="250" spans="1:19" ht="12.75">
      <c r="A250" s="28">
        <v>907</v>
      </c>
      <c r="B250" s="29" t="s">
        <v>223</v>
      </c>
      <c r="C250" s="28">
        <v>1782</v>
      </c>
      <c r="D250" s="382">
        <v>64</v>
      </c>
      <c r="E250" s="144">
        <v>64</v>
      </c>
      <c r="F250" s="193">
        <f t="shared" si="18"/>
        <v>64</v>
      </c>
      <c r="G250" s="193">
        <v>64</v>
      </c>
      <c r="H250" s="193">
        <v>64</v>
      </c>
      <c r="I250" s="360">
        <f t="shared" si="16"/>
        <v>907</v>
      </c>
      <c r="J250" s="304">
        <v>0</v>
      </c>
      <c r="K250" s="304">
        <v>175</v>
      </c>
      <c r="L250" s="304">
        <v>64</v>
      </c>
      <c r="M250" s="304">
        <v>349</v>
      </c>
      <c r="N250" s="390">
        <f t="shared" si="19"/>
        <v>465.33216999999996</v>
      </c>
      <c r="O250" s="192">
        <f t="shared" si="15"/>
        <v>2195</v>
      </c>
      <c r="P250" s="30">
        <v>0</v>
      </c>
      <c r="Q250" s="28">
        <v>0</v>
      </c>
      <c r="R250" s="28">
        <v>0</v>
      </c>
      <c r="S250" s="282">
        <v>782</v>
      </c>
    </row>
    <row r="251" spans="1:19" ht="12.75">
      <c r="A251" s="28">
        <v>908</v>
      </c>
      <c r="B251" s="29" t="s">
        <v>224</v>
      </c>
      <c r="C251" s="28">
        <v>1692</v>
      </c>
      <c r="D251" s="382">
        <v>76</v>
      </c>
      <c r="E251" s="144">
        <v>76</v>
      </c>
      <c r="F251" s="193">
        <f t="shared" si="18"/>
        <v>76</v>
      </c>
      <c r="G251" s="193">
        <v>76</v>
      </c>
      <c r="H251" s="193">
        <v>76</v>
      </c>
      <c r="I251" s="360">
        <f t="shared" si="16"/>
        <v>908</v>
      </c>
      <c r="J251" s="304">
        <v>0</v>
      </c>
      <c r="K251" s="316">
        <v>136</v>
      </c>
      <c r="L251" s="304">
        <v>76</v>
      </c>
      <c r="M251" s="316">
        <v>272</v>
      </c>
      <c r="N251" s="390">
        <f t="shared" si="19"/>
        <v>362.66576</v>
      </c>
      <c r="O251" s="192">
        <f t="shared" si="15"/>
        <v>2040</v>
      </c>
      <c r="P251" s="30">
        <v>0</v>
      </c>
      <c r="Q251" s="28">
        <v>0</v>
      </c>
      <c r="R251" s="28">
        <v>0</v>
      </c>
      <c r="S251" s="281"/>
    </row>
    <row r="252" spans="1:19" ht="12.75">
      <c r="A252" s="28">
        <v>909</v>
      </c>
      <c r="B252" s="29" t="s">
        <v>225</v>
      </c>
      <c r="C252" s="28">
        <v>1592</v>
      </c>
      <c r="D252" s="382">
        <v>89</v>
      </c>
      <c r="E252" s="144">
        <v>89</v>
      </c>
      <c r="F252" s="193">
        <f t="shared" si="18"/>
        <v>89</v>
      </c>
      <c r="G252" s="193">
        <v>89</v>
      </c>
      <c r="H252" s="193">
        <v>89</v>
      </c>
      <c r="I252" s="360">
        <f t="shared" si="16"/>
        <v>909</v>
      </c>
      <c r="J252" s="304">
        <v>0</v>
      </c>
      <c r="K252" s="304">
        <v>0</v>
      </c>
      <c r="L252" s="304">
        <v>89</v>
      </c>
      <c r="M252" s="304">
        <v>349</v>
      </c>
      <c r="N252" s="390">
        <f t="shared" si="19"/>
        <v>465.33216999999996</v>
      </c>
      <c r="O252" s="192">
        <f t="shared" si="15"/>
        <v>2030</v>
      </c>
      <c r="P252" s="30">
        <v>0</v>
      </c>
      <c r="Q252" s="28">
        <v>0</v>
      </c>
      <c r="R252" s="28">
        <v>0</v>
      </c>
      <c r="S252" s="281"/>
    </row>
    <row r="253" spans="1:19" ht="12.75">
      <c r="A253" s="28">
        <v>910</v>
      </c>
      <c r="B253" s="29" t="s">
        <v>117</v>
      </c>
      <c r="C253" s="28">
        <v>1942</v>
      </c>
      <c r="D253" s="382">
        <v>43</v>
      </c>
      <c r="E253" s="144">
        <v>43</v>
      </c>
      <c r="F253" s="193">
        <f t="shared" si="18"/>
        <v>43</v>
      </c>
      <c r="G253" s="193">
        <v>43</v>
      </c>
      <c r="H253" s="193">
        <v>43</v>
      </c>
      <c r="I253" s="360">
        <f t="shared" si="16"/>
        <v>910</v>
      </c>
      <c r="J253" s="304">
        <v>0</v>
      </c>
      <c r="K253" s="304">
        <v>194</v>
      </c>
      <c r="L253" s="304">
        <v>43</v>
      </c>
      <c r="M253" s="304">
        <v>388</v>
      </c>
      <c r="N253" s="390">
        <f t="shared" si="19"/>
        <v>517.33204</v>
      </c>
      <c r="O253" s="192">
        <f t="shared" si="15"/>
        <v>2373</v>
      </c>
      <c r="P253" s="30">
        <v>150</v>
      </c>
      <c r="Q253" s="28">
        <v>0</v>
      </c>
      <c r="R253" s="28">
        <v>0</v>
      </c>
      <c r="S253" s="281"/>
    </row>
    <row r="254" spans="1:19" ht="12.75">
      <c r="A254" s="28">
        <v>911</v>
      </c>
      <c r="B254" s="29" t="s">
        <v>127</v>
      </c>
      <c r="C254" s="28">
        <v>1592</v>
      </c>
      <c r="D254" s="382">
        <v>89</v>
      </c>
      <c r="E254" s="144">
        <v>89</v>
      </c>
      <c r="F254" s="193">
        <f t="shared" si="18"/>
        <v>89</v>
      </c>
      <c r="G254" s="193">
        <v>89</v>
      </c>
      <c r="H254" s="193">
        <v>89</v>
      </c>
      <c r="I254" s="360">
        <f t="shared" si="16"/>
        <v>911</v>
      </c>
      <c r="J254" s="304">
        <v>0</v>
      </c>
      <c r="K254" s="304">
        <v>136</v>
      </c>
      <c r="L254" s="304">
        <v>89</v>
      </c>
      <c r="M254" s="304">
        <v>350</v>
      </c>
      <c r="N254" s="390">
        <f t="shared" si="19"/>
        <v>466.66549999999995</v>
      </c>
      <c r="O254" s="192">
        <f t="shared" si="15"/>
        <v>2031</v>
      </c>
      <c r="P254" s="30">
        <v>0</v>
      </c>
      <c r="Q254" s="28">
        <v>0</v>
      </c>
      <c r="R254" s="28">
        <v>0</v>
      </c>
      <c r="S254" s="281"/>
    </row>
    <row r="255" spans="1:19" ht="12.75">
      <c r="A255" s="28">
        <v>912</v>
      </c>
      <c r="B255" s="29" t="s">
        <v>226</v>
      </c>
      <c r="C255" s="28">
        <v>1782</v>
      </c>
      <c r="D255" s="382">
        <v>64</v>
      </c>
      <c r="E255" s="144">
        <v>64</v>
      </c>
      <c r="F255" s="193">
        <f t="shared" si="18"/>
        <v>64</v>
      </c>
      <c r="G255" s="193">
        <v>64</v>
      </c>
      <c r="H255" s="193">
        <v>64</v>
      </c>
      <c r="I255" s="360">
        <f t="shared" si="16"/>
        <v>912</v>
      </c>
      <c r="J255" s="304">
        <v>0</v>
      </c>
      <c r="K255" s="304">
        <v>175</v>
      </c>
      <c r="L255" s="304">
        <v>64</v>
      </c>
      <c r="M255" s="304">
        <v>349</v>
      </c>
      <c r="N255" s="390">
        <f t="shared" si="19"/>
        <v>465.33216999999996</v>
      </c>
      <c r="O255" s="192">
        <f t="shared" si="15"/>
        <v>2195</v>
      </c>
      <c r="P255" s="30">
        <v>17</v>
      </c>
      <c r="Q255" s="28">
        <v>0</v>
      </c>
      <c r="R255" s="28">
        <v>0</v>
      </c>
      <c r="S255" s="281"/>
    </row>
    <row r="256" spans="1:19" ht="12.75">
      <c r="A256" s="28">
        <v>913</v>
      </c>
      <c r="B256" s="29" t="s">
        <v>227</v>
      </c>
      <c r="C256" s="28">
        <v>1700</v>
      </c>
      <c r="D256" s="382">
        <v>75</v>
      </c>
      <c r="E256" s="144">
        <v>75</v>
      </c>
      <c r="F256" s="193">
        <f t="shared" si="18"/>
        <v>75</v>
      </c>
      <c r="G256" s="193">
        <v>75</v>
      </c>
      <c r="H256" s="193">
        <v>75</v>
      </c>
      <c r="I256" s="360">
        <f t="shared" si="16"/>
        <v>913</v>
      </c>
      <c r="J256" s="304">
        <v>0</v>
      </c>
      <c r="K256" s="304">
        <v>155</v>
      </c>
      <c r="L256" s="304">
        <v>75</v>
      </c>
      <c r="M256" s="304">
        <v>310</v>
      </c>
      <c r="N256" s="390">
        <f t="shared" si="19"/>
        <v>413.3323</v>
      </c>
      <c r="O256" s="192">
        <f t="shared" si="15"/>
        <v>2085</v>
      </c>
      <c r="P256" s="30">
        <v>0</v>
      </c>
      <c r="Q256" s="28">
        <v>0</v>
      </c>
      <c r="R256" s="28">
        <v>0</v>
      </c>
      <c r="S256" s="282">
        <v>769</v>
      </c>
    </row>
    <row r="257" spans="1:19" ht="12.75">
      <c r="A257" s="28">
        <v>914</v>
      </c>
      <c r="B257" s="29" t="s">
        <v>228</v>
      </c>
      <c r="C257" s="28">
        <v>1600</v>
      </c>
      <c r="D257" s="382">
        <v>88</v>
      </c>
      <c r="E257" s="144">
        <v>88</v>
      </c>
      <c r="F257" s="193">
        <f t="shared" si="18"/>
        <v>88</v>
      </c>
      <c r="G257" s="193">
        <v>88</v>
      </c>
      <c r="H257" s="193">
        <v>88</v>
      </c>
      <c r="I257" s="360">
        <f t="shared" si="16"/>
        <v>914</v>
      </c>
      <c r="J257" s="304">
        <v>0</v>
      </c>
      <c r="K257" s="304">
        <v>116</v>
      </c>
      <c r="L257" s="304">
        <v>88</v>
      </c>
      <c r="M257" s="304">
        <v>232</v>
      </c>
      <c r="N257" s="390">
        <f t="shared" si="19"/>
        <v>309.33256</v>
      </c>
      <c r="O257" s="192">
        <f t="shared" si="15"/>
        <v>1920</v>
      </c>
      <c r="P257" s="30">
        <v>0</v>
      </c>
      <c r="Q257" s="28">
        <v>0</v>
      </c>
      <c r="R257" s="28">
        <v>0</v>
      </c>
      <c r="S257" s="282">
        <v>738</v>
      </c>
    </row>
    <row r="258" spans="1:19" ht="12.75">
      <c r="A258" s="28">
        <v>915</v>
      </c>
      <c r="B258" s="29" t="s">
        <v>229</v>
      </c>
      <c r="C258" s="28">
        <v>1700</v>
      </c>
      <c r="D258" s="382">
        <v>75</v>
      </c>
      <c r="E258" s="144">
        <v>75</v>
      </c>
      <c r="F258" s="193">
        <f t="shared" si="18"/>
        <v>75</v>
      </c>
      <c r="G258" s="193">
        <v>75</v>
      </c>
      <c r="H258" s="193">
        <v>75</v>
      </c>
      <c r="I258" s="360">
        <f t="shared" si="16"/>
        <v>915</v>
      </c>
      <c r="J258" s="304">
        <v>0</v>
      </c>
      <c r="K258" s="304">
        <v>155</v>
      </c>
      <c r="L258" s="304">
        <v>75</v>
      </c>
      <c r="M258" s="304">
        <v>233</v>
      </c>
      <c r="N258" s="390">
        <f t="shared" si="19"/>
        <v>310.66589</v>
      </c>
      <c r="O258" s="192">
        <f t="shared" si="15"/>
        <v>2008</v>
      </c>
      <c r="P258" s="30">
        <v>150</v>
      </c>
      <c r="Q258" s="28">
        <v>0</v>
      </c>
      <c r="R258" s="28">
        <v>0</v>
      </c>
      <c r="S258" s="281"/>
    </row>
    <row r="259" spans="1:19" ht="12.75">
      <c r="A259" s="28">
        <v>916</v>
      </c>
      <c r="B259" s="29" t="s">
        <v>230</v>
      </c>
      <c r="C259" s="28">
        <v>1300</v>
      </c>
      <c r="D259" s="382">
        <v>127</v>
      </c>
      <c r="E259" s="144">
        <v>127</v>
      </c>
      <c r="F259" s="193">
        <f t="shared" si="18"/>
        <v>127</v>
      </c>
      <c r="G259" s="193">
        <v>127</v>
      </c>
      <c r="H259" s="193">
        <v>127</v>
      </c>
      <c r="I259" s="360">
        <f t="shared" si="16"/>
        <v>916</v>
      </c>
      <c r="J259" s="304">
        <v>0</v>
      </c>
      <c r="K259" s="304">
        <v>116</v>
      </c>
      <c r="L259" s="304">
        <v>127</v>
      </c>
      <c r="M259" s="304">
        <v>233</v>
      </c>
      <c r="N259" s="390">
        <f t="shared" si="19"/>
        <v>310.66589</v>
      </c>
      <c r="O259" s="192">
        <f t="shared" si="15"/>
        <v>1660</v>
      </c>
      <c r="P259" s="30">
        <v>0</v>
      </c>
      <c r="Q259" s="28">
        <v>0</v>
      </c>
      <c r="R259" s="28">
        <v>0</v>
      </c>
      <c r="S259" s="281"/>
    </row>
    <row r="260" spans="1:19" ht="12.75">
      <c r="A260" s="28">
        <v>917</v>
      </c>
      <c r="B260" s="29" t="s">
        <v>231</v>
      </c>
      <c r="C260" s="28">
        <v>971</v>
      </c>
      <c r="D260" s="382">
        <v>170</v>
      </c>
      <c r="E260" s="366">
        <v>216</v>
      </c>
      <c r="F260" s="193">
        <v>261</v>
      </c>
      <c r="G260" s="304">
        <v>327</v>
      </c>
      <c r="H260" s="304">
        <v>350</v>
      </c>
      <c r="I260" s="360">
        <f t="shared" si="16"/>
        <v>917</v>
      </c>
      <c r="J260" s="304">
        <v>0</v>
      </c>
      <c r="K260" s="304">
        <v>0</v>
      </c>
      <c r="L260" s="304">
        <v>414.7</v>
      </c>
      <c r="M260" s="304">
        <v>0</v>
      </c>
      <c r="N260" s="390">
        <f>M260</f>
        <v>0</v>
      </c>
      <c r="O260" s="192">
        <f aca="true" t="shared" si="20" ref="O260:O323">C260+G260+M260</f>
        <v>1298</v>
      </c>
      <c r="P260" s="30">
        <v>0</v>
      </c>
      <c r="Q260" s="28">
        <v>0</v>
      </c>
      <c r="R260" s="28">
        <v>0</v>
      </c>
      <c r="S260" s="281"/>
    </row>
    <row r="261" spans="1:19" ht="12.75">
      <c r="A261" s="28">
        <v>918</v>
      </c>
      <c r="B261" s="29" t="s">
        <v>135</v>
      </c>
      <c r="C261" s="28">
        <v>971</v>
      </c>
      <c r="D261" s="382">
        <v>170</v>
      </c>
      <c r="E261" s="366">
        <v>216</v>
      </c>
      <c r="F261" s="193">
        <v>261</v>
      </c>
      <c r="G261" s="304">
        <v>327</v>
      </c>
      <c r="H261" s="304">
        <v>350</v>
      </c>
      <c r="I261" s="360">
        <f t="shared" si="16"/>
        <v>918</v>
      </c>
      <c r="J261" s="304">
        <v>0</v>
      </c>
      <c r="K261" s="304">
        <v>0</v>
      </c>
      <c r="L261" s="304">
        <v>414.7</v>
      </c>
      <c r="M261" s="304">
        <v>0</v>
      </c>
      <c r="N261" s="390">
        <f aca="true" t="shared" si="21" ref="N261:N324">M261</f>
        <v>0</v>
      </c>
      <c r="O261" s="192">
        <f t="shared" si="20"/>
        <v>1298</v>
      </c>
      <c r="P261" s="30">
        <v>150</v>
      </c>
      <c r="Q261" s="28">
        <v>0</v>
      </c>
      <c r="R261" s="28">
        <v>0</v>
      </c>
      <c r="S261" s="281"/>
    </row>
    <row r="262" spans="1:19" ht="12.75">
      <c r="A262" s="28">
        <v>919</v>
      </c>
      <c r="B262" s="29" t="s">
        <v>232</v>
      </c>
      <c r="C262" s="28">
        <v>971</v>
      </c>
      <c r="D262" s="382">
        <v>170</v>
      </c>
      <c r="E262" s="366">
        <v>216</v>
      </c>
      <c r="F262" s="193">
        <v>261</v>
      </c>
      <c r="G262" s="304">
        <v>327</v>
      </c>
      <c r="H262" s="304">
        <v>350</v>
      </c>
      <c r="I262" s="360">
        <f t="shared" si="16"/>
        <v>919</v>
      </c>
      <c r="J262" s="304">
        <v>0</v>
      </c>
      <c r="K262" s="304">
        <v>0</v>
      </c>
      <c r="L262" s="304">
        <v>414.7</v>
      </c>
      <c r="M262" s="304">
        <v>0</v>
      </c>
      <c r="N262" s="390">
        <f t="shared" si="21"/>
        <v>0</v>
      </c>
      <c r="O262" s="192">
        <f t="shared" si="20"/>
        <v>1298</v>
      </c>
      <c r="P262" s="30">
        <v>17</v>
      </c>
      <c r="Q262" s="28">
        <v>0</v>
      </c>
      <c r="R262" s="28">
        <v>0</v>
      </c>
      <c r="S262" s="281"/>
    </row>
    <row r="263" spans="1:19" ht="12.75">
      <c r="A263" s="28">
        <v>920</v>
      </c>
      <c r="B263" s="29" t="s">
        <v>233</v>
      </c>
      <c r="C263" s="28">
        <v>971</v>
      </c>
      <c r="D263" s="382">
        <v>170</v>
      </c>
      <c r="E263" s="366">
        <v>216</v>
      </c>
      <c r="F263" s="193">
        <v>261</v>
      </c>
      <c r="G263" s="304">
        <v>327</v>
      </c>
      <c r="H263" s="304">
        <v>350</v>
      </c>
      <c r="I263" s="360">
        <f aca="true" t="shared" si="22" ref="I263:I326">A263</f>
        <v>920</v>
      </c>
      <c r="J263" s="304">
        <v>0</v>
      </c>
      <c r="K263" s="304">
        <v>0</v>
      </c>
      <c r="L263" s="304">
        <v>414.7</v>
      </c>
      <c r="M263" s="304">
        <v>0</v>
      </c>
      <c r="N263" s="390">
        <f t="shared" si="21"/>
        <v>0</v>
      </c>
      <c r="O263" s="192">
        <f t="shared" si="20"/>
        <v>1298</v>
      </c>
      <c r="P263" s="30">
        <v>150</v>
      </c>
      <c r="Q263" s="28">
        <v>0</v>
      </c>
      <c r="R263" s="28">
        <v>0</v>
      </c>
      <c r="S263" s="281"/>
    </row>
    <row r="264" spans="1:19" ht="12.75">
      <c r="A264" s="28">
        <v>921</v>
      </c>
      <c r="B264" s="29" t="s">
        <v>234</v>
      </c>
      <c r="C264" s="28">
        <v>971</v>
      </c>
      <c r="D264" s="382">
        <v>170</v>
      </c>
      <c r="E264" s="366">
        <v>216</v>
      </c>
      <c r="F264" s="193">
        <v>261</v>
      </c>
      <c r="G264" s="304">
        <v>327</v>
      </c>
      <c r="H264" s="304">
        <v>350</v>
      </c>
      <c r="I264" s="360">
        <f t="shared" si="22"/>
        <v>921</v>
      </c>
      <c r="J264" s="304">
        <v>0</v>
      </c>
      <c r="K264" s="304">
        <v>0</v>
      </c>
      <c r="L264" s="304">
        <v>414.7</v>
      </c>
      <c r="M264" s="304">
        <v>0</v>
      </c>
      <c r="N264" s="390">
        <f t="shared" si="21"/>
        <v>0</v>
      </c>
      <c r="O264" s="192">
        <f t="shared" si="20"/>
        <v>1298</v>
      </c>
      <c r="P264" s="30">
        <v>0</v>
      </c>
      <c r="Q264" s="28">
        <v>0</v>
      </c>
      <c r="R264" s="28">
        <v>0</v>
      </c>
      <c r="S264" s="281"/>
    </row>
    <row r="265" spans="1:19" ht="12.75">
      <c r="A265" s="28">
        <v>922</v>
      </c>
      <c r="B265" s="29" t="s">
        <v>235</v>
      </c>
      <c r="C265" s="28">
        <v>971</v>
      </c>
      <c r="D265" s="382">
        <v>170</v>
      </c>
      <c r="E265" s="366">
        <v>216</v>
      </c>
      <c r="F265" s="193">
        <v>261</v>
      </c>
      <c r="G265" s="304">
        <v>327</v>
      </c>
      <c r="H265" s="304">
        <v>350</v>
      </c>
      <c r="I265" s="360">
        <f t="shared" si="22"/>
        <v>922</v>
      </c>
      <c r="J265" s="304">
        <v>0</v>
      </c>
      <c r="K265" s="304">
        <v>0</v>
      </c>
      <c r="L265" s="304">
        <v>414.7</v>
      </c>
      <c r="M265" s="304">
        <v>0</v>
      </c>
      <c r="N265" s="390">
        <f t="shared" si="21"/>
        <v>0</v>
      </c>
      <c r="O265" s="192">
        <f t="shared" si="20"/>
        <v>1298</v>
      </c>
      <c r="P265" s="30">
        <v>0</v>
      </c>
      <c r="Q265" s="28">
        <v>0</v>
      </c>
      <c r="R265" s="28">
        <v>0</v>
      </c>
      <c r="S265" s="281"/>
    </row>
    <row r="266" spans="1:19" ht="12.75">
      <c r="A266" s="28">
        <v>923</v>
      </c>
      <c r="B266" s="29" t="s">
        <v>236</v>
      </c>
      <c r="C266" s="28">
        <v>971</v>
      </c>
      <c r="D266" s="382">
        <v>170</v>
      </c>
      <c r="E266" s="366">
        <v>216</v>
      </c>
      <c r="F266" s="193">
        <v>261</v>
      </c>
      <c r="G266" s="304">
        <v>327</v>
      </c>
      <c r="H266" s="304">
        <v>350</v>
      </c>
      <c r="I266" s="360">
        <f t="shared" si="22"/>
        <v>923</v>
      </c>
      <c r="J266" s="304">
        <v>0</v>
      </c>
      <c r="K266" s="304">
        <v>0</v>
      </c>
      <c r="L266" s="304">
        <v>414.7</v>
      </c>
      <c r="M266" s="304">
        <v>0</v>
      </c>
      <c r="N266" s="390">
        <f t="shared" si="21"/>
        <v>0</v>
      </c>
      <c r="O266" s="192">
        <f t="shared" si="20"/>
        <v>1298</v>
      </c>
      <c r="P266" s="30">
        <v>0</v>
      </c>
      <c r="Q266" s="28">
        <v>0</v>
      </c>
      <c r="R266" s="28">
        <v>0</v>
      </c>
      <c r="S266" s="281"/>
    </row>
    <row r="267" spans="1:19" ht="12.75">
      <c r="A267" s="28">
        <v>924</v>
      </c>
      <c r="B267" s="29" t="s">
        <v>237</v>
      </c>
      <c r="C267" s="28">
        <v>971</v>
      </c>
      <c r="D267" s="382">
        <v>170</v>
      </c>
      <c r="E267" s="366">
        <v>216</v>
      </c>
      <c r="F267" s="193">
        <v>261</v>
      </c>
      <c r="G267" s="304">
        <v>327</v>
      </c>
      <c r="H267" s="304">
        <v>350</v>
      </c>
      <c r="I267" s="360">
        <f t="shared" si="22"/>
        <v>924</v>
      </c>
      <c r="J267" s="304">
        <v>0</v>
      </c>
      <c r="K267" s="304">
        <v>0</v>
      </c>
      <c r="L267" s="304">
        <v>414.7</v>
      </c>
      <c r="M267" s="304">
        <v>0</v>
      </c>
      <c r="N267" s="390">
        <f t="shared" si="21"/>
        <v>0</v>
      </c>
      <c r="O267" s="192">
        <f t="shared" si="20"/>
        <v>1298</v>
      </c>
      <c r="P267" s="30">
        <v>150</v>
      </c>
      <c r="Q267" s="28">
        <v>0</v>
      </c>
      <c r="R267" s="28">
        <v>0</v>
      </c>
      <c r="S267" s="281"/>
    </row>
    <row r="268" spans="1:19" ht="12.75">
      <c r="A268" s="28">
        <v>925</v>
      </c>
      <c r="B268" s="29" t="s">
        <v>51</v>
      </c>
      <c r="C268" s="28">
        <v>971</v>
      </c>
      <c r="D268" s="382">
        <v>170</v>
      </c>
      <c r="E268" s="366">
        <v>216</v>
      </c>
      <c r="F268" s="193">
        <v>261</v>
      </c>
      <c r="G268" s="304">
        <v>327</v>
      </c>
      <c r="H268" s="304">
        <v>350</v>
      </c>
      <c r="I268" s="360">
        <f t="shared" si="22"/>
        <v>925</v>
      </c>
      <c r="J268" s="304">
        <v>0</v>
      </c>
      <c r="K268" s="304">
        <v>0</v>
      </c>
      <c r="L268" s="304">
        <v>414.7</v>
      </c>
      <c r="M268" s="304">
        <v>0</v>
      </c>
      <c r="N268" s="390">
        <f t="shared" si="21"/>
        <v>0</v>
      </c>
      <c r="O268" s="192">
        <f t="shared" si="20"/>
        <v>1298</v>
      </c>
      <c r="P268" s="30">
        <v>0</v>
      </c>
      <c r="Q268" s="28">
        <v>0</v>
      </c>
      <c r="R268" s="28">
        <v>0</v>
      </c>
      <c r="S268" s="281"/>
    </row>
    <row r="269" spans="1:19" ht="12.75">
      <c r="A269" s="28">
        <v>926</v>
      </c>
      <c r="B269" s="29" t="s">
        <v>159</v>
      </c>
      <c r="C269" s="28">
        <v>1500</v>
      </c>
      <c r="D269" s="382">
        <v>101</v>
      </c>
      <c r="E269" s="144">
        <v>101</v>
      </c>
      <c r="F269" s="193">
        <f>IF(C269&lt;972,E269+44,E269)</f>
        <v>101</v>
      </c>
      <c r="G269" s="193">
        <v>101</v>
      </c>
      <c r="H269" s="193">
        <v>101</v>
      </c>
      <c r="I269" s="360">
        <f t="shared" si="22"/>
        <v>926</v>
      </c>
      <c r="J269" s="304">
        <v>0</v>
      </c>
      <c r="K269" s="304">
        <v>0</v>
      </c>
      <c r="L269" s="304">
        <v>101</v>
      </c>
      <c r="M269" s="304">
        <v>0</v>
      </c>
      <c r="N269" s="390">
        <f t="shared" si="21"/>
        <v>0</v>
      </c>
      <c r="O269" s="192">
        <f t="shared" si="20"/>
        <v>1601</v>
      </c>
      <c r="P269" s="30">
        <v>150</v>
      </c>
      <c r="Q269" s="28">
        <v>0</v>
      </c>
      <c r="R269" s="28">
        <v>0</v>
      </c>
      <c r="S269" s="281"/>
    </row>
    <row r="270" spans="1:19" ht="12.75">
      <c r="A270" s="28">
        <v>928</v>
      </c>
      <c r="B270" s="29" t="s">
        <v>130</v>
      </c>
      <c r="C270" s="28">
        <v>1500</v>
      </c>
      <c r="D270" s="382">
        <v>101</v>
      </c>
      <c r="E270" s="144">
        <v>101</v>
      </c>
      <c r="F270" s="193">
        <f>IF(C270&lt;972,E270+44,E270)</f>
        <v>101</v>
      </c>
      <c r="G270" s="193">
        <v>101</v>
      </c>
      <c r="H270" s="193">
        <v>101</v>
      </c>
      <c r="I270" s="360">
        <f t="shared" si="22"/>
        <v>928</v>
      </c>
      <c r="J270" s="304">
        <v>0</v>
      </c>
      <c r="K270" s="304">
        <v>0</v>
      </c>
      <c r="L270" s="304">
        <v>101</v>
      </c>
      <c r="M270" s="304">
        <v>0</v>
      </c>
      <c r="N270" s="390">
        <f t="shared" si="21"/>
        <v>0</v>
      </c>
      <c r="O270" s="192">
        <f t="shared" si="20"/>
        <v>1601</v>
      </c>
      <c r="P270" s="30">
        <v>150</v>
      </c>
      <c r="Q270" s="28">
        <v>0</v>
      </c>
      <c r="R270" s="28">
        <v>0</v>
      </c>
      <c r="S270" s="281"/>
    </row>
    <row r="271" spans="1:19" ht="12.75">
      <c r="A271" s="28">
        <v>929</v>
      </c>
      <c r="B271" s="29" t="s">
        <v>238</v>
      </c>
      <c r="C271" s="28">
        <v>971</v>
      </c>
      <c r="D271" s="382">
        <v>170</v>
      </c>
      <c r="E271" s="366">
        <v>216</v>
      </c>
      <c r="F271" s="193">
        <v>261</v>
      </c>
      <c r="G271" s="304">
        <v>327</v>
      </c>
      <c r="H271" s="304">
        <v>350</v>
      </c>
      <c r="I271" s="360">
        <f t="shared" si="22"/>
        <v>929</v>
      </c>
      <c r="J271" s="304">
        <v>0</v>
      </c>
      <c r="K271" s="304">
        <v>0</v>
      </c>
      <c r="L271" s="304">
        <v>414.7</v>
      </c>
      <c r="M271" s="304">
        <v>0</v>
      </c>
      <c r="N271" s="390">
        <f t="shared" si="21"/>
        <v>0</v>
      </c>
      <c r="O271" s="192">
        <f t="shared" si="20"/>
        <v>1298</v>
      </c>
      <c r="P271" s="30">
        <v>150</v>
      </c>
      <c r="Q271" s="28">
        <v>0</v>
      </c>
      <c r="R271" s="28">
        <v>0</v>
      </c>
      <c r="S271" s="281"/>
    </row>
    <row r="272" spans="1:19" ht="12.75">
      <c r="A272" s="28">
        <v>930</v>
      </c>
      <c r="B272" s="29" t="s">
        <v>239</v>
      </c>
      <c r="C272" s="28">
        <v>1592</v>
      </c>
      <c r="D272" s="382">
        <v>89</v>
      </c>
      <c r="E272" s="144">
        <v>89</v>
      </c>
      <c r="F272" s="193">
        <f>IF(C272&lt;972,E272+44,E272)</f>
        <v>89</v>
      </c>
      <c r="G272" s="193">
        <v>89</v>
      </c>
      <c r="H272" s="193">
        <v>89</v>
      </c>
      <c r="I272" s="360">
        <f t="shared" si="22"/>
        <v>930</v>
      </c>
      <c r="J272" s="304">
        <v>0</v>
      </c>
      <c r="K272" s="304">
        <v>0</v>
      </c>
      <c r="L272" s="304">
        <v>89</v>
      </c>
      <c r="M272" s="304">
        <v>233</v>
      </c>
      <c r="N272" s="390">
        <f>M272*1.33333</f>
        <v>310.66589</v>
      </c>
      <c r="O272" s="192">
        <f t="shared" si="20"/>
        <v>1914</v>
      </c>
      <c r="P272" s="30">
        <v>0</v>
      </c>
      <c r="Q272" s="28">
        <v>0</v>
      </c>
      <c r="R272" s="28">
        <v>0</v>
      </c>
      <c r="S272" s="281"/>
    </row>
    <row r="273" spans="1:19" ht="12.75">
      <c r="A273" s="28">
        <v>931</v>
      </c>
      <c r="B273" s="29" t="s">
        <v>240</v>
      </c>
      <c r="C273" s="28">
        <v>971</v>
      </c>
      <c r="D273" s="382">
        <v>170</v>
      </c>
      <c r="E273" s="366">
        <v>216</v>
      </c>
      <c r="F273" s="193">
        <v>261</v>
      </c>
      <c r="G273" s="304">
        <v>327</v>
      </c>
      <c r="H273" s="304">
        <v>350</v>
      </c>
      <c r="I273" s="360">
        <f t="shared" si="22"/>
        <v>931</v>
      </c>
      <c r="J273" s="304">
        <v>0</v>
      </c>
      <c r="K273" s="304">
        <v>0</v>
      </c>
      <c r="L273" s="304">
        <v>414.7</v>
      </c>
      <c r="M273" s="304">
        <v>0</v>
      </c>
      <c r="N273" s="390">
        <f t="shared" si="21"/>
        <v>0</v>
      </c>
      <c r="O273" s="192">
        <f t="shared" si="20"/>
        <v>1298</v>
      </c>
      <c r="P273" s="30">
        <v>0</v>
      </c>
      <c r="Q273" s="28">
        <v>0</v>
      </c>
      <c r="R273" s="28">
        <v>0</v>
      </c>
      <c r="S273" s="281"/>
    </row>
    <row r="274" spans="1:19" ht="14.25">
      <c r="A274" s="28">
        <v>932</v>
      </c>
      <c r="B274" s="29" t="s">
        <v>241</v>
      </c>
      <c r="C274" s="28">
        <v>2220</v>
      </c>
      <c r="D274" s="382">
        <v>7</v>
      </c>
      <c r="E274" s="144">
        <v>7</v>
      </c>
      <c r="F274" s="193">
        <f>IF(C274&lt;972,E274+44,E274)</f>
        <v>7</v>
      </c>
      <c r="G274" s="193">
        <v>7</v>
      </c>
      <c r="H274" s="193">
        <v>7</v>
      </c>
      <c r="I274" s="360">
        <f t="shared" si="22"/>
        <v>932</v>
      </c>
      <c r="J274" s="304">
        <v>0</v>
      </c>
      <c r="K274" s="304">
        <v>0</v>
      </c>
      <c r="L274" s="304">
        <v>7</v>
      </c>
      <c r="M274" s="364">
        <v>521.4</v>
      </c>
      <c r="N274" s="390">
        <f t="shared" si="21"/>
        <v>521.4</v>
      </c>
      <c r="O274" s="192">
        <f t="shared" si="20"/>
        <v>2748.4</v>
      </c>
      <c r="P274" s="30">
        <v>0</v>
      </c>
      <c r="Q274" s="28">
        <v>0</v>
      </c>
      <c r="R274" s="28">
        <v>0</v>
      </c>
      <c r="S274" s="281"/>
    </row>
    <row r="275" spans="1:19" ht="14.25">
      <c r="A275" s="37">
        <v>933</v>
      </c>
      <c r="B275" s="38" t="s">
        <v>242</v>
      </c>
      <c r="C275" s="37">
        <v>1580</v>
      </c>
      <c r="D275" s="382">
        <v>90</v>
      </c>
      <c r="E275" s="144">
        <v>90</v>
      </c>
      <c r="F275" s="193">
        <f>IF(C275&lt;972,E275+44,E275)</f>
        <v>90</v>
      </c>
      <c r="G275" s="193">
        <v>90</v>
      </c>
      <c r="H275" s="193">
        <v>90</v>
      </c>
      <c r="I275" s="360">
        <f t="shared" si="22"/>
        <v>933</v>
      </c>
      <c r="J275" s="304">
        <v>0</v>
      </c>
      <c r="K275" s="304">
        <v>0</v>
      </c>
      <c r="L275" s="304">
        <v>90</v>
      </c>
      <c r="M275" s="364">
        <v>347.6</v>
      </c>
      <c r="N275" s="390">
        <f t="shared" si="21"/>
        <v>347.6</v>
      </c>
      <c r="O275" s="192">
        <f t="shared" si="20"/>
        <v>2017.6</v>
      </c>
      <c r="P275" s="39">
        <v>0</v>
      </c>
      <c r="Q275" s="37">
        <v>0</v>
      </c>
      <c r="R275" s="37">
        <v>0</v>
      </c>
      <c r="S275" s="281"/>
    </row>
    <row r="276" spans="1:19" ht="12.75">
      <c r="A276" s="28">
        <v>934</v>
      </c>
      <c r="B276" s="29" t="s">
        <v>243</v>
      </c>
      <c r="C276" s="28">
        <v>922</v>
      </c>
      <c r="D276" s="382">
        <v>176</v>
      </c>
      <c r="E276" s="366">
        <v>216</v>
      </c>
      <c r="F276" s="193">
        <v>261</v>
      </c>
      <c r="G276" s="304">
        <v>327</v>
      </c>
      <c r="H276" s="304">
        <v>350</v>
      </c>
      <c r="I276" s="360">
        <f t="shared" si="22"/>
        <v>934</v>
      </c>
      <c r="J276" s="304">
        <v>0</v>
      </c>
      <c r="K276" s="304">
        <v>0</v>
      </c>
      <c r="L276" s="304">
        <v>414.7</v>
      </c>
      <c r="M276" s="304">
        <v>0</v>
      </c>
      <c r="N276" s="390">
        <f t="shared" si="21"/>
        <v>0</v>
      </c>
      <c r="O276" s="192">
        <f t="shared" si="20"/>
        <v>1249</v>
      </c>
      <c r="P276" s="30">
        <v>0</v>
      </c>
      <c r="Q276" s="28">
        <v>0</v>
      </c>
      <c r="R276" s="28">
        <v>0</v>
      </c>
      <c r="S276" s="281"/>
    </row>
    <row r="277" spans="1:19" ht="12.75">
      <c r="A277" s="28">
        <v>935</v>
      </c>
      <c r="B277" s="29" t="s">
        <v>244</v>
      </c>
      <c r="C277" s="28">
        <v>971</v>
      </c>
      <c r="D277" s="382">
        <v>170</v>
      </c>
      <c r="E277" s="366">
        <v>216</v>
      </c>
      <c r="F277" s="193">
        <v>261</v>
      </c>
      <c r="G277" s="304">
        <v>327</v>
      </c>
      <c r="H277" s="304">
        <v>350</v>
      </c>
      <c r="I277" s="360">
        <f t="shared" si="22"/>
        <v>935</v>
      </c>
      <c r="J277" s="304">
        <v>0</v>
      </c>
      <c r="K277" s="304">
        <v>0</v>
      </c>
      <c r="L277" s="304">
        <v>414.7</v>
      </c>
      <c r="M277" s="304">
        <v>0</v>
      </c>
      <c r="N277" s="390">
        <f t="shared" si="21"/>
        <v>0</v>
      </c>
      <c r="O277" s="192">
        <f t="shared" si="20"/>
        <v>1298</v>
      </c>
      <c r="P277" s="30">
        <v>0</v>
      </c>
      <c r="Q277" s="28">
        <v>0</v>
      </c>
      <c r="R277" s="28">
        <v>0</v>
      </c>
      <c r="S277" s="281"/>
    </row>
    <row r="278" spans="1:19" ht="12.75">
      <c r="A278" s="28">
        <v>936</v>
      </c>
      <c r="B278" s="29" t="s">
        <v>245</v>
      </c>
      <c r="C278" s="28">
        <v>1250</v>
      </c>
      <c r="D278" s="382">
        <v>134</v>
      </c>
      <c r="E278" s="144">
        <v>134</v>
      </c>
      <c r="F278" s="193">
        <f>IF(C278&lt;972,E278+44,E278)</f>
        <v>134</v>
      </c>
      <c r="G278" s="193">
        <v>134</v>
      </c>
      <c r="H278" s="193">
        <v>134</v>
      </c>
      <c r="I278" s="360">
        <f t="shared" si="22"/>
        <v>936</v>
      </c>
      <c r="J278" s="304">
        <v>0</v>
      </c>
      <c r="K278" s="304">
        <v>0</v>
      </c>
      <c r="L278" s="304">
        <v>134</v>
      </c>
      <c r="M278" s="304">
        <v>0</v>
      </c>
      <c r="N278" s="390">
        <f t="shared" si="21"/>
        <v>0</v>
      </c>
      <c r="O278" s="192">
        <f t="shared" si="20"/>
        <v>1384</v>
      </c>
      <c r="P278" s="30">
        <v>0</v>
      </c>
      <c r="Q278" s="28">
        <v>0</v>
      </c>
      <c r="R278" s="28">
        <v>0</v>
      </c>
      <c r="S278" s="281"/>
    </row>
    <row r="279" spans="1:19" ht="12.75">
      <c r="A279" s="34">
        <v>937</v>
      </c>
      <c r="B279" s="35" t="s">
        <v>246</v>
      </c>
      <c r="C279" s="34">
        <v>971</v>
      </c>
      <c r="D279" s="382">
        <v>170</v>
      </c>
      <c r="E279" s="366">
        <v>216</v>
      </c>
      <c r="F279" s="193">
        <v>261</v>
      </c>
      <c r="G279" s="304">
        <v>327</v>
      </c>
      <c r="H279" s="304">
        <v>350</v>
      </c>
      <c r="I279" s="360">
        <f t="shared" si="22"/>
        <v>937</v>
      </c>
      <c r="J279" s="304">
        <v>0</v>
      </c>
      <c r="K279" s="304">
        <v>0</v>
      </c>
      <c r="L279" s="304">
        <v>414.7</v>
      </c>
      <c r="M279" s="304">
        <v>0</v>
      </c>
      <c r="N279" s="390">
        <f t="shared" si="21"/>
        <v>0</v>
      </c>
      <c r="O279" s="192">
        <f t="shared" si="20"/>
        <v>1298</v>
      </c>
      <c r="P279" s="36">
        <v>0</v>
      </c>
      <c r="Q279" s="34">
        <v>0</v>
      </c>
      <c r="R279" s="34">
        <v>0</v>
      </c>
      <c r="S279" s="281"/>
    </row>
    <row r="280" spans="1:19" ht="12.75">
      <c r="A280" s="28">
        <v>940</v>
      </c>
      <c r="B280" s="29" t="s">
        <v>247</v>
      </c>
      <c r="C280" s="28">
        <v>1692</v>
      </c>
      <c r="D280" s="382">
        <v>76</v>
      </c>
      <c r="E280" s="144">
        <v>76</v>
      </c>
      <c r="F280" s="193">
        <f aca="true" t="shared" si="23" ref="F280:F285">IF(C280&lt;972,E280+44,E280)</f>
        <v>76</v>
      </c>
      <c r="G280" s="193">
        <v>76</v>
      </c>
      <c r="H280" s="193">
        <v>76</v>
      </c>
      <c r="I280" s="360">
        <f t="shared" si="22"/>
        <v>940</v>
      </c>
      <c r="J280" s="304">
        <v>0</v>
      </c>
      <c r="K280" s="304">
        <v>0</v>
      </c>
      <c r="L280" s="304">
        <v>76</v>
      </c>
      <c r="M280" s="304">
        <v>272</v>
      </c>
      <c r="N280" s="390">
        <f>M280*1.33333</f>
        <v>362.66576</v>
      </c>
      <c r="O280" s="192">
        <f t="shared" si="20"/>
        <v>2040</v>
      </c>
      <c r="P280" s="30">
        <v>0</v>
      </c>
      <c r="Q280" s="28">
        <v>0</v>
      </c>
      <c r="R280" s="28">
        <v>0</v>
      </c>
      <c r="S280" s="281"/>
    </row>
    <row r="281" spans="1:19" ht="12.75">
      <c r="A281" s="28">
        <v>941</v>
      </c>
      <c r="B281" s="29" t="s">
        <v>248</v>
      </c>
      <c r="C281" s="28">
        <v>1942</v>
      </c>
      <c r="D281" s="382">
        <v>43</v>
      </c>
      <c r="E281" s="144">
        <v>43</v>
      </c>
      <c r="F281" s="193">
        <f t="shared" si="23"/>
        <v>43</v>
      </c>
      <c r="G281" s="193">
        <v>43</v>
      </c>
      <c r="H281" s="193">
        <v>43</v>
      </c>
      <c r="I281" s="360">
        <f t="shared" si="22"/>
        <v>941</v>
      </c>
      <c r="J281" s="304">
        <v>0</v>
      </c>
      <c r="K281" s="304">
        <v>194</v>
      </c>
      <c r="L281" s="304">
        <v>43</v>
      </c>
      <c r="M281" s="304">
        <v>388</v>
      </c>
      <c r="N281" s="390">
        <f>M281*1.33333</f>
        <v>517.33204</v>
      </c>
      <c r="O281" s="192">
        <f t="shared" si="20"/>
        <v>2373</v>
      </c>
      <c r="P281" s="30">
        <v>0</v>
      </c>
      <c r="Q281" s="28">
        <v>0</v>
      </c>
      <c r="R281" s="28">
        <v>0</v>
      </c>
      <c r="S281" s="281"/>
    </row>
    <row r="282" spans="1:19" ht="12.75">
      <c r="A282" s="28">
        <v>942</v>
      </c>
      <c r="B282" s="29" t="s">
        <v>249</v>
      </c>
      <c r="C282" s="28">
        <v>1782</v>
      </c>
      <c r="D282" s="382">
        <v>64</v>
      </c>
      <c r="E282" s="144">
        <v>64</v>
      </c>
      <c r="F282" s="193">
        <f t="shared" si="23"/>
        <v>64</v>
      </c>
      <c r="G282" s="193">
        <v>64</v>
      </c>
      <c r="H282" s="193">
        <v>64</v>
      </c>
      <c r="I282" s="360">
        <f t="shared" si="22"/>
        <v>942</v>
      </c>
      <c r="J282" s="304">
        <v>0</v>
      </c>
      <c r="K282" s="304">
        <v>0</v>
      </c>
      <c r="L282" s="304">
        <v>64</v>
      </c>
      <c r="M282" s="304">
        <v>349</v>
      </c>
      <c r="N282" s="390">
        <f>M282*1.33333</f>
        <v>465.33216999999996</v>
      </c>
      <c r="O282" s="192">
        <f t="shared" si="20"/>
        <v>2195</v>
      </c>
      <c r="P282" s="30">
        <v>0</v>
      </c>
      <c r="Q282" s="28">
        <v>0</v>
      </c>
      <c r="R282" s="28">
        <v>0</v>
      </c>
      <c r="S282" s="281"/>
    </row>
    <row r="283" spans="1:19" ht="12.75">
      <c r="A283" s="28">
        <v>943</v>
      </c>
      <c r="B283" s="29" t="s">
        <v>158</v>
      </c>
      <c r="C283" s="28">
        <v>1500</v>
      </c>
      <c r="D283" s="382">
        <v>101</v>
      </c>
      <c r="E283" s="144">
        <v>101</v>
      </c>
      <c r="F283" s="193">
        <f t="shared" si="23"/>
        <v>101</v>
      </c>
      <c r="G283" s="193">
        <v>101</v>
      </c>
      <c r="H283" s="193">
        <v>101</v>
      </c>
      <c r="I283" s="360">
        <f t="shared" si="22"/>
        <v>943</v>
      </c>
      <c r="J283" s="304">
        <v>0</v>
      </c>
      <c r="K283" s="304">
        <v>0</v>
      </c>
      <c r="L283" s="304">
        <v>101</v>
      </c>
      <c r="M283" s="304">
        <v>0</v>
      </c>
      <c r="N283" s="390">
        <f t="shared" si="21"/>
        <v>0</v>
      </c>
      <c r="O283" s="192">
        <f t="shared" si="20"/>
        <v>1601</v>
      </c>
      <c r="P283" s="30">
        <v>150</v>
      </c>
      <c r="Q283" s="28">
        <v>0</v>
      </c>
      <c r="R283" s="28">
        <v>0</v>
      </c>
      <c r="S283" s="281"/>
    </row>
    <row r="284" spans="1:19" ht="12.75">
      <c r="A284" s="28">
        <v>944</v>
      </c>
      <c r="B284" s="29" t="s">
        <v>250</v>
      </c>
      <c r="C284" s="28">
        <v>1400</v>
      </c>
      <c r="D284" s="382">
        <v>114</v>
      </c>
      <c r="E284" s="144">
        <v>114</v>
      </c>
      <c r="F284" s="193">
        <f t="shared" si="23"/>
        <v>114</v>
      </c>
      <c r="G284" s="193">
        <v>114</v>
      </c>
      <c r="H284" s="193">
        <v>114</v>
      </c>
      <c r="I284" s="360">
        <f t="shared" si="22"/>
        <v>944</v>
      </c>
      <c r="J284" s="304">
        <v>0</v>
      </c>
      <c r="K284" s="304">
        <v>116</v>
      </c>
      <c r="L284" s="304">
        <v>114</v>
      </c>
      <c r="M284" s="304">
        <v>233</v>
      </c>
      <c r="N284" s="390">
        <f>M284*1.33333</f>
        <v>310.66589</v>
      </c>
      <c r="O284" s="192">
        <f t="shared" si="20"/>
        <v>1747</v>
      </c>
      <c r="P284" s="30">
        <v>0</v>
      </c>
      <c r="Q284" s="28">
        <v>0</v>
      </c>
      <c r="R284" s="28">
        <v>0</v>
      </c>
      <c r="S284" s="281"/>
    </row>
    <row r="285" spans="1:19" ht="12.75">
      <c r="A285" s="28">
        <v>945</v>
      </c>
      <c r="B285" s="29" t="s">
        <v>251</v>
      </c>
      <c r="C285" s="28">
        <v>1782</v>
      </c>
      <c r="D285" s="382">
        <v>64</v>
      </c>
      <c r="E285" s="144">
        <v>64</v>
      </c>
      <c r="F285" s="193">
        <f t="shared" si="23"/>
        <v>64</v>
      </c>
      <c r="G285" s="193">
        <v>64</v>
      </c>
      <c r="H285" s="193">
        <v>64</v>
      </c>
      <c r="I285" s="360">
        <f t="shared" si="22"/>
        <v>945</v>
      </c>
      <c r="J285" s="304">
        <v>0</v>
      </c>
      <c r="K285" s="304">
        <v>175</v>
      </c>
      <c r="L285" s="304">
        <v>64</v>
      </c>
      <c r="M285" s="304">
        <v>233</v>
      </c>
      <c r="N285" s="390">
        <f>M285*1.33333</f>
        <v>310.66589</v>
      </c>
      <c r="O285" s="192">
        <f t="shared" si="20"/>
        <v>2079</v>
      </c>
      <c r="P285" s="30">
        <v>0</v>
      </c>
      <c r="Q285" s="28">
        <v>0</v>
      </c>
      <c r="R285" s="28">
        <v>669</v>
      </c>
      <c r="S285" s="281"/>
    </row>
    <row r="286" spans="1:19" ht="12.75">
      <c r="A286" s="28">
        <v>946</v>
      </c>
      <c r="B286" s="29" t="s">
        <v>188</v>
      </c>
      <c r="C286" s="28">
        <v>971</v>
      </c>
      <c r="D286" s="382">
        <v>170</v>
      </c>
      <c r="E286" s="366">
        <v>170</v>
      </c>
      <c r="F286" s="193">
        <v>170</v>
      </c>
      <c r="G286" s="304">
        <v>214</v>
      </c>
      <c r="H286" s="304">
        <v>214</v>
      </c>
      <c r="I286" s="360">
        <f t="shared" si="22"/>
        <v>946</v>
      </c>
      <c r="J286" s="304">
        <v>0</v>
      </c>
      <c r="K286" s="304">
        <v>0</v>
      </c>
      <c r="L286" s="304">
        <v>214</v>
      </c>
      <c r="M286" s="304">
        <v>0</v>
      </c>
      <c r="N286" s="390">
        <f t="shared" si="21"/>
        <v>0</v>
      </c>
      <c r="O286" s="192">
        <f t="shared" si="20"/>
        <v>1185</v>
      </c>
      <c r="P286" s="30">
        <v>0</v>
      </c>
      <c r="Q286" s="28">
        <v>0</v>
      </c>
      <c r="R286" s="28">
        <v>620</v>
      </c>
      <c r="S286" s="281"/>
    </row>
    <row r="287" spans="1:19" ht="12.75">
      <c r="A287" s="28">
        <v>947</v>
      </c>
      <c r="B287" s="29" t="s">
        <v>252</v>
      </c>
      <c r="C287" s="28">
        <v>971</v>
      </c>
      <c r="D287" s="382">
        <v>170</v>
      </c>
      <c r="E287" s="366">
        <v>216</v>
      </c>
      <c r="F287" s="193">
        <v>261</v>
      </c>
      <c r="G287" s="304">
        <v>327</v>
      </c>
      <c r="H287" s="304">
        <v>350</v>
      </c>
      <c r="I287" s="360">
        <f t="shared" si="22"/>
        <v>947</v>
      </c>
      <c r="J287" s="304">
        <v>0</v>
      </c>
      <c r="K287" s="304">
        <v>0</v>
      </c>
      <c r="L287" s="304">
        <v>414.7</v>
      </c>
      <c r="M287" s="304">
        <v>0</v>
      </c>
      <c r="N287" s="390">
        <f t="shared" si="21"/>
        <v>0</v>
      </c>
      <c r="O287" s="192">
        <f t="shared" si="20"/>
        <v>1298</v>
      </c>
      <c r="P287" s="30">
        <v>0</v>
      </c>
      <c r="Q287" s="28">
        <v>0</v>
      </c>
      <c r="R287" s="28">
        <v>155</v>
      </c>
      <c r="S287" s="281"/>
    </row>
    <row r="288" spans="1:19" ht="12.75">
      <c r="A288" s="28">
        <v>948</v>
      </c>
      <c r="B288" s="307" t="s">
        <v>457</v>
      </c>
      <c r="C288" s="28">
        <v>1300</v>
      </c>
      <c r="D288" s="382"/>
      <c r="E288" s="366"/>
      <c r="F288" s="193"/>
      <c r="G288" s="304">
        <v>127</v>
      </c>
      <c r="H288" s="304">
        <v>127</v>
      </c>
      <c r="I288" s="360">
        <f t="shared" si="22"/>
        <v>948</v>
      </c>
      <c r="J288" s="304"/>
      <c r="K288" s="304"/>
      <c r="L288" s="304">
        <v>127</v>
      </c>
      <c r="M288" s="304">
        <v>233</v>
      </c>
      <c r="N288" s="390">
        <f>M288*1.33333</f>
        <v>310.66589</v>
      </c>
      <c r="O288" s="192">
        <f t="shared" si="20"/>
        <v>1660</v>
      </c>
      <c r="P288" s="30">
        <v>0</v>
      </c>
      <c r="Q288" s="28">
        <v>0</v>
      </c>
      <c r="R288" s="28">
        <v>657</v>
      </c>
      <c r="S288" s="281"/>
    </row>
    <row r="289" spans="1:19" ht="12.75">
      <c r="A289" s="28">
        <v>951</v>
      </c>
      <c r="B289" s="29" t="s">
        <v>145</v>
      </c>
      <c r="C289" s="28">
        <v>1500</v>
      </c>
      <c r="D289" s="382">
        <v>101</v>
      </c>
      <c r="E289" s="144">
        <v>101</v>
      </c>
      <c r="F289" s="193">
        <f>IF(C289&lt;972,E289+44,E289)</f>
        <v>101</v>
      </c>
      <c r="G289" s="193">
        <v>101</v>
      </c>
      <c r="H289" s="193">
        <v>101</v>
      </c>
      <c r="I289" s="360">
        <f t="shared" si="22"/>
        <v>951</v>
      </c>
      <c r="J289" s="304">
        <v>0</v>
      </c>
      <c r="K289" s="304">
        <v>0</v>
      </c>
      <c r="L289" s="304">
        <v>101</v>
      </c>
      <c r="M289" s="304">
        <v>0</v>
      </c>
      <c r="N289" s="390">
        <f t="shared" si="21"/>
        <v>0</v>
      </c>
      <c r="O289" s="192">
        <f t="shared" si="20"/>
        <v>1601</v>
      </c>
      <c r="P289" s="30">
        <v>150</v>
      </c>
      <c r="Q289" s="28">
        <v>0</v>
      </c>
      <c r="R289" s="28">
        <v>0</v>
      </c>
      <c r="S289" s="281"/>
    </row>
    <row r="290" spans="1:19" ht="12.75">
      <c r="A290" s="28">
        <v>952</v>
      </c>
      <c r="B290" s="29" t="s">
        <v>253</v>
      </c>
      <c r="C290" s="28">
        <v>971</v>
      </c>
      <c r="D290" s="382">
        <v>170</v>
      </c>
      <c r="E290" s="366">
        <v>216</v>
      </c>
      <c r="F290" s="193">
        <v>261</v>
      </c>
      <c r="G290" s="304">
        <v>327</v>
      </c>
      <c r="H290" s="304">
        <v>350</v>
      </c>
      <c r="I290" s="360">
        <f t="shared" si="22"/>
        <v>952</v>
      </c>
      <c r="J290" s="304">
        <v>0</v>
      </c>
      <c r="K290" s="304">
        <v>0</v>
      </c>
      <c r="L290" s="304">
        <v>414.7</v>
      </c>
      <c r="M290" s="304">
        <v>0</v>
      </c>
      <c r="N290" s="390">
        <f t="shared" si="21"/>
        <v>0</v>
      </c>
      <c r="O290" s="192">
        <f t="shared" si="20"/>
        <v>1298</v>
      </c>
      <c r="P290" s="30">
        <v>0</v>
      </c>
      <c r="Q290" s="28">
        <v>0</v>
      </c>
      <c r="R290" s="28">
        <v>155</v>
      </c>
      <c r="S290" s="281"/>
    </row>
    <row r="291" spans="1:19" ht="12.75">
      <c r="A291" s="28">
        <v>953</v>
      </c>
      <c r="B291" s="29" t="s">
        <v>254</v>
      </c>
      <c r="C291" s="28">
        <v>971</v>
      </c>
      <c r="D291" s="382">
        <v>170</v>
      </c>
      <c r="E291" s="366">
        <v>216</v>
      </c>
      <c r="F291" s="193">
        <v>261</v>
      </c>
      <c r="G291" s="304">
        <v>327</v>
      </c>
      <c r="H291" s="304">
        <v>350</v>
      </c>
      <c r="I291" s="360">
        <f t="shared" si="22"/>
        <v>953</v>
      </c>
      <c r="J291" s="304">
        <v>0</v>
      </c>
      <c r="K291" s="304">
        <v>0</v>
      </c>
      <c r="L291" s="304">
        <v>414.7</v>
      </c>
      <c r="M291" s="304">
        <v>0</v>
      </c>
      <c r="N291" s="390">
        <f t="shared" si="21"/>
        <v>0</v>
      </c>
      <c r="O291" s="192">
        <f t="shared" si="20"/>
        <v>1298</v>
      </c>
      <c r="P291" s="30">
        <v>0</v>
      </c>
      <c r="Q291" s="28">
        <v>0</v>
      </c>
      <c r="R291" s="28">
        <v>155</v>
      </c>
      <c r="S291" s="281"/>
    </row>
    <row r="292" spans="1:19" ht="12.75">
      <c r="A292" s="28">
        <v>954</v>
      </c>
      <c r="B292" s="29" t="s">
        <v>255</v>
      </c>
      <c r="C292" s="28">
        <v>1600</v>
      </c>
      <c r="D292" s="382">
        <v>88</v>
      </c>
      <c r="E292" s="144">
        <v>88</v>
      </c>
      <c r="F292" s="193">
        <f>IF(C292&lt;972,E292+44,E292)</f>
        <v>88</v>
      </c>
      <c r="G292" s="193">
        <v>88</v>
      </c>
      <c r="H292" s="193">
        <v>88</v>
      </c>
      <c r="I292" s="360">
        <f t="shared" si="22"/>
        <v>954</v>
      </c>
      <c r="J292" s="304">
        <v>0</v>
      </c>
      <c r="K292" s="304">
        <v>116</v>
      </c>
      <c r="L292" s="304">
        <v>88</v>
      </c>
      <c r="M292" s="304">
        <v>233</v>
      </c>
      <c r="N292" s="390">
        <f>M292*1.33333</f>
        <v>310.66589</v>
      </c>
      <c r="O292" s="192">
        <f t="shared" si="20"/>
        <v>1921</v>
      </c>
      <c r="P292" s="30">
        <v>0</v>
      </c>
      <c r="Q292" s="28">
        <v>0</v>
      </c>
      <c r="R292" s="28">
        <v>657</v>
      </c>
      <c r="S292" s="281"/>
    </row>
    <row r="293" spans="1:19" ht="12.75">
      <c r="A293" s="28">
        <v>955</v>
      </c>
      <c r="B293" s="29" t="s">
        <v>174</v>
      </c>
      <c r="C293" s="28">
        <v>971</v>
      </c>
      <c r="D293" s="382">
        <v>170</v>
      </c>
      <c r="E293" s="366">
        <v>216</v>
      </c>
      <c r="F293" s="193">
        <v>261</v>
      </c>
      <c r="G293" s="304">
        <v>327</v>
      </c>
      <c r="H293" s="304">
        <v>350</v>
      </c>
      <c r="I293" s="360">
        <f t="shared" si="22"/>
        <v>955</v>
      </c>
      <c r="J293" s="304">
        <v>0</v>
      </c>
      <c r="K293" s="304">
        <v>0</v>
      </c>
      <c r="L293" s="304">
        <v>414.7</v>
      </c>
      <c r="M293" s="304">
        <v>0</v>
      </c>
      <c r="N293" s="390">
        <f t="shared" si="21"/>
        <v>0</v>
      </c>
      <c r="O293" s="192">
        <f t="shared" si="20"/>
        <v>1298</v>
      </c>
      <c r="P293" s="30">
        <v>0</v>
      </c>
      <c r="Q293" s="28">
        <v>0</v>
      </c>
      <c r="R293" s="28">
        <v>0</v>
      </c>
      <c r="S293" s="281"/>
    </row>
    <row r="294" spans="1:19" ht="12.75">
      <c r="A294" s="28">
        <v>956</v>
      </c>
      <c r="B294" s="29" t="s">
        <v>256</v>
      </c>
      <c r="C294" s="28">
        <v>1692</v>
      </c>
      <c r="D294" s="382">
        <v>76</v>
      </c>
      <c r="E294" s="144">
        <v>76</v>
      </c>
      <c r="F294" s="193">
        <f aca="true" t="shared" si="24" ref="F294:F300">IF(C294&lt;972,E294+44,E294)</f>
        <v>76</v>
      </c>
      <c r="G294" s="193">
        <v>76</v>
      </c>
      <c r="H294" s="193">
        <v>76</v>
      </c>
      <c r="I294" s="360">
        <f t="shared" si="22"/>
        <v>956</v>
      </c>
      <c r="J294" s="304">
        <v>0</v>
      </c>
      <c r="K294" s="304">
        <v>136</v>
      </c>
      <c r="L294" s="304">
        <v>76</v>
      </c>
      <c r="M294" s="304">
        <v>272</v>
      </c>
      <c r="N294" s="390">
        <f>M294*1.33333</f>
        <v>362.66576</v>
      </c>
      <c r="O294" s="192">
        <f t="shared" si="20"/>
        <v>2040</v>
      </c>
      <c r="P294" s="30">
        <v>0</v>
      </c>
      <c r="Q294" s="28">
        <v>0</v>
      </c>
      <c r="R294" s="28">
        <v>663</v>
      </c>
      <c r="S294" s="281"/>
    </row>
    <row r="295" spans="1:19" ht="12.75">
      <c r="A295" s="28">
        <v>957</v>
      </c>
      <c r="B295" s="29" t="s">
        <v>453</v>
      </c>
      <c r="C295" s="28">
        <v>1700</v>
      </c>
      <c r="D295" s="382">
        <v>75</v>
      </c>
      <c r="E295" s="144">
        <v>75</v>
      </c>
      <c r="F295" s="193">
        <f t="shared" si="24"/>
        <v>75</v>
      </c>
      <c r="G295" s="193">
        <v>75</v>
      </c>
      <c r="H295" s="193">
        <v>75</v>
      </c>
      <c r="I295" s="360">
        <f t="shared" si="22"/>
        <v>957</v>
      </c>
      <c r="J295" s="304">
        <v>0</v>
      </c>
      <c r="K295" s="304">
        <v>0</v>
      </c>
      <c r="L295" s="304">
        <v>75</v>
      </c>
      <c r="M295" s="304">
        <v>310</v>
      </c>
      <c r="N295" s="390">
        <f>M295*1.33333</f>
        <v>413.3323</v>
      </c>
      <c r="O295" s="192">
        <f t="shared" si="20"/>
        <v>2085</v>
      </c>
      <c r="P295" s="30">
        <v>0</v>
      </c>
      <c r="Q295" s="28">
        <v>0</v>
      </c>
      <c r="R295" s="28">
        <v>0</v>
      </c>
      <c r="S295" s="281"/>
    </row>
    <row r="296" spans="1:19" ht="12.75">
      <c r="A296" s="28">
        <v>958</v>
      </c>
      <c r="B296" s="29" t="s">
        <v>257</v>
      </c>
      <c r="C296" s="28">
        <v>2913</v>
      </c>
      <c r="D296" s="382">
        <v>0</v>
      </c>
      <c r="E296" s="144">
        <v>0</v>
      </c>
      <c r="F296" s="193">
        <f t="shared" si="24"/>
        <v>0</v>
      </c>
      <c r="G296" s="193">
        <v>0</v>
      </c>
      <c r="H296" s="193">
        <v>0</v>
      </c>
      <c r="I296" s="360">
        <f t="shared" si="22"/>
        <v>958</v>
      </c>
      <c r="J296" s="304">
        <v>0</v>
      </c>
      <c r="K296" s="304">
        <v>0</v>
      </c>
      <c r="L296" s="304">
        <v>0</v>
      </c>
      <c r="M296" s="304">
        <v>0</v>
      </c>
      <c r="N296" s="390">
        <f t="shared" si="21"/>
        <v>0</v>
      </c>
      <c r="O296" s="192">
        <f t="shared" si="20"/>
        <v>2913</v>
      </c>
      <c r="P296" s="30">
        <v>0</v>
      </c>
      <c r="Q296" s="28">
        <v>0</v>
      </c>
      <c r="R296" s="28">
        <v>0</v>
      </c>
      <c r="S296" s="281"/>
    </row>
    <row r="297" spans="1:19" ht="12.75">
      <c r="A297" s="28">
        <v>959</v>
      </c>
      <c r="B297" s="29" t="s">
        <v>452</v>
      </c>
      <c r="C297" s="28">
        <v>1942</v>
      </c>
      <c r="D297" s="382">
        <v>7</v>
      </c>
      <c r="E297" s="144">
        <v>7</v>
      </c>
      <c r="F297" s="193">
        <f t="shared" si="24"/>
        <v>7</v>
      </c>
      <c r="G297" s="193">
        <v>43</v>
      </c>
      <c r="H297" s="193">
        <v>43</v>
      </c>
      <c r="I297" s="360">
        <f t="shared" si="22"/>
        <v>959</v>
      </c>
      <c r="J297" s="304">
        <v>0</v>
      </c>
      <c r="K297" s="304">
        <v>0</v>
      </c>
      <c r="L297" s="304">
        <v>43</v>
      </c>
      <c r="M297" s="304">
        <v>388</v>
      </c>
      <c r="N297" s="390">
        <f t="shared" si="21"/>
        <v>388</v>
      </c>
      <c r="O297" s="192">
        <f t="shared" si="20"/>
        <v>2373</v>
      </c>
      <c r="P297" s="30">
        <v>0</v>
      </c>
      <c r="Q297" s="28">
        <v>0</v>
      </c>
      <c r="R297" s="28">
        <v>0</v>
      </c>
      <c r="S297" s="281"/>
    </row>
    <row r="298" spans="1:19" ht="12.75">
      <c r="A298" s="28">
        <v>960</v>
      </c>
      <c r="B298" s="29" t="s">
        <v>455</v>
      </c>
      <c r="C298" s="28">
        <v>1600</v>
      </c>
      <c r="D298" s="382">
        <v>68</v>
      </c>
      <c r="E298" s="144">
        <v>68</v>
      </c>
      <c r="F298" s="193">
        <f t="shared" si="24"/>
        <v>68</v>
      </c>
      <c r="G298" s="193">
        <v>68</v>
      </c>
      <c r="H298" s="193">
        <v>68</v>
      </c>
      <c r="I298" s="360">
        <f t="shared" si="22"/>
        <v>960</v>
      </c>
      <c r="J298" s="304">
        <v>0</v>
      </c>
      <c r="K298" s="304">
        <v>0</v>
      </c>
      <c r="L298" s="304">
        <v>68</v>
      </c>
      <c r="M298" s="304">
        <v>233</v>
      </c>
      <c r="N298" s="390">
        <f t="shared" si="21"/>
        <v>233</v>
      </c>
      <c r="O298" s="192">
        <f t="shared" si="20"/>
        <v>1901</v>
      </c>
      <c r="P298" s="30">
        <v>0</v>
      </c>
      <c r="Q298" s="28">
        <v>0</v>
      </c>
      <c r="R298" s="28">
        <v>0</v>
      </c>
      <c r="S298" s="281"/>
    </row>
    <row r="299" spans="1:19" ht="14.25">
      <c r="A299" s="28">
        <v>961</v>
      </c>
      <c r="B299" s="29" t="s">
        <v>258</v>
      </c>
      <c r="C299" s="28">
        <v>1580</v>
      </c>
      <c r="D299" s="382">
        <v>90</v>
      </c>
      <c r="E299" s="144">
        <v>90</v>
      </c>
      <c r="F299" s="193">
        <f t="shared" si="24"/>
        <v>90</v>
      </c>
      <c r="G299" s="193">
        <v>90</v>
      </c>
      <c r="H299" s="193">
        <v>90</v>
      </c>
      <c r="I299" s="360">
        <f t="shared" si="22"/>
        <v>961</v>
      </c>
      <c r="J299" s="304">
        <v>0</v>
      </c>
      <c r="K299" s="304">
        <v>0</v>
      </c>
      <c r="L299" s="304">
        <v>90</v>
      </c>
      <c r="M299" s="364">
        <v>347.6</v>
      </c>
      <c r="N299" s="390">
        <f t="shared" si="21"/>
        <v>347.6</v>
      </c>
      <c r="O299" s="192">
        <f t="shared" si="20"/>
        <v>2017.6</v>
      </c>
      <c r="P299" s="30">
        <v>0</v>
      </c>
      <c r="Q299" s="28">
        <v>0</v>
      </c>
      <c r="R299" s="28">
        <v>0</v>
      </c>
      <c r="S299" s="281"/>
    </row>
    <row r="300" spans="1:19" ht="12.75">
      <c r="A300" s="28">
        <v>962</v>
      </c>
      <c r="B300" s="29" t="s">
        <v>259</v>
      </c>
      <c r="C300" s="28">
        <v>1580</v>
      </c>
      <c r="D300" s="382">
        <v>90</v>
      </c>
      <c r="E300" s="144">
        <v>90</v>
      </c>
      <c r="F300" s="193">
        <f t="shared" si="24"/>
        <v>90</v>
      </c>
      <c r="G300" s="193">
        <v>90</v>
      </c>
      <c r="H300" s="193">
        <v>90</v>
      </c>
      <c r="I300" s="360">
        <f t="shared" si="22"/>
        <v>962</v>
      </c>
      <c r="J300" s="304">
        <v>0</v>
      </c>
      <c r="K300" s="304">
        <v>0</v>
      </c>
      <c r="L300" s="304">
        <v>90</v>
      </c>
      <c r="M300" s="304">
        <v>0</v>
      </c>
      <c r="N300" s="390">
        <f t="shared" si="21"/>
        <v>0</v>
      </c>
      <c r="O300" s="192">
        <f t="shared" si="20"/>
        <v>1670</v>
      </c>
      <c r="P300" s="30">
        <v>0</v>
      </c>
      <c r="Q300" s="28">
        <v>0</v>
      </c>
      <c r="R300" s="28">
        <v>0</v>
      </c>
      <c r="S300" s="281"/>
    </row>
    <row r="301" spans="1:19" ht="12.75">
      <c r="A301" s="28">
        <v>963</v>
      </c>
      <c r="B301" s="29" t="s">
        <v>260</v>
      </c>
      <c r="C301" s="28">
        <v>951</v>
      </c>
      <c r="D301" s="382">
        <v>170</v>
      </c>
      <c r="E301" s="366">
        <v>216</v>
      </c>
      <c r="F301" s="193">
        <v>261</v>
      </c>
      <c r="G301" s="304">
        <v>327</v>
      </c>
      <c r="H301" s="304">
        <v>350</v>
      </c>
      <c r="I301" s="360">
        <f t="shared" si="22"/>
        <v>963</v>
      </c>
      <c r="J301" s="304">
        <v>0</v>
      </c>
      <c r="K301" s="304">
        <v>0</v>
      </c>
      <c r="L301" s="304">
        <v>414.7</v>
      </c>
      <c r="M301" s="304">
        <v>0</v>
      </c>
      <c r="N301" s="390">
        <f t="shared" si="21"/>
        <v>0</v>
      </c>
      <c r="O301" s="192">
        <f t="shared" si="20"/>
        <v>1278</v>
      </c>
      <c r="P301" s="30">
        <v>0</v>
      </c>
      <c r="Q301" s="28">
        <v>0</v>
      </c>
      <c r="R301" s="28">
        <v>0</v>
      </c>
      <c r="S301" s="281"/>
    </row>
    <row r="302" spans="1:19" ht="12.75">
      <c r="A302" s="28">
        <v>965</v>
      </c>
      <c r="B302" s="29" t="s">
        <v>261</v>
      </c>
      <c r="C302" s="28">
        <v>2913</v>
      </c>
      <c r="D302" s="382">
        <v>0</v>
      </c>
      <c r="E302" s="144">
        <v>0</v>
      </c>
      <c r="F302" s="193">
        <f>IF(C302&lt;972,E302+44,E302)</f>
        <v>0</v>
      </c>
      <c r="G302" s="193">
        <v>0</v>
      </c>
      <c r="H302" s="193">
        <v>0</v>
      </c>
      <c r="I302" s="360">
        <f t="shared" si="22"/>
        <v>965</v>
      </c>
      <c r="J302" s="304">
        <v>0</v>
      </c>
      <c r="K302" s="304">
        <v>0</v>
      </c>
      <c r="L302" s="304">
        <v>0</v>
      </c>
      <c r="M302" s="304">
        <v>0</v>
      </c>
      <c r="N302" s="390">
        <f t="shared" si="21"/>
        <v>0</v>
      </c>
      <c r="O302" s="192">
        <f t="shared" si="20"/>
        <v>2913</v>
      </c>
      <c r="P302" s="30">
        <v>0</v>
      </c>
      <c r="Q302" s="28">
        <v>0</v>
      </c>
      <c r="R302" s="28">
        <v>0</v>
      </c>
      <c r="S302" s="281"/>
    </row>
    <row r="303" spans="1:19" ht="14.25">
      <c r="A303" s="28">
        <v>966</v>
      </c>
      <c r="B303" s="29" t="s">
        <v>262</v>
      </c>
      <c r="C303" s="28">
        <v>1850</v>
      </c>
      <c r="D303" s="382">
        <v>55</v>
      </c>
      <c r="E303" s="144">
        <v>55</v>
      </c>
      <c r="F303" s="193">
        <f>IF(C303&lt;972,E303+44,E303)</f>
        <v>55</v>
      </c>
      <c r="G303" s="193">
        <v>55</v>
      </c>
      <c r="H303" s="193">
        <v>55</v>
      </c>
      <c r="I303" s="360">
        <f t="shared" si="22"/>
        <v>966</v>
      </c>
      <c r="J303" s="304">
        <v>0</v>
      </c>
      <c r="K303" s="304">
        <v>0</v>
      </c>
      <c r="L303" s="304">
        <v>55</v>
      </c>
      <c r="M303" s="364">
        <v>434.5</v>
      </c>
      <c r="N303" s="390">
        <f t="shared" si="21"/>
        <v>434.5</v>
      </c>
      <c r="O303" s="192">
        <f t="shared" si="20"/>
        <v>2339.5</v>
      </c>
      <c r="P303" s="30">
        <v>0</v>
      </c>
      <c r="Q303" s="28">
        <v>0</v>
      </c>
      <c r="R303" s="28">
        <v>0</v>
      </c>
      <c r="S303" s="281"/>
    </row>
    <row r="304" spans="1:19" ht="12.75">
      <c r="A304" s="28">
        <v>967</v>
      </c>
      <c r="B304" s="29" t="s">
        <v>263</v>
      </c>
      <c r="C304" s="28">
        <v>1564</v>
      </c>
      <c r="D304" s="382">
        <v>93</v>
      </c>
      <c r="E304" s="144">
        <v>93</v>
      </c>
      <c r="F304" s="193">
        <f>IF(C304&lt;972,E304+44,E304)</f>
        <v>93</v>
      </c>
      <c r="G304" s="193">
        <v>93</v>
      </c>
      <c r="H304" s="193">
        <v>93</v>
      </c>
      <c r="I304" s="360">
        <f t="shared" si="22"/>
        <v>967</v>
      </c>
      <c r="J304" s="304">
        <v>0</v>
      </c>
      <c r="K304" s="304">
        <v>0</v>
      </c>
      <c r="L304" s="304">
        <v>93</v>
      </c>
      <c r="M304" s="304">
        <v>0</v>
      </c>
      <c r="N304" s="390">
        <f t="shared" si="21"/>
        <v>0</v>
      </c>
      <c r="O304" s="192">
        <f t="shared" si="20"/>
        <v>1657</v>
      </c>
      <c r="P304" s="30">
        <v>0</v>
      </c>
      <c r="Q304" s="28">
        <v>0</v>
      </c>
      <c r="R304" s="28">
        <v>0</v>
      </c>
      <c r="S304" s="281"/>
    </row>
    <row r="305" spans="1:19" ht="12.75">
      <c r="A305" s="28">
        <v>968</v>
      </c>
      <c r="B305" s="29" t="s">
        <v>212</v>
      </c>
      <c r="C305" s="28">
        <v>1500</v>
      </c>
      <c r="D305" s="382">
        <v>101</v>
      </c>
      <c r="E305" s="144">
        <v>101</v>
      </c>
      <c r="F305" s="193">
        <f>IF(C305&lt;972,E305+44,E305)</f>
        <v>101</v>
      </c>
      <c r="G305" s="193">
        <v>101</v>
      </c>
      <c r="H305" s="193">
        <v>101</v>
      </c>
      <c r="I305" s="360">
        <f t="shared" si="22"/>
        <v>968</v>
      </c>
      <c r="J305" s="304">
        <v>0</v>
      </c>
      <c r="K305" s="304">
        <v>0</v>
      </c>
      <c r="L305" s="304">
        <v>101</v>
      </c>
      <c r="M305" s="304">
        <v>388</v>
      </c>
      <c r="N305" s="390">
        <f>M305*1.33333</f>
        <v>517.33204</v>
      </c>
      <c r="O305" s="192">
        <f t="shared" si="20"/>
        <v>1989</v>
      </c>
      <c r="P305" s="30">
        <v>0</v>
      </c>
      <c r="Q305" s="28">
        <v>0</v>
      </c>
      <c r="R305" s="28">
        <v>0</v>
      </c>
      <c r="S305" s="281"/>
    </row>
    <row r="306" spans="1:19" ht="12.75">
      <c r="A306" s="28">
        <v>969</v>
      </c>
      <c r="B306" s="29" t="s">
        <v>264</v>
      </c>
      <c r="C306" s="28">
        <v>971</v>
      </c>
      <c r="D306" s="382">
        <v>170</v>
      </c>
      <c r="E306" s="366">
        <v>216</v>
      </c>
      <c r="F306" s="193">
        <v>261</v>
      </c>
      <c r="G306" s="304">
        <v>327</v>
      </c>
      <c r="H306" s="304">
        <v>350</v>
      </c>
      <c r="I306" s="360">
        <f t="shared" si="22"/>
        <v>969</v>
      </c>
      <c r="J306" s="304">
        <v>0</v>
      </c>
      <c r="K306" s="304">
        <v>0</v>
      </c>
      <c r="L306" s="304">
        <v>414.7</v>
      </c>
      <c r="M306" s="304">
        <v>0</v>
      </c>
      <c r="N306" s="390">
        <f t="shared" si="21"/>
        <v>0</v>
      </c>
      <c r="O306" s="192">
        <f t="shared" si="20"/>
        <v>1298</v>
      </c>
      <c r="P306" s="30">
        <v>150</v>
      </c>
      <c r="Q306" s="28">
        <v>0</v>
      </c>
      <c r="R306" s="28">
        <v>0</v>
      </c>
      <c r="S306" s="281"/>
    </row>
    <row r="307" spans="1:19" ht="12.75">
      <c r="A307" s="28">
        <v>970</v>
      </c>
      <c r="B307" s="29" t="s">
        <v>265</v>
      </c>
      <c r="C307" s="28">
        <v>1480</v>
      </c>
      <c r="D307" s="382">
        <v>104</v>
      </c>
      <c r="E307" s="144">
        <v>104</v>
      </c>
      <c r="F307" s="193">
        <f>IF(C307&lt;972,E307+44,E307)</f>
        <v>104</v>
      </c>
      <c r="G307" s="193">
        <v>104</v>
      </c>
      <c r="H307" s="193">
        <v>104</v>
      </c>
      <c r="I307" s="360">
        <f t="shared" si="22"/>
        <v>970</v>
      </c>
      <c r="J307" s="304">
        <v>0</v>
      </c>
      <c r="K307" s="304">
        <v>0</v>
      </c>
      <c r="L307" s="304">
        <v>104</v>
      </c>
      <c r="M307" s="304">
        <v>0</v>
      </c>
      <c r="N307" s="390">
        <f t="shared" si="21"/>
        <v>0</v>
      </c>
      <c r="O307" s="192">
        <f t="shared" si="20"/>
        <v>1584</v>
      </c>
      <c r="P307" s="30">
        <v>0</v>
      </c>
      <c r="Q307" s="28">
        <v>0</v>
      </c>
      <c r="R307" s="28">
        <v>0</v>
      </c>
      <c r="S307" s="281"/>
    </row>
    <row r="308" spans="1:19" ht="12.75">
      <c r="A308" s="28">
        <v>971</v>
      </c>
      <c r="B308" s="29" t="s">
        <v>266</v>
      </c>
      <c r="C308" s="28">
        <v>1400</v>
      </c>
      <c r="D308" s="382">
        <v>114</v>
      </c>
      <c r="E308" s="144">
        <v>114</v>
      </c>
      <c r="F308" s="193">
        <f>IF(C308&lt;972,E308+44,E308)</f>
        <v>114</v>
      </c>
      <c r="G308" s="193">
        <v>114</v>
      </c>
      <c r="H308" s="193">
        <v>114</v>
      </c>
      <c r="I308" s="360">
        <f t="shared" si="22"/>
        <v>971</v>
      </c>
      <c r="J308" s="304">
        <v>0</v>
      </c>
      <c r="K308" s="304">
        <v>116</v>
      </c>
      <c r="L308" s="304">
        <v>114</v>
      </c>
      <c r="M308" s="304">
        <v>233</v>
      </c>
      <c r="N308" s="390">
        <f>M308*1.33333</f>
        <v>310.66589</v>
      </c>
      <c r="O308" s="192">
        <f t="shared" si="20"/>
        <v>1747</v>
      </c>
      <c r="P308" s="30">
        <v>150</v>
      </c>
      <c r="Q308" s="28">
        <v>0</v>
      </c>
      <c r="R308" s="28">
        <v>0</v>
      </c>
      <c r="S308" s="281"/>
    </row>
    <row r="309" spans="1:19" ht="12.75">
      <c r="A309" s="28">
        <v>972</v>
      </c>
      <c r="B309" s="29" t="s">
        <v>267</v>
      </c>
      <c r="C309" s="28">
        <v>1692</v>
      </c>
      <c r="D309" s="382">
        <v>76</v>
      </c>
      <c r="E309" s="144">
        <v>76</v>
      </c>
      <c r="F309" s="193">
        <f>IF(C309&lt;972,E309+44,E309)</f>
        <v>76</v>
      </c>
      <c r="G309" s="193">
        <v>76</v>
      </c>
      <c r="H309" s="193">
        <v>76</v>
      </c>
      <c r="I309" s="360">
        <f t="shared" si="22"/>
        <v>972</v>
      </c>
      <c r="J309" s="304">
        <v>0</v>
      </c>
      <c r="K309" s="304">
        <v>136</v>
      </c>
      <c r="L309" s="304">
        <v>76</v>
      </c>
      <c r="M309" s="304">
        <v>272</v>
      </c>
      <c r="N309" s="390">
        <f>M309*1.33333</f>
        <v>362.66576</v>
      </c>
      <c r="O309" s="192">
        <f t="shared" si="20"/>
        <v>2040</v>
      </c>
      <c r="P309" s="30">
        <v>17</v>
      </c>
      <c r="Q309" s="28">
        <v>0</v>
      </c>
      <c r="R309" s="28">
        <v>0</v>
      </c>
      <c r="S309" s="281"/>
    </row>
    <row r="310" spans="1:19" ht="12.75">
      <c r="A310" s="28">
        <v>973</v>
      </c>
      <c r="B310" s="29" t="s">
        <v>268</v>
      </c>
      <c r="C310" s="28">
        <v>1592</v>
      </c>
      <c r="D310" s="382">
        <v>89</v>
      </c>
      <c r="E310" s="144">
        <v>89</v>
      </c>
      <c r="F310" s="193">
        <f>IF(C310&lt;972,E310+44,E310)</f>
        <v>89</v>
      </c>
      <c r="G310" s="193">
        <v>89</v>
      </c>
      <c r="H310" s="193">
        <v>89</v>
      </c>
      <c r="I310" s="360">
        <f t="shared" si="22"/>
        <v>973</v>
      </c>
      <c r="J310" s="304">
        <v>0</v>
      </c>
      <c r="K310" s="304">
        <v>0</v>
      </c>
      <c r="L310" s="304">
        <v>89</v>
      </c>
      <c r="M310" s="304">
        <v>233</v>
      </c>
      <c r="N310" s="390">
        <f>M310*1.33333</f>
        <v>310.66589</v>
      </c>
      <c r="O310" s="192">
        <f t="shared" si="20"/>
        <v>1914</v>
      </c>
      <c r="P310" s="30">
        <v>17</v>
      </c>
      <c r="Q310" s="28">
        <v>0</v>
      </c>
      <c r="R310" s="28">
        <v>0</v>
      </c>
      <c r="S310" s="281"/>
    </row>
    <row r="311" spans="1:19" ht="12.75">
      <c r="A311" s="28">
        <v>974</v>
      </c>
      <c r="B311" s="29" t="s">
        <v>269</v>
      </c>
      <c r="C311" s="28">
        <v>1500</v>
      </c>
      <c r="D311" s="382">
        <v>101</v>
      </c>
      <c r="E311" s="144">
        <v>101</v>
      </c>
      <c r="F311" s="193">
        <f>IF(C311&lt;972,E311+44,E311)</f>
        <v>101</v>
      </c>
      <c r="G311" s="193">
        <v>101</v>
      </c>
      <c r="H311" s="193">
        <v>101</v>
      </c>
      <c r="I311" s="360">
        <f t="shared" si="22"/>
        <v>974</v>
      </c>
      <c r="J311" s="304">
        <v>0</v>
      </c>
      <c r="K311" s="304">
        <v>0</v>
      </c>
      <c r="L311" s="304">
        <v>101</v>
      </c>
      <c r="M311" s="304">
        <v>0</v>
      </c>
      <c r="N311" s="390">
        <f t="shared" si="21"/>
        <v>0</v>
      </c>
      <c r="O311" s="192">
        <f t="shared" si="20"/>
        <v>1601</v>
      </c>
      <c r="P311" s="30">
        <v>150</v>
      </c>
      <c r="Q311" s="28">
        <v>0</v>
      </c>
      <c r="R311" s="28">
        <v>0</v>
      </c>
      <c r="S311" s="281"/>
    </row>
    <row r="312" spans="1:19" ht="12.75">
      <c r="A312" s="28">
        <v>975</v>
      </c>
      <c r="B312" s="29" t="s">
        <v>270</v>
      </c>
      <c r="C312" s="28">
        <v>971</v>
      </c>
      <c r="D312" s="382">
        <v>170</v>
      </c>
      <c r="E312" s="366">
        <v>216</v>
      </c>
      <c r="F312" s="193">
        <v>261</v>
      </c>
      <c r="G312" s="304">
        <v>327</v>
      </c>
      <c r="H312" s="304">
        <v>350</v>
      </c>
      <c r="I312" s="360">
        <f t="shared" si="22"/>
        <v>975</v>
      </c>
      <c r="J312" s="304">
        <v>0</v>
      </c>
      <c r="K312" s="304">
        <v>0</v>
      </c>
      <c r="L312" s="304">
        <v>414.7</v>
      </c>
      <c r="M312" s="304">
        <v>0</v>
      </c>
      <c r="N312" s="390">
        <f t="shared" si="21"/>
        <v>0</v>
      </c>
      <c r="O312" s="192">
        <f t="shared" si="20"/>
        <v>1298</v>
      </c>
      <c r="P312" s="30">
        <v>0</v>
      </c>
      <c r="Q312" s="28">
        <v>0</v>
      </c>
      <c r="R312" s="28">
        <v>0</v>
      </c>
      <c r="S312" s="281"/>
    </row>
    <row r="313" spans="1:19" ht="12.75">
      <c r="A313" s="28">
        <v>976</v>
      </c>
      <c r="B313" s="29" t="s">
        <v>271</v>
      </c>
      <c r="C313" s="28">
        <v>971</v>
      </c>
      <c r="D313" s="382">
        <v>170</v>
      </c>
      <c r="E313" s="366">
        <v>216</v>
      </c>
      <c r="F313" s="193">
        <v>261</v>
      </c>
      <c r="G313" s="304">
        <v>327</v>
      </c>
      <c r="H313" s="304">
        <v>350</v>
      </c>
      <c r="I313" s="360">
        <f t="shared" si="22"/>
        <v>976</v>
      </c>
      <c r="J313" s="304">
        <v>0</v>
      </c>
      <c r="K313" s="304">
        <v>0</v>
      </c>
      <c r="L313" s="304">
        <v>414.7</v>
      </c>
      <c r="M313" s="304">
        <v>0</v>
      </c>
      <c r="N313" s="390">
        <f t="shared" si="21"/>
        <v>0</v>
      </c>
      <c r="O313" s="192">
        <f t="shared" si="20"/>
        <v>1298</v>
      </c>
      <c r="P313" s="30">
        <v>0</v>
      </c>
      <c r="Q313" s="28">
        <v>0</v>
      </c>
      <c r="R313" s="28">
        <v>0</v>
      </c>
      <c r="S313" s="281"/>
    </row>
    <row r="314" spans="1:19" ht="12.75">
      <c r="A314" s="28">
        <v>977</v>
      </c>
      <c r="B314" s="29" t="s">
        <v>272</v>
      </c>
      <c r="C314" s="28">
        <v>971</v>
      </c>
      <c r="D314" s="382">
        <v>170</v>
      </c>
      <c r="E314" s="366">
        <v>216</v>
      </c>
      <c r="F314" s="193">
        <v>261</v>
      </c>
      <c r="G314" s="304">
        <v>327</v>
      </c>
      <c r="H314" s="304">
        <v>350</v>
      </c>
      <c r="I314" s="360">
        <f t="shared" si="22"/>
        <v>977</v>
      </c>
      <c r="J314" s="304">
        <v>0</v>
      </c>
      <c r="K314" s="304">
        <v>0</v>
      </c>
      <c r="L314" s="304">
        <v>414.7</v>
      </c>
      <c r="M314" s="304">
        <v>0</v>
      </c>
      <c r="N314" s="390">
        <f t="shared" si="21"/>
        <v>0</v>
      </c>
      <c r="O314" s="192">
        <f t="shared" si="20"/>
        <v>1298</v>
      </c>
      <c r="P314" s="30">
        <v>0</v>
      </c>
      <c r="Q314" s="28">
        <v>0</v>
      </c>
      <c r="R314" s="28">
        <v>0</v>
      </c>
      <c r="S314" s="281"/>
    </row>
    <row r="315" spans="1:19" ht="12.75">
      <c r="A315" s="28">
        <v>978</v>
      </c>
      <c r="B315" s="29" t="s">
        <v>273</v>
      </c>
      <c r="C315" s="28">
        <v>1840</v>
      </c>
      <c r="D315" s="382">
        <v>57</v>
      </c>
      <c r="E315" s="144">
        <v>57</v>
      </c>
      <c r="F315" s="193">
        <f>IF(C315&lt;972,E315+44,E315)</f>
        <v>57</v>
      </c>
      <c r="G315" s="193">
        <v>57</v>
      </c>
      <c r="H315" s="193">
        <v>57</v>
      </c>
      <c r="I315" s="360">
        <f t="shared" si="22"/>
        <v>978</v>
      </c>
      <c r="J315" s="304">
        <v>0</v>
      </c>
      <c r="K315" s="304">
        <v>194</v>
      </c>
      <c r="L315" s="304">
        <v>57</v>
      </c>
      <c r="M315" s="304">
        <v>388</v>
      </c>
      <c r="N315" s="390">
        <f>M315*1.33333</f>
        <v>517.33204</v>
      </c>
      <c r="O315" s="192">
        <f t="shared" si="20"/>
        <v>2285</v>
      </c>
      <c r="P315" s="30">
        <v>0</v>
      </c>
      <c r="Q315" s="28">
        <v>0</v>
      </c>
      <c r="R315" s="28">
        <v>0</v>
      </c>
      <c r="S315" s="281"/>
    </row>
    <row r="316" spans="1:19" ht="12.75">
      <c r="A316" s="28">
        <v>979</v>
      </c>
      <c r="B316" s="29" t="s">
        <v>458</v>
      </c>
      <c r="C316" s="28">
        <v>1400</v>
      </c>
      <c r="D316" s="382">
        <v>70</v>
      </c>
      <c r="E316" s="144">
        <v>70</v>
      </c>
      <c r="F316" s="193">
        <f>IF(C316&lt;972,E316+44,E316)</f>
        <v>70</v>
      </c>
      <c r="G316" s="193">
        <v>70</v>
      </c>
      <c r="H316" s="193">
        <v>70</v>
      </c>
      <c r="I316" s="360">
        <f t="shared" si="22"/>
        <v>979</v>
      </c>
      <c r="J316" s="304">
        <v>0</v>
      </c>
      <c r="K316" s="304">
        <v>0</v>
      </c>
      <c r="L316" s="304">
        <v>70</v>
      </c>
      <c r="M316" s="304">
        <v>233</v>
      </c>
      <c r="N316" s="390">
        <f>M316*1.33333</f>
        <v>310.66589</v>
      </c>
      <c r="O316" s="192">
        <f t="shared" si="20"/>
        <v>1703</v>
      </c>
      <c r="P316" s="30">
        <v>0</v>
      </c>
      <c r="Q316" s="28">
        <v>0</v>
      </c>
      <c r="R316" s="28">
        <v>0</v>
      </c>
      <c r="S316" s="281"/>
    </row>
    <row r="317" spans="1:19" ht="12.75">
      <c r="A317" s="28">
        <v>980</v>
      </c>
      <c r="B317" s="29" t="s">
        <v>459</v>
      </c>
      <c r="C317" s="28">
        <v>1300</v>
      </c>
      <c r="D317" s="382">
        <v>222</v>
      </c>
      <c r="E317" s="144">
        <v>216</v>
      </c>
      <c r="F317" s="193">
        <v>261</v>
      </c>
      <c r="G317" s="193">
        <v>127</v>
      </c>
      <c r="H317" s="193">
        <v>127</v>
      </c>
      <c r="I317" s="360">
        <f t="shared" si="22"/>
        <v>980</v>
      </c>
      <c r="J317" s="304">
        <v>0</v>
      </c>
      <c r="K317" s="304">
        <v>0</v>
      </c>
      <c r="L317" s="304">
        <v>127</v>
      </c>
      <c r="M317" s="304">
        <v>233</v>
      </c>
      <c r="N317" s="390">
        <f>M317*1.33333</f>
        <v>310.66589</v>
      </c>
      <c r="O317" s="192">
        <f t="shared" si="20"/>
        <v>1660</v>
      </c>
      <c r="P317" s="30">
        <v>0</v>
      </c>
      <c r="Q317" s="28">
        <v>0</v>
      </c>
      <c r="R317" s="28">
        <v>0</v>
      </c>
      <c r="S317" s="281"/>
    </row>
    <row r="318" spans="1:19" ht="12.75">
      <c r="A318" s="28">
        <v>981</v>
      </c>
      <c r="B318" s="29" t="s">
        <v>460</v>
      </c>
      <c r="C318" s="28">
        <v>1250</v>
      </c>
      <c r="D318" s="382">
        <v>64</v>
      </c>
      <c r="E318" s="144">
        <v>64</v>
      </c>
      <c r="F318" s="193">
        <f>IF(C318&lt;972,E318+44,E318)</f>
        <v>64</v>
      </c>
      <c r="G318" s="193">
        <v>134</v>
      </c>
      <c r="H318" s="193">
        <v>134</v>
      </c>
      <c r="I318" s="360">
        <f t="shared" si="22"/>
        <v>981</v>
      </c>
      <c r="J318" s="304">
        <v>0</v>
      </c>
      <c r="K318" s="304">
        <v>194</v>
      </c>
      <c r="L318" s="304">
        <v>134</v>
      </c>
      <c r="M318" s="304">
        <v>233</v>
      </c>
      <c r="N318" s="390">
        <f>M318*1.33333</f>
        <v>310.66589</v>
      </c>
      <c r="O318" s="192">
        <f t="shared" si="20"/>
        <v>1617</v>
      </c>
      <c r="P318" s="30">
        <v>0</v>
      </c>
      <c r="Q318" s="28">
        <v>0</v>
      </c>
      <c r="R318" s="28">
        <v>0</v>
      </c>
      <c r="S318" s="281"/>
    </row>
    <row r="319" spans="1:19" ht="12.75">
      <c r="A319" s="28">
        <v>982</v>
      </c>
      <c r="B319" s="29" t="s">
        <v>274</v>
      </c>
      <c r="C319" s="28">
        <v>1740</v>
      </c>
      <c r="D319" s="382">
        <v>70</v>
      </c>
      <c r="E319" s="144">
        <v>70</v>
      </c>
      <c r="F319" s="193">
        <f>IF(C319&lt;972,E319+44,E319)</f>
        <v>70</v>
      </c>
      <c r="G319" s="193">
        <v>70</v>
      </c>
      <c r="H319" s="193">
        <v>70</v>
      </c>
      <c r="I319" s="360">
        <f t="shared" si="22"/>
        <v>982</v>
      </c>
      <c r="J319" s="304">
        <v>0</v>
      </c>
      <c r="K319" s="304">
        <v>155</v>
      </c>
      <c r="L319" s="304">
        <v>70</v>
      </c>
      <c r="M319" s="304">
        <v>310</v>
      </c>
      <c r="N319" s="390">
        <f>M319*1.33333</f>
        <v>413.3323</v>
      </c>
      <c r="O319" s="192">
        <f t="shared" si="20"/>
        <v>2120</v>
      </c>
      <c r="P319" s="30">
        <v>0</v>
      </c>
      <c r="Q319" s="28">
        <v>0</v>
      </c>
      <c r="R319" s="28">
        <v>0</v>
      </c>
      <c r="S319" s="281"/>
    </row>
    <row r="320" spans="1:19" ht="12.75">
      <c r="A320" s="28">
        <v>983</v>
      </c>
      <c r="B320" s="29" t="s">
        <v>275</v>
      </c>
      <c r="C320" s="28">
        <v>1170</v>
      </c>
      <c r="D320" s="382">
        <v>144</v>
      </c>
      <c r="E320" s="144">
        <v>144</v>
      </c>
      <c r="F320" s="193">
        <f>IF(C320&lt;972,E320+44,E320)</f>
        <v>144</v>
      </c>
      <c r="G320" s="193">
        <v>144</v>
      </c>
      <c r="H320" s="193">
        <v>144</v>
      </c>
      <c r="I320" s="360">
        <f t="shared" si="22"/>
        <v>983</v>
      </c>
      <c r="J320" s="304">
        <v>0</v>
      </c>
      <c r="K320" s="304">
        <v>0</v>
      </c>
      <c r="L320" s="304">
        <v>144</v>
      </c>
      <c r="M320" s="304">
        <v>0</v>
      </c>
      <c r="N320" s="390">
        <f t="shared" si="21"/>
        <v>0</v>
      </c>
      <c r="O320" s="192">
        <f t="shared" si="20"/>
        <v>1314</v>
      </c>
      <c r="P320" s="30">
        <v>0</v>
      </c>
      <c r="Q320" s="28">
        <v>0</v>
      </c>
      <c r="R320" s="28">
        <v>0</v>
      </c>
      <c r="S320" s="281"/>
    </row>
    <row r="321" spans="1:19" ht="12.75">
      <c r="A321" s="28">
        <v>984</v>
      </c>
      <c r="B321" s="29" t="s">
        <v>276</v>
      </c>
      <c r="C321" s="28">
        <v>690</v>
      </c>
      <c r="D321" s="382">
        <v>207</v>
      </c>
      <c r="E321" s="366">
        <v>216</v>
      </c>
      <c r="F321" s="193">
        <v>261</v>
      </c>
      <c r="G321" s="304">
        <v>327</v>
      </c>
      <c r="H321" s="304">
        <v>350</v>
      </c>
      <c r="I321" s="360">
        <f t="shared" si="22"/>
        <v>984</v>
      </c>
      <c r="J321" s="304">
        <v>0</v>
      </c>
      <c r="K321" s="304">
        <v>0</v>
      </c>
      <c r="L321" s="304">
        <v>414.7</v>
      </c>
      <c r="M321" s="304">
        <v>0</v>
      </c>
      <c r="N321" s="390">
        <f t="shared" si="21"/>
        <v>0</v>
      </c>
      <c r="O321" s="192">
        <f t="shared" si="20"/>
        <v>1017</v>
      </c>
      <c r="P321" s="30">
        <v>0</v>
      </c>
      <c r="Q321" s="28">
        <v>0</v>
      </c>
      <c r="R321" s="28">
        <v>0</v>
      </c>
      <c r="S321" s="281"/>
    </row>
    <row r="322" spans="1:19" ht="12.75">
      <c r="A322" s="28">
        <v>985</v>
      </c>
      <c r="B322" s="29" t="s">
        <v>277</v>
      </c>
      <c r="C322" s="28">
        <v>2913</v>
      </c>
      <c r="D322" s="382">
        <v>0</v>
      </c>
      <c r="E322" s="144">
        <v>0</v>
      </c>
      <c r="F322" s="193">
        <f>IF(C322&lt;972,E322+44,E322)</f>
        <v>0</v>
      </c>
      <c r="G322" s="193">
        <v>0</v>
      </c>
      <c r="H322" s="193">
        <v>0</v>
      </c>
      <c r="I322" s="360">
        <f t="shared" si="22"/>
        <v>985</v>
      </c>
      <c r="J322" s="304">
        <v>0</v>
      </c>
      <c r="K322" s="304">
        <v>0</v>
      </c>
      <c r="L322" s="304">
        <v>0</v>
      </c>
      <c r="M322" s="304">
        <v>0</v>
      </c>
      <c r="N322" s="390">
        <f t="shared" si="21"/>
        <v>0</v>
      </c>
      <c r="O322" s="192">
        <f t="shared" si="20"/>
        <v>2913</v>
      </c>
      <c r="P322" s="30">
        <v>0</v>
      </c>
      <c r="Q322" s="28">
        <v>0</v>
      </c>
      <c r="R322" s="28">
        <v>0</v>
      </c>
      <c r="S322" s="281"/>
    </row>
    <row r="323" spans="1:19" ht="12.75">
      <c r="A323" s="28">
        <v>986</v>
      </c>
      <c r="B323" s="29" t="s">
        <v>278</v>
      </c>
      <c r="C323" s="28">
        <v>644</v>
      </c>
      <c r="D323" s="382">
        <v>213</v>
      </c>
      <c r="E323" s="366">
        <v>216</v>
      </c>
      <c r="F323" s="193">
        <v>261</v>
      </c>
      <c r="G323" s="304">
        <v>327</v>
      </c>
      <c r="H323" s="304">
        <v>350</v>
      </c>
      <c r="I323" s="360">
        <f t="shared" si="22"/>
        <v>986</v>
      </c>
      <c r="J323" s="304">
        <v>0</v>
      </c>
      <c r="K323" s="304">
        <v>0</v>
      </c>
      <c r="L323" s="304">
        <v>414.7</v>
      </c>
      <c r="M323" s="304">
        <v>0</v>
      </c>
      <c r="N323" s="390">
        <f t="shared" si="21"/>
        <v>0</v>
      </c>
      <c r="O323" s="192">
        <f t="shared" si="20"/>
        <v>971</v>
      </c>
      <c r="P323" s="30">
        <v>0</v>
      </c>
      <c r="Q323" s="28">
        <v>0</v>
      </c>
      <c r="R323" s="28">
        <v>0</v>
      </c>
      <c r="S323" s="281"/>
    </row>
    <row r="324" spans="1:19" ht="12.75">
      <c r="A324" s="28">
        <v>987</v>
      </c>
      <c r="B324" s="29" t="s">
        <v>134</v>
      </c>
      <c r="C324" s="28">
        <v>1170</v>
      </c>
      <c r="D324" s="382">
        <v>144</v>
      </c>
      <c r="E324" s="144">
        <v>144</v>
      </c>
      <c r="F324" s="193">
        <f aca="true" t="shared" si="25" ref="F324:F336">IF(C324&lt;972,E324+44,E324)</f>
        <v>144</v>
      </c>
      <c r="G324" s="193">
        <v>144</v>
      </c>
      <c r="H324" s="193">
        <v>144</v>
      </c>
      <c r="I324" s="360">
        <f t="shared" si="22"/>
        <v>987</v>
      </c>
      <c r="J324" s="304">
        <v>0</v>
      </c>
      <c r="K324" s="304">
        <v>0</v>
      </c>
      <c r="L324" s="304">
        <v>144</v>
      </c>
      <c r="M324" s="304">
        <v>0</v>
      </c>
      <c r="N324" s="390">
        <f t="shared" si="21"/>
        <v>0</v>
      </c>
      <c r="O324" s="192">
        <f aca="true" t="shared" si="26" ref="O324:O336">C324+G324+M324</f>
        <v>1314</v>
      </c>
      <c r="P324" s="30">
        <v>0</v>
      </c>
      <c r="Q324" s="28">
        <v>0</v>
      </c>
      <c r="R324" s="28">
        <v>0</v>
      </c>
      <c r="S324" s="281"/>
    </row>
    <row r="325" spans="1:19" ht="12.75">
      <c r="A325" s="28">
        <v>988</v>
      </c>
      <c r="B325" s="29" t="s">
        <v>279</v>
      </c>
      <c r="C325" s="28">
        <v>2600</v>
      </c>
      <c r="D325" s="382">
        <v>0</v>
      </c>
      <c r="E325" s="144">
        <v>0</v>
      </c>
      <c r="F325" s="193">
        <f t="shared" si="25"/>
        <v>0</v>
      </c>
      <c r="G325" s="193">
        <v>0</v>
      </c>
      <c r="H325" s="193">
        <v>0</v>
      </c>
      <c r="I325" s="360">
        <f t="shared" si="22"/>
        <v>988</v>
      </c>
      <c r="J325" s="304">
        <v>0</v>
      </c>
      <c r="K325" s="304">
        <v>0</v>
      </c>
      <c r="L325" s="304">
        <v>0</v>
      </c>
      <c r="M325" s="304">
        <v>0</v>
      </c>
      <c r="N325" s="390">
        <f aca="true" t="shared" si="27" ref="N325:N335">M325</f>
        <v>0</v>
      </c>
      <c r="O325" s="192">
        <f t="shared" si="26"/>
        <v>2600</v>
      </c>
      <c r="P325" s="30">
        <v>0</v>
      </c>
      <c r="Q325" s="28">
        <v>0</v>
      </c>
      <c r="R325" s="28">
        <v>0</v>
      </c>
      <c r="S325" s="281"/>
    </row>
    <row r="326" spans="1:19" ht="12.75">
      <c r="A326" s="28">
        <v>989</v>
      </c>
      <c r="B326" s="29" t="s">
        <v>280</v>
      </c>
      <c r="C326" s="28">
        <v>2840</v>
      </c>
      <c r="D326" s="382">
        <v>0</v>
      </c>
      <c r="E326" s="144">
        <v>0</v>
      </c>
      <c r="F326" s="193">
        <f t="shared" si="25"/>
        <v>0</v>
      </c>
      <c r="G326" s="193">
        <v>0</v>
      </c>
      <c r="H326" s="193">
        <v>0</v>
      </c>
      <c r="I326" s="360">
        <f t="shared" si="22"/>
        <v>989</v>
      </c>
      <c r="J326" s="304">
        <v>0</v>
      </c>
      <c r="K326" s="304">
        <v>0</v>
      </c>
      <c r="L326" s="304">
        <v>0</v>
      </c>
      <c r="M326" s="304">
        <v>0</v>
      </c>
      <c r="N326" s="390">
        <f t="shared" si="27"/>
        <v>0</v>
      </c>
      <c r="O326" s="192">
        <f t="shared" si="26"/>
        <v>2840</v>
      </c>
      <c r="P326" s="30">
        <v>0</v>
      </c>
      <c r="Q326" s="28">
        <v>0</v>
      </c>
      <c r="R326" s="28">
        <v>0</v>
      </c>
      <c r="S326" s="281"/>
    </row>
    <row r="327" spans="1:19" ht="12.75">
      <c r="A327" s="28">
        <v>990</v>
      </c>
      <c r="B327" s="29" t="s">
        <v>281</v>
      </c>
      <c r="C327" s="28">
        <v>2100</v>
      </c>
      <c r="D327" s="382">
        <v>23</v>
      </c>
      <c r="E327" s="144">
        <v>23</v>
      </c>
      <c r="F327" s="193">
        <f t="shared" si="25"/>
        <v>23</v>
      </c>
      <c r="G327" s="193">
        <v>23</v>
      </c>
      <c r="H327" s="193">
        <v>23</v>
      </c>
      <c r="I327" s="360">
        <f aca="true" t="shared" si="28" ref="I327:I336">A327</f>
        <v>990</v>
      </c>
      <c r="J327" s="304">
        <v>0</v>
      </c>
      <c r="K327" s="304">
        <v>0</v>
      </c>
      <c r="L327" s="304">
        <v>23</v>
      </c>
      <c r="M327" s="304">
        <v>0</v>
      </c>
      <c r="N327" s="390">
        <f t="shared" si="27"/>
        <v>0</v>
      </c>
      <c r="O327" s="192">
        <f t="shared" si="26"/>
        <v>2123</v>
      </c>
      <c r="P327" s="30">
        <v>0</v>
      </c>
      <c r="Q327" s="28">
        <v>0</v>
      </c>
      <c r="R327" s="28">
        <v>0</v>
      </c>
      <c r="S327" s="281"/>
    </row>
    <row r="328" spans="1:19" ht="12.75">
      <c r="A328" s="28">
        <v>991</v>
      </c>
      <c r="B328" s="29" t="s">
        <v>282</v>
      </c>
      <c r="C328" s="28">
        <v>1850</v>
      </c>
      <c r="D328" s="382">
        <v>55</v>
      </c>
      <c r="E328" s="144">
        <v>55</v>
      </c>
      <c r="F328" s="193">
        <f t="shared" si="25"/>
        <v>55</v>
      </c>
      <c r="G328" s="193">
        <v>55</v>
      </c>
      <c r="H328" s="193">
        <v>55</v>
      </c>
      <c r="I328" s="360">
        <f t="shared" si="28"/>
        <v>991</v>
      </c>
      <c r="J328" s="304">
        <v>0</v>
      </c>
      <c r="K328" s="304">
        <v>0</v>
      </c>
      <c r="L328" s="304">
        <v>55</v>
      </c>
      <c r="M328" s="304">
        <v>0</v>
      </c>
      <c r="N328" s="390">
        <f t="shared" si="27"/>
        <v>0</v>
      </c>
      <c r="O328" s="192">
        <f t="shared" si="26"/>
        <v>1905</v>
      </c>
      <c r="P328" s="30">
        <v>0</v>
      </c>
      <c r="Q328" s="28">
        <v>0</v>
      </c>
      <c r="R328" s="28">
        <v>0</v>
      </c>
      <c r="S328" s="281"/>
    </row>
    <row r="329" spans="1:19" ht="12.75">
      <c r="A329" s="28">
        <v>992</v>
      </c>
      <c r="B329" s="29" t="s">
        <v>454</v>
      </c>
      <c r="C329" s="28">
        <v>1500</v>
      </c>
      <c r="D329" s="382">
        <v>0</v>
      </c>
      <c r="E329" s="144">
        <v>0</v>
      </c>
      <c r="F329" s="193">
        <f t="shared" si="25"/>
        <v>0</v>
      </c>
      <c r="G329" s="193">
        <v>0</v>
      </c>
      <c r="H329" s="193">
        <v>0</v>
      </c>
      <c r="I329" s="360">
        <f t="shared" si="28"/>
        <v>992</v>
      </c>
      <c r="J329" s="304">
        <v>0</v>
      </c>
      <c r="K329" s="304">
        <v>0</v>
      </c>
      <c r="L329" s="304">
        <v>0</v>
      </c>
      <c r="M329" s="304">
        <v>233</v>
      </c>
      <c r="N329" s="390">
        <f>M329*1.33333</f>
        <v>310.66589</v>
      </c>
      <c r="O329" s="192">
        <f t="shared" si="26"/>
        <v>1733</v>
      </c>
      <c r="P329" s="30">
        <v>0</v>
      </c>
      <c r="Q329" s="28">
        <v>0</v>
      </c>
      <c r="R329" s="28">
        <v>0</v>
      </c>
      <c r="S329" s="281"/>
    </row>
    <row r="330" spans="1:19" ht="12.75">
      <c r="A330" s="28">
        <v>993</v>
      </c>
      <c r="B330" s="29" t="s">
        <v>283</v>
      </c>
      <c r="C330" s="28">
        <v>2913</v>
      </c>
      <c r="D330" s="382">
        <v>0</v>
      </c>
      <c r="E330" s="144">
        <v>0</v>
      </c>
      <c r="F330" s="193">
        <f t="shared" si="25"/>
        <v>0</v>
      </c>
      <c r="G330" s="193">
        <v>0</v>
      </c>
      <c r="H330" s="193">
        <v>0</v>
      </c>
      <c r="I330" s="360">
        <f t="shared" si="28"/>
        <v>993</v>
      </c>
      <c r="J330" s="304">
        <v>0</v>
      </c>
      <c r="K330" s="304">
        <v>0</v>
      </c>
      <c r="L330" s="304">
        <v>0</v>
      </c>
      <c r="M330" s="304">
        <v>0</v>
      </c>
      <c r="N330" s="390">
        <f t="shared" si="27"/>
        <v>0</v>
      </c>
      <c r="O330" s="192">
        <f t="shared" si="26"/>
        <v>2913</v>
      </c>
      <c r="P330" s="30">
        <v>0</v>
      </c>
      <c r="Q330" s="28">
        <v>0</v>
      </c>
      <c r="R330" s="28">
        <v>0</v>
      </c>
      <c r="S330" s="281"/>
    </row>
    <row r="331" spans="1:19" ht="14.25">
      <c r="A331" s="28">
        <v>994</v>
      </c>
      <c r="B331" s="29" t="s">
        <v>284</v>
      </c>
      <c r="C331" s="28">
        <v>1580</v>
      </c>
      <c r="D331" s="382">
        <v>90</v>
      </c>
      <c r="E331" s="144">
        <v>90</v>
      </c>
      <c r="F331" s="193">
        <f t="shared" si="25"/>
        <v>90</v>
      </c>
      <c r="G331" s="193">
        <v>90</v>
      </c>
      <c r="H331" s="193">
        <v>90</v>
      </c>
      <c r="I331" s="360">
        <f t="shared" si="28"/>
        <v>994</v>
      </c>
      <c r="J331" s="304">
        <v>0</v>
      </c>
      <c r="K331" s="304">
        <v>0</v>
      </c>
      <c r="L331" s="304">
        <v>90</v>
      </c>
      <c r="M331" s="364">
        <v>347.6</v>
      </c>
      <c r="N331" s="390">
        <f t="shared" si="27"/>
        <v>347.6</v>
      </c>
      <c r="O331" s="192">
        <f t="shared" si="26"/>
        <v>2017.6</v>
      </c>
      <c r="P331" s="30">
        <v>0</v>
      </c>
      <c r="Q331" s="28">
        <v>0</v>
      </c>
      <c r="R331" s="28">
        <v>0</v>
      </c>
      <c r="S331" s="281"/>
    </row>
    <row r="332" spans="1:19" ht="12.75">
      <c r="A332" s="28">
        <v>995</v>
      </c>
      <c r="B332" s="29" t="s">
        <v>285</v>
      </c>
      <c r="C332" s="28">
        <v>1564</v>
      </c>
      <c r="D332" s="382">
        <v>93</v>
      </c>
      <c r="E332" s="144">
        <v>93</v>
      </c>
      <c r="F332" s="193">
        <f t="shared" si="25"/>
        <v>93</v>
      </c>
      <c r="G332" s="193">
        <v>93</v>
      </c>
      <c r="H332" s="193">
        <v>93</v>
      </c>
      <c r="I332" s="360">
        <f t="shared" si="28"/>
        <v>995</v>
      </c>
      <c r="J332" s="304">
        <v>0</v>
      </c>
      <c r="K332" s="304">
        <v>0</v>
      </c>
      <c r="L332" s="304">
        <v>93</v>
      </c>
      <c r="M332" s="304">
        <v>0</v>
      </c>
      <c r="N332" s="390">
        <f t="shared" si="27"/>
        <v>0</v>
      </c>
      <c r="O332" s="192">
        <f t="shared" si="26"/>
        <v>1657</v>
      </c>
      <c r="P332" s="30">
        <v>0</v>
      </c>
      <c r="Q332" s="28">
        <v>0</v>
      </c>
      <c r="R332" s="28">
        <v>0</v>
      </c>
      <c r="S332" s="281"/>
    </row>
    <row r="333" spans="1:19" ht="12.75">
      <c r="A333" s="28">
        <v>996</v>
      </c>
      <c r="B333" s="29" t="s">
        <v>51</v>
      </c>
      <c r="C333" s="28">
        <v>1480</v>
      </c>
      <c r="D333" s="382">
        <v>104</v>
      </c>
      <c r="E333" s="144">
        <v>104</v>
      </c>
      <c r="F333" s="193">
        <f t="shared" si="25"/>
        <v>104</v>
      </c>
      <c r="G333" s="193">
        <v>104</v>
      </c>
      <c r="H333" s="193">
        <v>104</v>
      </c>
      <c r="I333" s="360">
        <f t="shared" si="28"/>
        <v>996</v>
      </c>
      <c r="J333" s="304">
        <v>0</v>
      </c>
      <c r="K333" s="304">
        <v>0</v>
      </c>
      <c r="L333" s="304">
        <v>104</v>
      </c>
      <c r="M333" s="304">
        <v>0</v>
      </c>
      <c r="N333" s="390">
        <f t="shared" si="27"/>
        <v>0</v>
      </c>
      <c r="O333" s="192">
        <f t="shared" si="26"/>
        <v>1584</v>
      </c>
      <c r="P333" s="30">
        <v>0</v>
      </c>
      <c r="Q333" s="28">
        <v>0</v>
      </c>
      <c r="R333" s="28">
        <v>0</v>
      </c>
      <c r="S333" s="281"/>
    </row>
    <row r="334" spans="1:19" ht="12.75">
      <c r="A334" s="28">
        <v>997</v>
      </c>
      <c r="B334" s="29" t="s">
        <v>286</v>
      </c>
      <c r="C334" s="28">
        <v>1564</v>
      </c>
      <c r="D334" s="382">
        <v>93</v>
      </c>
      <c r="E334" s="144">
        <v>93</v>
      </c>
      <c r="F334" s="193">
        <f t="shared" si="25"/>
        <v>93</v>
      </c>
      <c r="G334" s="193">
        <v>93</v>
      </c>
      <c r="H334" s="193">
        <v>93</v>
      </c>
      <c r="I334" s="360">
        <f t="shared" si="28"/>
        <v>997</v>
      </c>
      <c r="J334" s="304">
        <v>0</v>
      </c>
      <c r="K334" s="304">
        <v>0</v>
      </c>
      <c r="L334" s="304">
        <v>93</v>
      </c>
      <c r="M334" s="304">
        <v>0</v>
      </c>
      <c r="N334" s="390">
        <f t="shared" si="27"/>
        <v>0</v>
      </c>
      <c r="O334" s="192">
        <f t="shared" si="26"/>
        <v>1657</v>
      </c>
      <c r="P334" s="30">
        <v>0</v>
      </c>
      <c r="Q334" s="28">
        <v>0</v>
      </c>
      <c r="R334" s="28">
        <v>0</v>
      </c>
      <c r="S334" s="281"/>
    </row>
    <row r="335" spans="1:19" ht="12.75">
      <c r="A335" s="28">
        <v>998</v>
      </c>
      <c r="B335" s="29" t="s">
        <v>287</v>
      </c>
      <c r="C335" s="28">
        <v>2220</v>
      </c>
      <c r="D335" s="382">
        <v>7</v>
      </c>
      <c r="E335" s="144">
        <v>7</v>
      </c>
      <c r="F335" s="193">
        <f t="shared" si="25"/>
        <v>7</v>
      </c>
      <c r="G335" s="193">
        <v>7</v>
      </c>
      <c r="H335" s="193">
        <v>7</v>
      </c>
      <c r="I335" s="360">
        <f t="shared" si="28"/>
        <v>998</v>
      </c>
      <c r="J335" s="304">
        <v>0</v>
      </c>
      <c r="K335" s="304">
        <v>0</v>
      </c>
      <c r="L335" s="304">
        <v>7</v>
      </c>
      <c r="M335" s="304">
        <v>0</v>
      </c>
      <c r="N335" s="390">
        <f t="shared" si="27"/>
        <v>0</v>
      </c>
      <c r="O335" s="192">
        <f t="shared" si="26"/>
        <v>2227</v>
      </c>
      <c r="P335" s="30">
        <v>0</v>
      </c>
      <c r="Q335" s="28">
        <v>0</v>
      </c>
      <c r="R335" s="28">
        <v>0</v>
      </c>
      <c r="S335" s="281"/>
    </row>
    <row r="336" spans="1:19" ht="13.5" thickBot="1">
      <c r="A336" s="28">
        <v>999</v>
      </c>
      <c r="B336" s="29" t="s">
        <v>456</v>
      </c>
      <c r="C336" s="28">
        <v>1250</v>
      </c>
      <c r="D336" s="382">
        <v>0</v>
      </c>
      <c r="E336" s="144">
        <v>0</v>
      </c>
      <c r="F336" s="193">
        <f t="shared" si="25"/>
        <v>0</v>
      </c>
      <c r="G336" s="193">
        <v>134</v>
      </c>
      <c r="H336" s="193">
        <v>134</v>
      </c>
      <c r="I336" s="360">
        <f t="shared" si="28"/>
        <v>999</v>
      </c>
      <c r="J336" s="304">
        <v>0</v>
      </c>
      <c r="K336" s="304">
        <v>0</v>
      </c>
      <c r="L336" s="304">
        <v>134</v>
      </c>
      <c r="M336" s="304">
        <v>233</v>
      </c>
      <c r="N336" s="390">
        <f>M336*1.33333</f>
        <v>310.66589</v>
      </c>
      <c r="O336" s="192">
        <f t="shared" si="26"/>
        <v>1617</v>
      </c>
      <c r="P336" s="40">
        <v>0</v>
      </c>
      <c r="Q336" s="41">
        <v>0</v>
      </c>
      <c r="R336" s="41">
        <v>0</v>
      </c>
      <c r="S336" s="281"/>
    </row>
    <row r="337" ht="12.75">
      <c r="D337" s="382"/>
    </row>
    <row r="345" ht="12.75">
      <c r="C345">
        <f>45*13+8.4*6+9*3</f>
        <v>662.4</v>
      </c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36"/>
  <sheetViews>
    <sheetView showGridLines="0" zoomScale="85" zoomScaleNormal="85" zoomScalePageLayoutView="0" workbookViewId="0" topLeftCell="A1">
      <selection activeCell="I17" sqref="I17"/>
    </sheetView>
  </sheetViews>
  <sheetFormatPr defaultColWidth="11.421875" defaultRowHeight="12.75"/>
  <cols>
    <col min="1" max="1" width="3.7109375" style="0" customWidth="1"/>
    <col min="3" max="3" width="12.00390625" style="0" customWidth="1"/>
    <col min="4" max="4" width="30.7109375" style="0" customWidth="1"/>
    <col min="5" max="5" width="19.421875" style="0" customWidth="1"/>
    <col min="6" max="6" width="13.00390625" style="0" customWidth="1"/>
    <col min="7" max="7" width="8.57421875" style="0" customWidth="1"/>
    <col min="8" max="8" width="9.28125" style="0" customWidth="1"/>
  </cols>
  <sheetData>
    <row r="2" spans="2:8" ht="12.75">
      <c r="B2" s="223" t="s">
        <v>17</v>
      </c>
      <c r="C2" s="223" t="s">
        <v>291</v>
      </c>
      <c r="D2" s="223" t="s">
        <v>290</v>
      </c>
      <c r="E2" s="223" t="s">
        <v>288</v>
      </c>
      <c r="F2" s="223" t="s">
        <v>289</v>
      </c>
      <c r="G2" s="224" t="s">
        <v>369</v>
      </c>
      <c r="H2" s="224" t="s">
        <v>379</v>
      </c>
    </row>
    <row r="3" spans="2:8" ht="12.75">
      <c r="B3" s="225">
        <f>'recibo de sueldo'!A146</f>
        <v>749</v>
      </c>
      <c r="C3" s="225">
        <f>'recibo de sueldo'!B146</f>
        <v>971</v>
      </c>
      <c r="D3" s="225">
        <f>'recibo de sueldo'!C146</f>
        <v>0</v>
      </c>
      <c r="E3" s="225">
        <f>'recibo de sueldo'!D146</f>
        <v>0</v>
      </c>
      <c r="F3" s="225">
        <f>'recibo de sueldo'!E146</f>
        <v>0</v>
      </c>
      <c r="G3" s="225" t="e">
        <f>'recibo de sueldo'!#REF!</f>
        <v>#REF!</v>
      </c>
      <c r="H3" s="225" t="e">
        <f>'recibo de sueldo'!#REF!</f>
        <v>#REF!</v>
      </c>
    </row>
    <row r="4" spans="2:8" ht="12.75">
      <c r="B4" s="226" t="s">
        <v>345</v>
      </c>
      <c r="C4" s="219"/>
      <c r="D4" s="220" t="str">
        <f>LOOKUP(B3,numcargo,nombrecargo)</f>
        <v> MAESTRO DE GRADO</v>
      </c>
      <c r="E4" s="221"/>
      <c r="F4" s="221"/>
      <c r="G4" s="221"/>
      <c r="H4" s="222"/>
    </row>
    <row r="5" ht="13.5" thickBot="1"/>
    <row r="6" spans="4:6" ht="16.5" thickBot="1">
      <c r="D6" s="93" t="s">
        <v>319</v>
      </c>
      <c r="E6" s="42"/>
      <c r="F6" s="215">
        <f>'recibo de sueldo'!D151</f>
        <v>0</v>
      </c>
    </row>
    <row r="7" spans="4:6" ht="15.75">
      <c r="D7" s="5"/>
      <c r="E7" s="5" t="s">
        <v>384</v>
      </c>
      <c r="F7" s="66">
        <f>porantigcargo</f>
        <v>0</v>
      </c>
    </row>
    <row r="9" spans="2:6" ht="16.5" thickBot="1">
      <c r="B9" s="3"/>
      <c r="C9" s="176" t="s">
        <v>383</v>
      </c>
      <c r="D9" s="10"/>
      <c r="E9" s="210"/>
      <c r="F9" s="7"/>
    </row>
    <row r="10" spans="2:6" ht="13.5" thickBot="1">
      <c r="B10" s="81" t="s">
        <v>349</v>
      </c>
      <c r="C10" s="124" t="s">
        <v>348</v>
      </c>
      <c r="D10" s="124" t="s">
        <v>320</v>
      </c>
      <c r="E10" s="124" t="s">
        <v>321</v>
      </c>
      <c r="F10" s="125" t="s">
        <v>322</v>
      </c>
    </row>
    <row r="11" spans="2:6" ht="12.75">
      <c r="B11" s="122" t="s">
        <v>297</v>
      </c>
      <c r="C11" s="108"/>
      <c r="D11" s="123" t="s">
        <v>298</v>
      </c>
      <c r="E11" s="204" t="e">
        <f>'recibo de sueldo'!#REF!</f>
        <v>#REF!</v>
      </c>
      <c r="F11" s="75"/>
    </row>
    <row r="12" spans="2:6" ht="12.75">
      <c r="B12" s="122" t="s">
        <v>371</v>
      </c>
      <c r="C12" s="108"/>
      <c r="D12" s="123" t="s">
        <v>368</v>
      </c>
      <c r="E12" s="204" t="e">
        <f>'recibo de sueldo'!#REF!</f>
        <v>#REF!</v>
      </c>
      <c r="F12" s="75"/>
    </row>
    <row r="13" spans="2:6" ht="12.75">
      <c r="B13" s="205" t="s">
        <v>380</v>
      </c>
      <c r="C13" s="87"/>
      <c r="D13" s="206" t="s">
        <v>378</v>
      </c>
      <c r="E13" s="204" t="e">
        <f>'recibo de sueldo'!#REF!</f>
        <v>#REF!</v>
      </c>
      <c r="F13" s="75"/>
    </row>
    <row r="14" spans="2:6" ht="12.75">
      <c r="B14" s="44" t="s">
        <v>301</v>
      </c>
      <c r="C14" s="43"/>
      <c r="D14" s="72" t="s">
        <v>328</v>
      </c>
      <c r="E14" s="204" t="e">
        <f>'recibo de sueldo'!#REF!</f>
        <v>#REF!</v>
      </c>
      <c r="F14" s="47"/>
    </row>
    <row r="15" spans="2:6" ht="12.75">
      <c r="B15" s="73" t="s">
        <v>296</v>
      </c>
      <c r="C15" s="74">
        <f>porantigcargo</f>
        <v>0</v>
      </c>
      <c r="D15" s="48" t="s">
        <v>0</v>
      </c>
      <c r="E15" s="204" t="e">
        <f>'recibo de sueldo'!#REF!</f>
        <v>#REF!</v>
      </c>
      <c r="F15" s="75"/>
    </row>
    <row r="16" spans="2:6" ht="12.75">
      <c r="B16" s="44" t="s">
        <v>302</v>
      </c>
      <c r="C16" s="43"/>
      <c r="D16" s="72" t="s">
        <v>329</v>
      </c>
      <c r="E16" s="204" t="e">
        <f>'recibo de sueldo'!#REF!</f>
        <v>#REF!</v>
      </c>
      <c r="F16" s="47"/>
    </row>
    <row r="17" spans="2:6" ht="12.75">
      <c r="B17" s="76" t="s">
        <v>299</v>
      </c>
      <c r="C17" s="48">
        <v>0.07</v>
      </c>
      <c r="D17" s="48" t="s">
        <v>330</v>
      </c>
      <c r="E17" s="204" t="e">
        <f>'recibo de sueldo'!#REF!</f>
        <v>#REF!</v>
      </c>
      <c r="F17" s="75"/>
    </row>
    <row r="18" spans="2:6" ht="12.75">
      <c r="B18" s="70" t="s">
        <v>295</v>
      </c>
      <c r="C18" s="71"/>
      <c r="D18" s="72" t="s">
        <v>311</v>
      </c>
      <c r="E18" s="204" t="e">
        <f>'recibo de sueldo'!#REF!</f>
        <v>#REF!</v>
      </c>
      <c r="F18" s="75"/>
    </row>
    <row r="19" spans="2:6" ht="12.75">
      <c r="B19" s="70" t="s">
        <v>294</v>
      </c>
      <c r="C19" s="71"/>
      <c r="D19" s="48" t="s">
        <v>312</v>
      </c>
      <c r="E19" s="204" t="e">
        <f>'recibo de sueldo'!#REF!</f>
        <v>#REF!</v>
      </c>
      <c r="F19" s="75"/>
    </row>
    <row r="20" spans="2:6" ht="12.75">
      <c r="B20" s="70" t="s">
        <v>293</v>
      </c>
      <c r="C20" s="250" t="e">
        <f>'recibo de sueldo'!#REF!</f>
        <v>#REF!</v>
      </c>
      <c r="D20" s="48" t="s">
        <v>351</v>
      </c>
      <c r="E20" s="204" t="e">
        <f>'recibo de sueldo'!#REF!</f>
        <v>#REF!</v>
      </c>
      <c r="F20" s="77"/>
    </row>
    <row r="21" spans="2:6" ht="12.75">
      <c r="B21" s="76" t="s">
        <v>300</v>
      </c>
      <c r="C21" s="71"/>
      <c r="D21" s="208" t="s">
        <v>317</v>
      </c>
      <c r="E21" s="204" t="e">
        <f>'recibo de sueldo'!#REF!</f>
        <v>#REF!</v>
      </c>
      <c r="F21" s="209"/>
    </row>
    <row r="22" spans="2:6" ht="13.5" thickBot="1">
      <c r="B22" s="78" t="s">
        <v>313</v>
      </c>
      <c r="C22" s="79" t="s">
        <v>314</v>
      </c>
      <c r="D22" s="60"/>
      <c r="E22" s="204" t="e">
        <f>'recibo de sueldo'!#REF!</f>
        <v>#REF!</v>
      </c>
      <c r="F22" s="120"/>
    </row>
    <row r="23" spans="2:6" ht="13.5" thickBot="1">
      <c r="B23" s="78"/>
      <c r="C23" s="80"/>
      <c r="D23" s="81" t="s">
        <v>316</v>
      </c>
      <c r="E23" s="204" t="e">
        <f>'recibo de sueldo'!#REF!</f>
        <v>#REF!</v>
      </c>
      <c r="F23" s="121"/>
    </row>
    <row r="24" spans="2:6" ht="12.75">
      <c r="B24" s="73" t="s">
        <v>303</v>
      </c>
      <c r="C24" s="207" t="e">
        <f>'recibo de sueldo'!#REF!</f>
        <v>#REF!</v>
      </c>
      <c r="D24" s="83" t="s">
        <v>315</v>
      </c>
      <c r="E24" s="204" t="e">
        <f>'recibo de sueldo'!#REF!</f>
        <v>#REF!</v>
      </c>
      <c r="F24" s="120"/>
    </row>
    <row r="25" spans="2:6" ht="15.75">
      <c r="B25" s="73" t="s">
        <v>309</v>
      </c>
      <c r="C25" s="172"/>
      <c r="D25" s="79" t="s">
        <v>318</v>
      </c>
      <c r="E25" s="204" t="e">
        <f>'recibo de sueldo'!#REF!</f>
        <v>#REF!</v>
      </c>
      <c r="F25" s="120"/>
    </row>
    <row r="26" spans="2:6" ht="13.5" thickBot="1">
      <c r="B26" s="73" t="s">
        <v>304</v>
      </c>
      <c r="C26" s="207" t="e">
        <f>'recibo de sueldo'!#REF!</f>
        <v>#REF!</v>
      </c>
      <c r="D26" s="211" t="s">
        <v>310</v>
      </c>
      <c r="E26" s="212" t="e">
        <f>'recibo de sueldo'!#REF!</f>
        <v>#REF!</v>
      </c>
      <c r="F26" s="120"/>
    </row>
    <row r="27" spans="2:6" ht="16.5" thickBot="1">
      <c r="B27" s="78"/>
      <c r="C27" s="84"/>
      <c r="D27" s="85" t="s">
        <v>1</v>
      </c>
      <c r="E27" s="213" t="e">
        <f>'recibo de sueldo'!#REF!</f>
        <v>#REF!</v>
      </c>
      <c r="F27" s="214"/>
    </row>
    <row r="28" spans="2:6" ht="15.75">
      <c r="B28" s="73" t="s">
        <v>335</v>
      </c>
      <c r="C28" s="86"/>
      <c r="D28" s="87" t="s">
        <v>336</v>
      </c>
      <c r="E28" s="136"/>
      <c r="F28" s="217" t="e">
        <f>'recibo de sueldo'!#REF!</f>
        <v>#REF!</v>
      </c>
    </row>
    <row r="29" spans="2:6" ht="15.75">
      <c r="B29" s="70" t="s">
        <v>305</v>
      </c>
      <c r="C29" s="88">
        <v>0.16</v>
      </c>
      <c r="D29" s="89" t="s">
        <v>326</v>
      </c>
      <c r="E29" s="136"/>
      <c r="F29" s="217" t="e">
        <f>'recibo de sueldo'!#REF!</f>
        <v>#REF!</v>
      </c>
    </row>
    <row r="30" spans="2:6" ht="15.75">
      <c r="B30" s="70" t="s">
        <v>306</v>
      </c>
      <c r="C30" s="90">
        <v>0.006</v>
      </c>
      <c r="D30" s="71" t="s">
        <v>323</v>
      </c>
      <c r="E30" s="136"/>
      <c r="F30" s="217" t="e">
        <f>'recibo de sueldo'!#REF!</f>
        <v>#REF!</v>
      </c>
    </row>
    <row r="31" spans="2:6" ht="15.75">
      <c r="B31" s="70" t="s">
        <v>307</v>
      </c>
      <c r="C31" s="88">
        <v>0.03</v>
      </c>
      <c r="D31" s="89" t="s">
        <v>325</v>
      </c>
      <c r="E31" s="136"/>
      <c r="F31" s="217" t="e">
        <f>'recibo de sueldo'!#REF!</f>
        <v>#REF!</v>
      </c>
    </row>
    <row r="32" spans="2:6" ht="15.75">
      <c r="B32" s="70" t="s">
        <v>308</v>
      </c>
      <c r="C32" s="88"/>
      <c r="D32" s="89" t="s">
        <v>324</v>
      </c>
      <c r="E32" s="115"/>
      <c r="F32" s="217" t="e">
        <f>'recibo de sueldo'!#REF!</f>
        <v>#REF!</v>
      </c>
    </row>
    <row r="33" spans="2:6" ht="13.5" thickBot="1">
      <c r="B33" s="91"/>
      <c r="C33" s="207" t="e">
        <f>'recibo de sueldo'!#REF!</f>
        <v>#REF!</v>
      </c>
      <c r="D33" s="92" t="s">
        <v>2</v>
      </c>
      <c r="E33" s="92"/>
      <c r="F33" s="217" t="e">
        <f>'recibo de sueldo'!#REF!</f>
        <v>#REF!</v>
      </c>
    </row>
    <row r="34" spans="2:6" ht="16.5" thickBot="1">
      <c r="B34" s="91"/>
      <c r="C34" s="84"/>
      <c r="D34" s="85" t="s">
        <v>3</v>
      </c>
      <c r="E34" s="61"/>
      <c r="F34" s="216" t="e">
        <f>'recibo de sueldo'!#REF!</f>
        <v>#REF!</v>
      </c>
    </row>
    <row r="35" spans="2:6" ht="13.5" thickBot="1">
      <c r="B35" s="130"/>
      <c r="C35" s="1"/>
      <c r="D35" s="8"/>
      <c r="E35" s="1"/>
      <c r="F35" s="5"/>
    </row>
    <row r="36" spans="2:6" ht="27" customHeight="1" thickBot="1">
      <c r="B36" s="117"/>
      <c r="C36" s="228" t="s">
        <v>4</v>
      </c>
      <c r="D36" s="94"/>
      <c r="E36" s="227" t="e">
        <f>'recibo de sueldo'!#REF!</f>
        <v>#REF!</v>
      </c>
      <c r="F36" s="5"/>
    </row>
  </sheetData>
  <sheetProtection password="DFB3" sheet="1" objects="1" scenarios="1"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F30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4.8515625" style="0" customWidth="1"/>
    <col min="4" max="4" width="27.28125" style="0" customWidth="1"/>
    <col min="6" max="6" width="12.8515625" style="0" customWidth="1"/>
  </cols>
  <sheetData>
    <row r="2" spans="2:4" ht="15.75">
      <c r="B2" s="1"/>
      <c r="C2" s="248" t="s">
        <v>6</v>
      </c>
      <c r="D2" s="1"/>
    </row>
    <row r="3" spans="2:4" ht="12.75">
      <c r="B3" s="1"/>
      <c r="C3" s="1"/>
      <c r="D3" s="1"/>
    </row>
    <row r="4" spans="3:5" ht="12.75">
      <c r="C4" s="243" t="s">
        <v>7</v>
      </c>
      <c r="D4" s="243"/>
      <c r="E4" s="244">
        <f>canthormed</f>
        <v>36</v>
      </c>
    </row>
    <row r="5" spans="3:6" ht="12.75">
      <c r="C5" s="72" t="s">
        <v>344</v>
      </c>
      <c r="D5" s="72"/>
      <c r="E5" s="242">
        <f>canthormed</f>
        <v>36</v>
      </c>
      <c r="F5" s="246">
        <f>porantighormed</f>
        <v>1.2</v>
      </c>
    </row>
    <row r="6" spans="2:6" ht="12.75">
      <c r="B6" s="245"/>
      <c r="C6" s="184"/>
      <c r="D6" s="59"/>
      <c r="E6" s="240"/>
      <c r="F6" s="245"/>
    </row>
    <row r="7" spans="3:5" ht="12.75">
      <c r="C7" s="241" t="s">
        <v>358</v>
      </c>
      <c r="D7" s="241"/>
      <c r="E7" s="244">
        <f>canthor06med</f>
        <v>36</v>
      </c>
    </row>
    <row r="8" spans="3:5" ht="12.75">
      <c r="C8" s="241" t="s">
        <v>359</v>
      </c>
      <c r="D8" s="241"/>
      <c r="E8" s="244">
        <f>canthorincmed</f>
        <v>36</v>
      </c>
    </row>
    <row r="9" spans="3:5" ht="12.75">
      <c r="C9" s="241" t="s">
        <v>360</v>
      </c>
      <c r="D9" s="241"/>
      <c r="E9" s="242" t="e">
        <f>canthor113med</f>
        <v>#NAME?</v>
      </c>
    </row>
    <row r="10" spans="3:5" ht="12.75">
      <c r="C10" s="59"/>
      <c r="D10" s="59"/>
      <c r="E10" s="247"/>
    </row>
    <row r="11" spans="2:6" ht="15.75" thickBot="1">
      <c r="B11" s="10" t="s">
        <v>385</v>
      </c>
      <c r="D11" s="3"/>
      <c r="E11" s="7"/>
      <c r="F11" s="7"/>
    </row>
    <row r="12" spans="2:6" ht="13.5" thickBot="1">
      <c r="B12" s="81" t="s">
        <v>349</v>
      </c>
      <c r="C12" s="124" t="s">
        <v>348</v>
      </c>
      <c r="D12" s="124" t="s">
        <v>320</v>
      </c>
      <c r="E12" s="124" t="s">
        <v>321</v>
      </c>
      <c r="F12" s="239" t="s">
        <v>322</v>
      </c>
    </row>
    <row r="13" spans="2:6" ht="12.75">
      <c r="B13" s="126" t="s">
        <v>331</v>
      </c>
      <c r="C13" s="249" t="e">
        <f>'recibo de sueldo'!#REF!</f>
        <v>#REF!</v>
      </c>
      <c r="D13" s="83" t="s">
        <v>332</v>
      </c>
      <c r="E13" s="127" t="e">
        <f>'recibo de sueldo'!#REF!</f>
        <v>#REF!</v>
      </c>
      <c r="F13" s="100"/>
    </row>
    <row r="14" spans="2:6" ht="12.75">
      <c r="B14" s="99" t="s">
        <v>296</v>
      </c>
      <c r="C14" s="232" t="e">
        <f>'recibo de sueldo'!#REF!</f>
        <v>#REF!</v>
      </c>
      <c r="D14" s="46" t="s">
        <v>0</v>
      </c>
      <c r="E14" s="127" t="e">
        <f>'recibo de sueldo'!#REF!</f>
        <v>#REF!</v>
      </c>
      <c r="F14" s="100"/>
    </row>
    <row r="15" spans="2:6" ht="12.75">
      <c r="B15" s="99" t="s">
        <v>301</v>
      </c>
      <c r="C15" s="249" t="e">
        <f>'recibo de sueldo'!#REF!</f>
        <v>#REF!</v>
      </c>
      <c r="D15" s="72" t="s">
        <v>328</v>
      </c>
      <c r="E15" s="127" t="e">
        <f>'recibo de sueldo'!#REF!</f>
        <v>#REF!</v>
      </c>
      <c r="F15" s="100"/>
    </row>
    <row r="16" spans="2:6" ht="12.75">
      <c r="B16" s="101" t="s">
        <v>302</v>
      </c>
      <c r="C16" s="232" t="e">
        <f>'recibo de sueldo'!#REF!</f>
        <v>#REF!</v>
      </c>
      <c r="D16" s="72" t="s">
        <v>333</v>
      </c>
      <c r="E16" s="127" t="e">
        <f>'recibo de sueldo'!#REF!</f>
        <v>#REF!</v>
      </c>
      <c r="F16" s="100"/>
    </row>
    <row r="17" spans="2:6" ht="12.75">
      <c r="B17" s="102" t="s">
        <v>303</v>
      </c>
      <c r="C17" s="249" t="e">
        <f>'recibo de sueldo'!#REF!</f>
        <v>#REF!</v>
      </c>
      <c r="D17" s="46" t="s">
        <v>315</v>
      </c>
      <c r="E17" s="127" t="e">
        <f>'recibo de sueldo'!#REF!</f>
        <v>#REF!</v>
      </c>
      <c r="F17" s="100"/>
    </row>
    <row r="18" spans="2:6" ht="12.75">
      <c r="B18" s="99" t="s">
        <v>304</v>
      </c>
      <c r="C18" s="249" t="e">
        <f>'recibo de sueldo'!#REF!</f>
        <v>#REF!</v>
      </c>
      <c r="D18" s="46" t="s">
        <v>334</v>
      </c>
      <c r="E18" s="127" t="e">
        <f>'recibo de sueldo'!#REF!</f>
        <v>#REF!</v>
      </c>
      <c r="F18" s="103"/>
    </row>
    <row r="19" spans="2:6" ht="12.75">
      <c r="B19" s="99" t="s">
        <v>299</v>
      </c>
      <c r="C19" s="232" t="e">
        <f>'recibo de sueldo'!#REF!</f>
        <v>#REF!</v>
      </c>
      <c r="D19" s="48" t="s">
        <v>330</v>
      </c>
      <c r="E19" s="127" t="e">
        <f>'recibo de sueldo'!#REF!</f>
        <v>#REF!</v>
      </c>
      <c r="F19" s="100"/>
    </row>
    <row r="20" spans="2:6" ht="12.75">
      <c r="B20" s="99" t="s">
        <v>293</v>
      </c>
      <c r="C20" s="233" t="e">
        <f>'recibo de sueldo'!#REF!</f>
        <v>#REF!</v>
      </c>
      <c r="D20" s="48" t="s">
        <v>351</v>
      </c>
      <c r="E20" s="127" t="e">
        <f>'recibo de sueldo'!#REF!</f>
        <v>#REF!</v>
      </c>
      <c r="F20" s="100"/>
    </row>
    <row r="21" spans="2:6" ht="13.5" thickBot="1">
      <c r="B21" s="105" t="s">
        <v>340</v>
      </c>
      <c r="C21" s="60"/>
      <c r="D21" s="60"/>
      <c r="E21" s="75" t="e">
        <f>'recibo de sueldo'!#REF!</f>
        <v>#REF!</v>
      </c>
      <c r="F21" s="100"/>
    </row>
    <row r="22" spans="2:6" ht="16.5" thickBot="1">
      <c r="B22" s="106"/>
      <c r="C22" s="93" t="s">
        <v>8</v>
      </c>
      <c r="D22" s="107"/>
      <c r="E22" s="238" t="e">
        <f>'recibo de sueldo'!#REF!</f>
        <v>#REF!</v>
      </c>
      <c r="F22" s="237"/>
    </row>
    <row r="23" spans="2:6" ht="15.75">
      <c r="B23" s="104" t="s">
        <v>335</v>
      </c>
      <c r="C23" s="109"/>
      <c r="D23" s="87" t="s">
        <v>336</v>
      </c>
      <c r="E23" s="115"/>
      <c r="F23" s="231" t="e">
        <f>'recibo de sueldo'!#REF!</f>
        <v>#REF!</v>
      </c>
    </row>
    <row r="24" spans="2:6" ht="12.75">
      <c r="B24" s="46">
        <v>502</v>
      </c>
      <c r="C24" s="229" t="e">
        <f>'recibo de sueldo'!#REF!</f>
        <v>#REF!</v>
      </c>
      <c r="D24" s="89" t="s">
        <v>339</v>
      </c>
      <c r="E24" s="89"/>
      <c r="F24" s="231" t="e">
        <f>'recibo de sueldo'!#REF!</f>
        <v>#REF!</v>
      </c>
    </row>
    <row r="25" spans="2:6" ht="12.75">
      <c r="B25" s="46">
        <v>504</v>
      </c>
      <c r="C25" s="230" t="e">
        <f>'recibo de sueldo'!#REF!</f>
        <v>#REF!</v>
      </c>
      <c r="D25" s="71" t="s">
        <v>338</v>
      </c>
      <c r="E25" s="71"/>
      <c r="F25" s="231" t="e">
        <f>'recibo de sueldo'!#REF!</f>
        <v>#REF!</v>
      </c>
    </row>
    <row r="26" spans="2:6" ht="12.75">
      <c r="B26" s="46">
        <v>505</v>
      </c>
      <c r="C26" s="229" t="e">
        <f>'recibo de sueldo'!#REF!</f>
        <v>#REF!</v>
      </c>
      <c r="D26" s="89" t="s">
        <v>337</v>
      </c>
      <c r="E26" s="89"/>
      <c r="F26" s="231" t="e">
        <f>'recibo de sueldo'!#REF!</f>
        <v>#REF!</v>
      </c>
    </row>
    <row r="27" spans="2:6" ht="13.5" thickBot="1">
      <c r="B27" s="110" t="s">
        <v>2</v>
      </c>
      <c r="C27" s="230" t="e">
        <f>'recibo de sueldo'!#REF!</f>
        <v>#REF!</v>
      </c>
      <c r="D27" s="60"/>
      <c r="E27" s="60"/>
      <c r="F27" s="235" t="e">
        <f>'recibo de sueldo'!#REF!</f>
        <v>#REF!</v>
      </c>
    </row>
    <row r="28" spans="2:6" ht="16.5" thickBot="1">
      <c r="B28" s="64"/>
      <c r="C28" s="111"/>
      <c r="D28" s="93" t="s">
        <v>3</v>
      </c>
      <c r="E28" s="112"/>
      <c r="F28" s="236" t="e">
        <f>'recibo de sueldo'!#REF!</f>
        <v>#REF!</v>
      </c>
    </row>
    <row r="29" spans="2:6" ht="13.5" thickBot="1">
      <c r="B29" s="133"/>
      <c r="C29" s="60"/>
      <c r="D29" s="100"/>
      <c r="E29" s="100"/>
      <c r="F29" s="1"/>
    </row>
    <row r="30" spans="2:6" ht="16.5" thickBot="1">
      <c r="B30" s="14"/>
      <c r="C30" s="93" t="s">
        <v>4</v>
      </c>
      <c r="D30" s="94"/>
      <c r="E30" s="82" t="e">
        <f>'recibo de sueldo'!#REF!</f>
        <v>#REF!</v>
      </c>
      <c r="F30" s="2"/>
    </row>
  </sheetData>
  <sheetProtection password="DFB3" sheet="1" objects="1" scenarios="1"/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B2:F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4" max="4" width="29.7109375" style="0" customWidth="1"/>
    <col min="6" max="6" width="12.140625" style="0" customWidth="1"/>
  </cols>
  <sheetData>
    <row r="2" spans="2:4" ht="18">
      <c r="B2" s="1"/>
      <c r="C2" s="265" t="s">
        <v>9</v>
      </c>
      <c r="D2" s="1"/>
    </row>
    <row r="3" spans="2:4" ht="12.75">
      <c r="B3" s="1"/>
      <c r="C3" s="1"/>
      <c r="D3" s="1"/>
    </row>
    <row r="4" spans="3:5" ht="14.25">
      <c r="C4" s="234" t="s">
        <v>7</v>
      </c>
      <c r="D4" s="234"/>
      <c r="E4" s="266">
        <f>'recibo de sueldo'!D283</f>
        <v>15</v>
      </c>
    </row>
    <row r="5" spans="3:6" ht="14.25">
      <c r="C5" s="234" t="s">
        <v>344</v>
      </c>
      <c r="D5" s="234"/>
      <c r="E5" s="266">
        <f>'recibo de sueldo'!D284</f>
        <v>0</v>
      </c>
      <c r="F5" s="267">
        <f>'recibo de sueldo'!D285</f>
        <v>0</v>
      </c>
    </row>
    <row r="6" spans="3:4" ht="12.75">
      <c r="C6" s="1"/>
      <c r="D6" s="1"/>
    </row>
    <row r="7" spans="3:5" ht="14.25">
      <c r="C7" s="270" t="s">
        <v>358</v>
      </c>
      <c r="D7" s="268"/>
      <c r="E7" s="269">
        <f>'recibo de sueldo'!D287</f>
        <v>15</v>
      </c>
    </row>
    <row r="8" spans="3:5" ht="14.25">
      <c r="C8" s="270" t="s">
        <v>359</v>
      </c>
      <c r="D8" s="268"/>
      <c r="E8" s="269">
        <f>'recibo de sueldo'!D288</f>
        <v>15</v>
      </c>
    </row>
    <row r="9" spans="3:5" ht="14.25">
      <c r="C9" s="270" t="s">
        <v>360</v>
      </c>
      <c r="D9" s="268"/>
      <c r="E9" s="269" t="e">
        <f>'recibo de sueldo'!#REF!</f>
        <v>#REF!</v>
      </c>
    </row>
    <row r="11" spans="2:6" ht="16.5" thickBot="1">
      <c r="B11" s="271" t="s">
        <v>386</v>
      </c>
      <c r="D11" s="251"/>
      <c r="E11" s="252"/>
      <c r="F11" s="252"/>
    </row>
    <row r="12" spans="2:6" ht="13.5" thickBot="1">
      <c r="B12" s="81" t="s">
        <v>349</v>
      </c>
      <c r="C12" s="124" t="s">
        <v>348</v>
      </c>
      <c r="D12" s="124" t="s">
        <v>320</v>
      </c>
      <c r="E12" s="124" t="s">
        <v>321</v>
      </c>
      <c r="F12" s="239" t="s">
        <v>322</v>
      </c>
    </row>
    <row r="13" spans="2:6" ht="12.75">
      <c r="B13" s="126" t="s">
        <v>331</v>
      </c>
      <c r="C13" s="253" t="e">
        <f>'recibo de sueldo'!#REF!</f>
        <v>#REF!</v>
      </c>
      <c r="D13" s="83" t="s">
        <v>332</v>
      </c>
      <c r="E13" s="127" t="e">
        <f>'recibo de sueldo'!#REF!</f>
        <v>#REF!</v>
      </c>
      <c r="F13" s="168"/>
    </row>
    <row r="14" spans="2:6" ht="12.75">
      <c r="B14" s="99" t="s">
        <v>296</v>
      </c>
      <c r="C14" s="229" t="e">
        <f>'recibo de sueldo'!#REF!</f>
        <v>#REF!</v>
      </c>
      <c r="D14" s="46" t="s">
        <v>0</v>
      </c>
      <c r="E14" s="127" t="e">
        <f>'recibo de sueldo'!#REF!</f>
        <v>#REF!</v>
      </c>
      <c r="F14" s="169"/>
    </row>
    <row r="15" spans="2:6" ht="12.75">
      <c r="B15" s="99" t="s">
        <v>301</v>
      </c>
      <c r="C15" s="253" t="e">
        <f>'recibo de sueldo'!#REF!</f>
        <v>#REF!</v>
      </c>
      <c r="D15" s="72" t="s">
        <v>328</v>
      </c>
      <c r="E15" s="127" t="e">
        <f>'recibo de sueldo'!#REF!</f>
        <v>#REF!</v>
      </c>
      <c r="F15" s="169"/>
    </row>
    <row r="16" spans="2:6" ht="12.75">
      <c r="B16" s="101" t="s">
        <v>302</v>
      </c>
      <c r="C16" s="229" t="e">
        <f>'recibo de sueldo'!#REF!</f>
        <v>#REF!</v>
      </c>
      <c r="D16" s="72" t="s">
        <v>333</v>
      </c>
      <c r="E16" s="127" t="e">
        <f>'recibo de sueldo'!#REF!</f>
        <v>#REF!</v>
      </c>
      <c r="F16" s="169"/>
    </row>
    <row r="17" spans="2:6" ht="12.75">
      <c r="B17" s="102" t="s">
        <v>303</v>
      </c>
      <c r="C17" s="253" t="e">
        <f>'recibo de sueldo'!#REF!</f>
        <v>#REF!</v>
      </c>
      <c r="D17" s="46" t="s">
        <v>315</v>
      </c>
      <c r="E17" s="127" t="e">
        <f>'recibo de sueldo'!#REF!</f>
        <v>#REF!</v>
      </c>
      <c r="F17" s="169"/>
    </row>
    <row r="18" spans="2:6" ht="12.75">
      <c r="B18" s="99" t="s">
        <v>304</v>
      </c>
      <c r="C18" s="253" t="e">
        <f>'recibo de sueldo'!#REF!</f>
        <v>#REF!</v>
      </c>
      <c r="D18" s="46" t="s">
        <v>334</v>
      </c>
      <c r="E18" s="127" t="e">
        <f>'recibo de sueldo'!#REF!</f>
        <v>#REF!</v>
      </c>
      <c r="F18" s="169"/>
    </row>
    <row r="19" spans="2:6" ht="12.75">
      <c r="B19" s="99" t="s">
        <v>299</v>
      </c>
      <c r="C19" s="229" t="e">
        <f>'recibo de sueldo'!#REF!</f>
        <v>#REF!</v>
      </c>
      <c r="D19" s="48" t="s">
        <v>330</v>
      </c>
      <c r="E19" s="127" t="e">
        <f>'recibo de sueldo'!#REF!</f>
        <v>#REF!</v>
      </c>
      <c r="F19" s="169"/>
    </row>
    <row r="20" spans="2:6" ht="13.5" thickBot="1">
      <c r="B20" s="105" t="s">
        <v>340</v>
      </c>
      <c r="C20" s="254"/>
      <c r="D20" s="60"/>
      <c r="E20" s="75" t="e">
        <f>'recibo de sueldo'!#REF!</f>
        <v>#REF!</v>
      </c>
      <c r="F20" s="169"/>
    </row>
    <row r="21" spans="2:6" ht="16.5" thickBot="1">
      <c r="B21" s="106"/>
      <c r="C21" s="256" t="s">
        <v>8</v>
      </c>
      <c r="D21" s="113"/>
      <c r="E21" s="259" t="e">
        <f>'recibo de sueldo'!#REF!</f>
        <v>#REF!</v>
      </c>
      <c r="F21" s="237"/>
    </row>
    <row r="22" spans="2:6" ht="15.75">
      <c r="B22" s="104" t="s">
        <v>335</v>
      </c>
      <c r="C22" s="255"/>
      <c r="D22" s="257" t="s">
        <v>336</v>
      </c>
      <c r="E22" s="260"/>
      <c r="F22" s="263" t="e">
        <f>'recibo de sueldo'!#REF!</f>
        <v>#REF!</v>
      </c>
    </row>
    <row r="23" spans="2:6" ht="12.75">
      <c r="B23" s="46">
        <v>502</v>
      </c>
      <c r="C23" s="229" t="e">
        <f>'recibo de sueldo'!#REF!</f>
        <v>#REF!</v>
      </c>
      <c r="D23" s="258" t="s">
        <v>339</v>
      </c>
      <c r="E23" s="261"/>
      <c r="F23" s="263" t="e">
        <f>'recibo de sueldo'!#REF!</f>
        <v>#REF!</v>
      </c>
    </row>
    <row r="24" spans="2:6" ht="12.75">
      <c r="B24" s="46">
        <v>504</v>
      </c>
      <c r="C24" s="230" t="e">
        <f>'recibo de sueldo'!#REF!</f>
        <v>#REF!</v>
      </c>
      <c r="D24" s="218" t="s">
        <v>338</v>
      </c>
      <c r="E24" s="100"/>
      <c r="F24" s="263" t="e">
        <f>'recibo de sueldo'!#REF!</f>
        <v>#REF!</v>
      </c>
    </row>
    <row r="25" spans="2:6" ht="12.75">
      <c r="B25" s="46">
        <v>505</v>
      </c>
      <c r="C25" s="229" t="e">
        <f>'recibo de sueldo'!#REF!</f>
        <v>#REF!</v>
      </c>
      <c r="D25" s="258" t="s">
        <v>337</v>
      </c>
      <c r="E25" s="47"/>
      <c r="F25" s="263" t="e">
        <f>'recibo de sueldo'!#REF!</f>
        <v>#REF!</v>
      </c>
    </row>
    <row r="26" spans="2:6" ht="13.5" thickBot="1">
      <c r="B26" s="110" t="s">
        <v>2</v>
      </c>
      <c r="C26" s="229" t="e">
        <f>'recibo de sueldo'!#REF!</f>
        <v>#REF!</v>
      </c>
      <c r="D26" s="191"/>
      <c r="E26" s="100"/>
      <c r="F26" s="264" t="e">
        <f>'recibo de sueldo'!#REF!</f>
        <v>#REF!</v>
      </c>
    </row>
    <row r="27" spans="2:6" ht="16.5" thickBot="1">
      <c r="B27" s="64"/>
      <c r="C27" s="111"/>
      <c r="D27" s="93" t="s">
        <v>3</v>
      </c>
      <c r="E27" s="124"/>
      <c r="F27" s="262" t="e">
        <f>'recibo de sueldo'!#REF!</f>
        <v>#REF!</v>
      </c>
    </row>
    <row r="28" spans="2:6" ht="13.5" thickBot="1">
      <c r="B28" s="1"/>
      <c r="C28" s="1"/>
      <c r="D28" s="1"/>
      <c r="E28" s="1"/>
      <c r="F28" s="1"/>
    </row>
    <row r="29" spans="2:6" ht="16.5" thickBot="1">
      <c r="B29" s="166"/>
      <c r="C29" s="93" t="s">
        <v>4</v>
      </c>
      <c r="D29" s="93"/>
      <c r="E29" s="82" t="e">
        <f>'recibo de sueldo'!#REF!</f>
        <v>#REF!</v>
      </c>
      <c r="F29" s="1"/>
    </row>
  </sheetData>
  <sheetProtection password="DFB3" sheet="1" objects="1" scenarios="1"/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AGMER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 Hutt</dc:creator>
  <cp:keywords/>
  <dc:description/>
  <cp:lastModifiedBy>Victor</cp:lastModifiedBy>
  <cp:lastPrinted>2010-03-10T23:40:12Z</cp:lastPrinted>
  <dcterms:created xsi:type="dcterms:W3CDTF">2005-08-01T16:16:18Z</dcterms:created>
  <dcterms:modified xsi:type="dcterms:W3CDTF">2019-11-01T03:30:27Z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