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5" yWindow="4305" windowWidth="15480" windowHeight="4050" tabRatio="599" activeTab="0"/>
  </bookViews>
  <sheets>
    <sheet name="recibo de sueldo" sheetId="1" r:id="rId1"/>
    <sheet name="Cargos" sheetId="2" r:id="rId2"/>
    <sheet name="Imp cargo" sheetId="3" state="hidden" r:id="rId3"/>
    <sheet name="Imp hs med" sheetId="4" state="hidden" r:id="rId4"/>
    <sheet name="Imp hs sup" sheetId="5" state="hidden" r:id="rId5"/>
  </sheets>
  <definedNames>
    <definedName name="adicdir">'Cargos'!$J$3:$J$336</definedName>
    <definedName name="adicdir2014">'Cargos'!$M$3:$M$336</definedName>
    <definedName name="adicdir2016">'Cargos'!$N$3:$N$336</definedName>
    <definedName name="adichsmedia">'recibo de sueldo'!$D$255</definedName>
    <definedName name="adicminimo">'recibo de sueldo'!#REF!</definedName>
    <definedName name="adicnina">'Cargos'!$S$3:$S$336</definedName>
    <definedName name="aumgeneral">'recibo de sueldo'!$K$186</definedName>
    <definedName name="canthor06med">'recibo de sueldo'!$D$253</definedName>
    <definedName name="canthor06sup">'recibo de sueldo'!$D$317</definedName>
    <definedName name="canthorincmed">'recibo de sueldo'!$D$254</definedName>
    <definedName name="canthorincsup">'recibo de sueldo'!$D$318</definedName>
    <definedName name="canthormed">'recibo de sueldo'!$D$249</definedName>
    <definedName name="canthorsup">'recibo de sueldo'!$D$313</definedName>
    <definedName name="cantkm">'recibo de sueldo'!$D$183</definedName>
    <definedName name="cantkmhm">'recibo de sueldo'!$D$256</definedName>
    <definedName name="cantkmhs">'recibo de sueldo'!$D$319</definedName>
    <definedName name="Cargos">'recibo de sueldo'!$C$173</definedName>
    <definedName name="CARGOS_Con_prolongación_de_jornada">'recibo de sueldo'!$C$173</definedName>
    <definedName name="CARGOS_de_ascenso">'recibo de sueldo'!#REF!</definedName>
    <definedName name="CARGOS_de_ingreso">'recibo de sueldo'!#REF!</definedName>
    <definedName name="caringresojub">#REF!</definedName>
    <definedName name="carproljorjub">#REF!</definedName>
    <definedName name="cod06cargos">'recibo de sueldo'!#REF!</definedName>
    <definedName name="cod06juloferta15_5">'recibo de sueldo'!#REF!</definedName>
    <definedName name="cod06med">'recibo de sueldo'!#REF!</definedName>
    <definedName name="cod06oferta15_5">'recibo de sueldo'!#REF!</definedName>
    <definedName name="cod06sup">'recibo de sueldo'!#REF!</definedName>
    <definedName name="codigo06cargosdic18">'recibo de sueldo'!$I$18:$I$29</definedName>
    <definedName name="codigo06cargosene20">'recibo de sueldo'!$I$125:$I$136</definedName>
    <definedName name="codigo06cargosjul19">'recibo de sueldo'!$I$68:$I$79</definedName>
    <definedName name="codigo06cargosmar19">'recibo de sueldo'!$I$35:$I$46</definedName>
    <definedName name="codigo06cargosmay19">'recibo de sueldo'!$I$51:$I$62</definedName>
    <definedName name="codigo06cargosoct19">'recibo de sueldo'!$I$97:$I$108</definedName>
    <definedName name="compbas13">'Cargos'!$F$3:$F$336</definedName>
    <definedName name="compbas14">'Cargos'!$G$3:$G$336</definedName>
    <definedName name="compbas15">'Cargos'!$H$3:$H$336</definedName>
    <definedName name="compbas16">'Cargos'!$L$3:$L$336</definedName>
    <definedName name="compbas2014">'recibo de sueldo'!#REF!</definedName>
    <definedName name="compbas2015">'recibo de sueldo'!$F$176</definedName>
    <definedName name="compbas2016">'recibo de sueldo'!$F$178</definedName>
    <definedName name="compbasico">'recibo de sueldo'!#REF!</definedName>
    <definedName name="compdir13">'recibo de sueldo'!#REF!</definedName>
    <definedName name="compdir14">'recibo de sueldo'!$G$176</definedName>
    <definedName name="compdir16">'recibo de sueldo'!$G$178</definedName>
    <definedName name="escalaañosantig">'recibo de sueldo'!$D$18:$D$29</definedName>
    <definedName name="escalaporcantig">'recibo de sueldo'!$E$18:$E$29</definedName>
    <definedName name="HORAS_DE_NIVEL_MEDIO">'recibo de sueldo'!$C$247</definedName>
    <definedName name="HORAS_DE_NIVEL_Superior">'recibo de sueldo'!$C$312</definedName>
    <definedName name="horasmediajub">#REF!</definedName>
    <definedName name="horassuperiorjub">#REF!</definedName>
    <definedName name="indicedic18">'recibo de sueldo'!$C$159</definedName>
    <definedName name="indiceene20">'recibo de sueldo'!$M$159</definedName>
    <definedName name="indicejul19">'recibo de sueldo'!$I$159</definedName>
    <definedName name="indicemar19">'recibo de sueldo'!$E$159</definedName>
    <definedName name="indicemay19">'recibo de sueldo'!$G$159</definedName>
    <definedName name="indiceoct19">'recibo de sueldo'!$K$159</definedName>
    <definedName name="indiceproljordic18">'recibo de sueldo'!$C$160</definedName>
    <definedName name="indiceproljorene20">'recibo de sueldo'!$M$160</definedName>
    <definedName name="indiceproljorjul19">'recibo de sueldo'!$I$160</definedName>
    <definedName name="indiceproljormar19">'recibo de sueldo'!$E$160</definedName>
    <definedName name="indiceproljormay19">'recibo de sueldo'!$G$160</definedName>
    <definedName name="indiceproljoroct19">'recibo de sueldo'!$K$160</definedName>
    <definedName name="infladic">'recibo de sueldo'!#REF!</definedName>
    <definedName name="inflajun">'recibo de sueldo'!$D$1</definedName>
    <definedName name="inflasep">'recibo de sueldo'!#REF!</definedName>
    <definedName name="kmsem">'recibo de sueldo'!$C$201</definedName>
    <definedName name="kmsemhsmed">'recibo de sueldo'!$C$272</definedName>
    <definedName name="kmsemhssup">'recibo de sueldo'!$C$330</definedName>
    <definedName name="monto440cargo">'recibo de sueldo'!#REF!</definedName>
    <definedName name="monto440med">'recibo de sueldo'!#REF!</definedName>
    <definedName name="monto440sup">'recibo de sueldo'!#REF!</definedName>
    <definedName name="montoasigfam">'recibo de sueldo'!#REF!</definedName>
    <definedName name="montocod099">'recibo de sueldo'!#REF!</definedName>
    <definedName name="Montofij_jul18">'recibo de sueldo'!#REF!</definedName>
    <definedName name="Montofijomar18">'recibo de sueldo'!#REF!</definedName>
    <definedName name="nina">'recibo de sueldo'!$D$180</definedName>
    <definedName name="nombrecargo">'Cargos'!$B$3:$B$336</definedName>
    <definedName name="nuevofijo">'recibo de sueldo'!#REF!</definedName>
    <definedName name="nuevopuntoíndice">'recibo de sueldo'!#REF!</definedName>
    <definedName name="nuevosalminjorcom">'recibo de sueldo'!#REF!</definedName>
    <definedName name="numcargo">'Cargos'!$A$3:$A$336</definedName>
    <definedName name="otroporcdesccargo">'recibo de sueldo'!#REF!</definedName>
    <definedName name="otroporcdescsup">'recibo de sueldo'!#REF!</definedName>
    <definedName name="otrosdescmed">'recibo de sueldo'!#REF!</definedName>
    <definedName name="otroshaberesmed">'recibo de sueldo'!#REF!</definedName>
    <definedName name="otroshaberessup">'recibo de sueldo'!#REF!</definedName>
    <definedName name="po">'recibo de sueldo'!#REF!</definedName>
    <definedName name="poragmer">'recibo de sueldo'!$C$339</definedName>
    <definedName name="porant">'recibo de sueldo'!$H$18:$H$29</definedName>
    <definedName name="porantig">'recibo de sueldo'!$H$18:$H$29</definedName>
    <definedName name="porantigcargo">'recibo de sueldo'!$D$182</definedName>
    <definedName name="porantighormed">'recibo de sueldo'!$D$251</definedName>
    <definedName name="porantighorsup">'recibo de sueldo'!$D$315</definedName>
    <definedName name="porantigvarcargo">#REF!</definedName>
    <definedName name="porantigvarhsmed">#REF!</definedName>
    <definedName name="porantigvarhssup">#REF!</definedName>
    <definedName name="porcremcod17">'recibo de sueldo'!#REF!</definedName>
    <definedName name="porczonacargo">'recibo de sueldo'!#REF!</definedName>
    <definedName name="porczonamed">'recibo de sueldo'!#REF!</definedName>
    <definedName name="porjub">'recibo de sueldo'!$C$336</definedName>
    <definedName name="porley">'recibo de sueldo'!$C$337</definedName>
    <definedName name="poros">'recibo de sueldo'!$C$338</definedName>
    <definedName name="porzonacargo">'recibo de sueldo'!$C$199</definedName>
    <definedName name="punbascar">'recibo de sueldo'!$D$185</definedName>
    <definedName name="punbascargo">'Cargos'!$C$3:$C$336</definedName>
    <definedName name="punbashormed">'recibo de sueldo'!$D$259</definedName>
    <definedName name="punbashorsup">'recibo de sueldo'!$D$320</definedName>
    <definedName name="punjorcomcargo">'Cargos'!$R$3:$R$336</definedName>
    <definedName name="punproljorcargo">'Cargos'!$Q$3:$Q$336</definedName>
    <definedName name="puntardifcargo">'Cargos'!$P$3:$P$336</definedName>
    <definedName name="puntosadicnina">'recibo de sueldo'!$H$176</definedName>
    <definedName name="PUNTOSbasicos">'recibo de sueldo'!$B$176</definedName>
    <definedName name="puntoscompbasico">'Cargos'!$E$3:$E$336</definedName>
    <definedName name="puntosproljor">'recibo de sueldo'!$G$185</definedName>
    <definedName name="puntostardif">'recibo de sueldo'!$C$176</definedName>
    <definedName name="segurovidacargo">'recibo de sueldo'!#REF!</definedName>
    <definedName name="totalremdic18">'recibo de sueldo'!$T$221</definedName>
    <definedName name="totalremene20">'recibo de sueldo'!$E$221</definedName>
    <definedName name="totalremjul19">'recibo de sueldo'!$K$221</definedName>
    <definedName name="totalremmar19">'recibo de sueldo'!$Q$221</definedName>
    <definedName name="totalremmay19">'recibo de sueldo'!$N$221</definedName>
    <definedName name="totalremoct19">'recibo de sueldo'!$H$221</definedName>
    <definedName name="viejocompbasico">'Cargos'!$D$3:$D$336</definedName>
  </definedNames>
  <calcPr fullCalcOnLoad="1"/>
</workbook>
</file>

<file path=xl/comments1.xml><?xml version="1.0" encoding="utf-8"?>
<comments xmlns="http://schemas.openxmlformats.org/spreadsheetml/2006/main">
  <authors>
    <author>vicky</author>
  </authors>
  <commentList>
    <comment ref="D255" authorId="0">
      <text>
        <r>
          <rPr>
            <b/>
            <sz val="10"/>
            <rFont val="Tahoma"/>
            <family val="2"/>
          </rPr>
          <t>Victor:
No lo cobran los que tienen cargo además de horas, en ese caso poner 0</t>
        </r>
        <r>
          <rPr>
            <sz val="10"/>
            <rFont val="Tahoma"/>
            <family val="2"/>
          </rPr>
          <t xml:space="preserve">
</t>
        </r>
      </text>
    </comment>
    <comment ref="C214" authorId="0">
      <text>
        <r>
          <rPr>
            <b/>
            <sz val="10"/>
            <rFont val="Tahoma"/>
            <family val="2"/>
          </rPr>
          <t>Victor:
Si no sos afiliado poné en 0 y luego afiliate a AGMER.</t>
        </r>
        <r>
          <rPr>
            <sz val="10"/>
            <rFont val="Tahoma"/>
            <family val="2"/>
          </rPr>
          <t xml:space="preserve">
</t>
        </r>
      </text>
    </comment>
    <comment ref="C281" authorId="0">
      <text>
        <r>
          <rPr>
            <b/>
            <sz val="10"/>
            <rFont val="Tahoma"/>
            <family val="2"/>
          </rPr>
          <t>Victor:
Si no sos afiliado poné en 0 y luego afiliate a AGMER.</t>
        </r>
        <r>
          <rPr>
            <sz val="10"/>
            <rFont val="Tahoma"/>
            <family val="2"/>
          </rPr>
          <t xml:space="preserve">
</t>
        </r>
      </text>
    </comment>
    <comment ref="C339" authorId="0">
      <text>
        <r>
          <rPr>
            <b/>
            <sz val="10"/>
            <rFont val="Tahoma"/>
            <family val="2"/>
          </rPr>
          <t>Victor:
Si no sos afiliado poné en 0 y luego afiliate a AGMER.</t>
        </r>
      </text>
    </comment>
    <comment ref="C271" authorId="0">
      <text>
        <r>
          <rPr>
            <b/>
            <sz val="8"/>
            <rFont val="Tahoma"/>
            <family val="2"/>
          </rPr>
          <t>Porcentaje de zona</t>
        </r>
      </text>
    </comment>
  </commentList>
</comments>
</file>

<file path=xl/comments4.xml><?xml version="1.0" encoding="utf-8"?>
<comments xmlns="http://schemas.openxmlformats.org/spreadsheetml/2006/main">
  <authors>
    <author>V?ctor</author>
  </authors>
  <commentList>
    <comment ref="E23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</commentList>
</comments>
</file>

<file path=xl/comments5.xml><?xml version="1.0" encoding="utf-8"?>
<comments xmlns="http://schemas.openxmlformats.org/spreadsheetml/2006/main">
  <authors>
    <author>V?ctor</author>
  </authors>
  <commentList>
    <comment ref="E20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Completar en el recibo de la izquierda</t>
        </r>
      </text>
    </comment>
    <comment ref="E22" authorId="0">
      <text>
        <r>
          <rPr>
            <b/>
            <sz val="8"/>
            <rFont val="Tahoma"/>
            <family val="2"/>
          </rPr>
          <t>Víctor:</t>
        </r>
        <r>
          <rPr>
            <sz val="8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completar si hay desc por inasist</t>
        </r>
      </text>
    </comment>
  </commentList>
</comments>
</file>

<file path=xl/sharedStrings.xml><?xml version="1.0" encoding="utf-8"?>
<sst xmlns="http://schemas.openxmlformats.org/spreadsheetml/2006/main" count="1090" uniqueCount="534">
  <si>
    <t>Antigüedad</t>
  </si>
  <si>
    <t>Total haberes</t>
  </si>
  <si>
    <t>Otro desc</t>
  </si>
  <si>
    <t>Descuentos</t>
  </si>
  <si>
    <t>Sueldo líquido</t>
  </si>
  <si>
    <t>Puntos básicos</t>
  </si>
  <si>
    <t>HORAS DE NIVEL MEDIO</t>
  </si>
  <si>
    <t>Número de horas</t>
  </si>
  <si>
    <t>Haberes</t>
  </si>
  <si>
    <t>HORAS DE NIVEL Superior</t>
  </si>
  <si>
    <t>Víctor Hugo Hutt</t>
  </si>
  <si>
    <t>AGMER Seccional Uruguay</t>
  </si>
  <si>
    <t>www.agmeruruguay.com.ar</t>
  </si>
  <si>
    <t xml:space="preserve"> 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</si>
  <si>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</si>
  <si>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</si>
  <si>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</si>
  <si>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</si>
  <si>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</si>
  <si>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</si>
  <si>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</si>
  <si>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</si>
  <si>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</si>
  <si>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</si>
  <si>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</si>
  <si>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</si>
  <si>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</si>
  <si>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</si>
  <si>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</si>
  <si>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</si>
  <si>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</si>
  <si>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</si>
  <si>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</si>
  <si>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</si>
  <si>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</si>
  <si>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</si>
  <si>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</si>
  <si>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</si>
  <si>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</si>
  <si>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</si>
  <si>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</si>
  <si>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</si>
  <si>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</si>
  <si>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</si>
  <si>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</si>
  <si>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</si>
  <si>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</si>
  <si>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</si>
  <si>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</si>
  <si>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</si>
  <si>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</si>
  <si>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</si>
  <si>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</si>
  <si>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</si>
  <si>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</si>
  <si>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</si>
  <si>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</si>
  <si>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</si>
  <si>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</si>
  <si>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</si>
  <si>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</si>
  <si>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</si>
  <si>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</si>
  <si>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</si>
  <si>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</si>
  <si>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</si>
  <si>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</si>
  <si>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</si>
  <si>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</si>
  <si>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</si>
  <si>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</si>
  <si>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</si>
  <si>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</si>
  <si>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</si>
  <si>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</si>
  <si>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</si>
  <si>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</si>
  <si>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</si>
  <si>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</si>
  <si>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</si>
  <si>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</si>
  <si>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</si>
  <si>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</si>
  <si>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</si>
  <si>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</si>
  <si>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</si>
  <si>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</si>
  <si>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</si>
  <si>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</si>
  <si>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</si>
  <si>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</si>
  <si>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</si>
  <si>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</si>
  <si>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</si>
  <si>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</si>
  <si>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</si>
  <si>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</si>
  <si>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</si>
  <si>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</si>
  <si>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</si>
  <si>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</si>
  <si>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</si>
  <si>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</si>
  <si>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</si>
  <si>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</si>
  <si>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</si>
  <si>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</si>
  <si>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JEFE DEPARTAMENTO TECNICO</t>
  </si>
  <si>
    <t xml:space="preserve"> SUPERVISOR DE ENSENANZA ESPECIAL</t>
  </si>
  <si>
    <t xml:space="preserve"> SUPERVISOR DE EDUCACION FISICA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</si>
  <si>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</si>
  <si>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</si>
  <si>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</si>
  <si>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</si>
  <si>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</si>
  <si>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</si>
  <si>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</si>
  <si>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</si>
  <si>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</si>
  <si>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</si>
  <si>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</si>
  <si>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</si>
  <si>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</si>
  <si>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</si>
  <si>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</si>
  <si>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</si>
  <si>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</si>
  <si>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</si>
  <si>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</si>
  <si>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</si>
  <si>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</si>
  <si>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</si>
  <si>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</si>
  <si>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</si>
  <si>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</si>
  <si>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</si>
  <si>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</si>
  <si>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</si>
  <si>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</si>
  <si>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</si>
  <si>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</si>
  <si>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</si>
  <si>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</si>
  <si>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</si>
  <si>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</si>
  <si>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</si>
  <si>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</si>
  <si>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</si>
  <si>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</si>
  <si>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</si>
  <si>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</si>
  <si>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</si>
  <si>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</si>
  <si>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</si>
  <si>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</si>
  <si>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</si>
  <si>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</si>
  <si>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</si>
  <si>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</si>
  <si>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</si>
  <si>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</si>
  <si>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</si>
  <si>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</si>
  <si>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</si>
  <si>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</si>
  <si>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</si>
  <si>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</si>
  <si>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</si>
  <si>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</si>
  <si>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</si>
  <si>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</si>
  <si>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</si>
  <si>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</si>
  <si>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</si>
  <si>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</si>
  <si>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</si>
  <si>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</si>
  <si>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</si>
  <si>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</si>
  <si>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</si>
  <si>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</si>
  <si>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</si>
  <si>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</si>
  <si>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</si>
  <si>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</si>
  <si>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</si>
  <si>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</si>
  <si>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</si>
  <si>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</si>
  <si>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</si>
  <si>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</si>
  <si>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</si>
  <si>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</si>
  <si>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</si>
  <si>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</si>
  <si>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</si>
  <si>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</si>
  <si>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</si>
  <si>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</si>
  <si>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</si>
  <si>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</si>
  <si>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</si>
  <si>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TECNICO DEL PROGRAMA 35 HS</t>
  </si>
  <si>
    <t xml:space="preserve"> RESPONSABLE ZONAL O SECTORIAL</t>
  </si>
  <si>
    <t xml:space="preserve"> EDUCADOR DE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</si>
  <si>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</si>
  <si>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</si>
  <si>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</si>
  <si>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</si>
  <si>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</si>
  <si>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</si>
  <si>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</si>
  <si>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</si>
  <si>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</si>
  <si>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</si>
  <si>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</si>
  <si>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</si>
  <si>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</si>
  <si>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</si>
  <si>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</si>
  <si>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</si>
  <si>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</si>
  <si>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</si>
  <si>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</si>
  <si>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</si>
  <si>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</si>
  <si>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</si>
  <si>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</si>
  <si>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</si>
  <si>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</si>
  <si>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</si>
  <si>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</si>
  <si>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</si>
  <si>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</si>
  <si>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</si>
  <si>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</si>
  <si>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</si>
  <si>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</si>
  <si>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</si>
  <si>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</si>
  <si>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</si>
  <si>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</si>
  <si>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</si>
  <si>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</si>
  <si>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</si>
  <si>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</si>
  <si>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</si>
  <si>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</si>
  <si>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</si>
  <si>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</si>
  <si>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</si>
  <si>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</si>
  <si>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</si>
  <si>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</si>
  <si>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</si>
  <si>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</si>
  <si>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</si>
  <si>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SECRETARIO DOCENTE PRIVADA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</si>
  <si>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</si>
  <si>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</si>
  <si>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</si>
  <si>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</si>
  <si>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</si>
  <si>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</si>
  <si>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</si>
  <si>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</si>
  <si>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</si>
  <si>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</si>
  <si>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</si>
  <si>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</si>
  <si>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</si>
  <si>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</si>
  <si>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</si>
  <si>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</si>
  <si>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</si>
  <si>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</si>
  <si>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</si>
  <si>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</si>
  <si>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</si>
  <si>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</si>
  <si>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</si>
  <si>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</si>
  <si>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</si>
  <si>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</si>
  <si>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</si>
  <si>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</si>
  <si>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</si>
  <si>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</si>
  <si>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>Prol JORN</t>
  </si>
  <si>
    <t>jorn Compl</t>
  </si>
  <si>
    <t xml:space="preserve"> tarea DIFER.</t>
  </si>
  <si>
    <t>PUNTOS basicos</t>
  </si>
  <si>
    <t xml:space="preserve">CARGOS </t>
  </si>
  <si>
    <t>078</t>
  </si>
  <si>
    <t>016</t>
  </si>
  <si>
    <t>052</t>
  </si>
  <si>
    <t>010</t>
  </si>
  <si>
    <t>001</t>
  </si>
  <si>
    <t>Asignación de la categoría</t>
  </si>
  <si>
    <t>188</t>
  </si>
  <si>
    <t>172</t>
  </si>
  <si>
    <t>006</t>
  </si>
  <si>
    <t>014</t>
  </si>
  <si>
    <t>084</t>
  </si>
  <si>
    <t>113</t>
  </si>
  <si>
    <t>502</t>
  </si>
  <si>
    <t>504</t>
  </si>
  <si>
    <t>505</t>
  </si>
  <si>
    <t>510</t>
  </si>
  <si>
    <t>099</t>
  </si>
  <si>
    <t>Ant. Comp Nación</t>
  </si>
  <si>
    <t>Prolongación de Jornada</t>
  </si>
  <si>
    <t>Función diferencial docente</t>
  </si>
  <si>
    <t>Varios</t>
  </si>
  <si>
    <t>Total Asignaciones Familiares</t>
  </si>
  <si>
    <t>Anticipo FONID</t>
  </si>
  <si>
    <t>Sueldo líquido provincia</t>
  </si>
  <si>
    <t>Adicional para mínimo</t>
  </si>
  <si>
    <t>FONID 2006</t>
  </si>
  <si>
    <t>Años de antigüedad</t>
  </si>
  <si>
    <t>CONCEPTO</t>
  </si>
  <si>
    <t>HABERES</t>
  </si>
  <si>
    <t>DESCUENTOS</t>
  </si>
  <si>
    <t xml:space="preserve"> Ley 4035</t>
  </si>
  <si>
    <t>Seg vida</t>
  </si>
  <si>
    <t>Ob social</t>
  </si>
  <si>
    <t xml:space="preserve"> Ap jubilat</t>
  </si>
  <si>
    <t>Puntos de jornada completa</t>
  </si>
  <si>
    <t>Adic. Art. 2 y 3 Dcrto. 5863/05</t>
  </si>
  <si>
    <t>Product. Dcrto. 5863/05</t>
  </si>
  <si>
    <t>Plus productividad docente</t>
  </si>
  <si>
    <t>004</t>
  </si>
  <si>
    <t>Horas cátedra</t>
  </si>
  <si>
    <t>Productiv Dcrto. 5863/05</t>
  </si>
  <si>
    <t>Ant comp Nación</t>
  </si>
  <si>
    <t>440</t>
  </si>
  <si>
    <t>Reajuste cod 188</t>
  </si>
  <si>
    <t>Obra social</t>
  </si>
  <si>
    <t>Ley 4035</t>
  </si>
  <si>
    <t>Ap jubilatorio</t>
  </si>
  <si>
    <t>Otros</t>
  </si>
  <si>
    <t>Escala de antigüedades</t>
  </si>
  <si>
    <t>Años</t>
  </si>
  <si>
    <t>Porcentaje</t>
  </si>
  <si>
    <t>Años de Antigüedad</t>
  </si>
  <si>
    <t>NOMBRE del cargo</t>
  </si>
  <si>
    <t>Buscar en la hoja cargos si no saben el número del cargo y luego controlar por el nombre</t>
  </si>
  <si>
    <t>Listado de Cargos</t>
  </si>
  <si>
    <t>PORCENT</t>
  </si>
  <si>
    <t>CODIGO</t>
  </si>
  <si>
    <t>Volver al simulador</t>
  </si>
  <si>
    <r>
      <t xml:space="preserve">Bonific Ubic Escuela </t>
    </r>
    <r>
      <rPr>
        <b/>
        <sz val="10"/>
        <rFont val="Arial"/>
        <family val="2"/>
      </rPr>
      <t>(ZONA)</t>
    </r>
  </si>
  <si>
    <t>1170&lt;pi&lt;1400</t>
  </si>
  <si>
    <t>1401&lt;pi&lt;1942</t>
  </si>
  <si>
    <t>pi&gt;2220</t>
  </si>
  <si>
    <t>1943&lt;pi&lt;=2220</t>
  </si>
  <si>
    <t>victorhutt@victorhutt.com.ar</t>
  </si>
  <si>
    <t>Por los topes de algunos códigos</t>
  </si>
  <si>
    <t>Nº horas que cobran código 06</t>
  </si>
  <si>
    <t>Nº horas que cobran incentivo</t>
  </si>
  <si>
    <t>Nº horas que cobran código 113</t>
  </si>
  <si>
    <t>hasta 971</t>
  </si>
  <si>
    <t>972&lt;pi&lt;= 1169</t>
  </si>
  <si>
    <t>pijc&gt;=620    971</t>
  </si>
  <si>
    <t>JC &gt; 971</t>
  </si>
  <si>
    <t>JC defint</t>
  </si>
  <si>
    <t>Final</t>
  </si>
  <si>
    <t>Puntos Comp basico</t>
  </si>
  <si>
    <t>Complemento de Básico</t>
  </si>
  <si>
    <t>Comp Básico</t>
  </si>
  <si>
    <t>Autor</t>
  </si>
  <si>
    <t>002</t>
  </si>
  <si>
    <t>Aumento de Bolsillo</t>
  </si>
  <si>
    <t>Aumento porcentual</t>
  </si>
  <si>
    <t>completar el cargo a la izquierda y buscar el resultado a la derecha</t>
  </si>
  <si>
    <t>Adicional directivos</t>
  </si>
  <si>
    <t>REGENTE 1ERA. CAT. C.E.F.</t>
  </si>
  <si>
    <t>VICEDIRECTOR 1ERA. CAT. C.E.F.</t>
  </si>
  <si>
    <t>Complemento directivo</t>
  </si>
  <si>
    <t>Comp Direct</t>
  </si>
  <si>
    <t>nuevo</t>
  </si>
  <si>
    <t>Total remunerativos</t>
  </si>
  <si>
    <t>Solo completar los datos en rojo</t>
  </si>
  <si>
    <t>Salario cargo desde Marzo de 2011</t>
  </si>
  <si>
    <t>porcentaje Antig</t>
  </si>
  <si>
    <t>Salario horas media desde Marzo de 2011</t>
  </si>
  <si>
    <t>Salario horas superior desde Marzo de 2011</t>
  </si>
  <si>
    <t>Adic</t>
  </si>
  <si>
    <t>Nina</t>
  </si>
  <si>
    <t>repito cargo</t>
  </si>
  <si>
    <t>Si: 1; No: 0</t>
  </si>
  <si>
    <t>Adic Esc Nina</t>
  </si>
  <si>
    <t>029</t>
  </si>
  <si>
    <t>Compensación por traslado</t>
  </si>
  <si>
    <t xml:space="preserve">Transporte: cant km semanales </t>
  </si>
  <si>
    <t>viejo Comp basico</t>
  </si>
  <si>
    <t>Modificadores diálogo 2013</t>
  </si>
  <si>
    <t>Porc aumento prol Jornada</t>
  </si>
  <si>
    <t>Nuevo Índice</t>
  </si>
  <si>
    <t>Nuevo Prol Jorn</t>
  </si>
  <si>
    <t>% de aum  código 06</t>
  </si>
  <si>
    <t>Multiplicador</t>
  </si>
  <si>
    <t>Aumento cargo testigo</t>
  </si>
  <si>
    <t>Porc aumento índice</t>
  </si>
  <si>
    <t>Nuevo sueldo testigo (maestro, 0% antig)</t>
  </si>
  <si>
    <t>Auminddic</t>
  </si>
  <si>
    <t>aumjorcompdic</t>
  </si>
  <si>
    <t>aum cod 06 dic</t>
  </si>
  <si>
    <t>Puntos Comp basico 2013</t>
  </si>
  <si>
    <t>superv</t>
  </si>
  <si>
    <t>direct 1</t>
  </si>
  <si>
    <t>direct 2</t>
  </si>
  <si>
    <t>direct 3</t>
  </si>
  <si>
    <t>direct 4</t>
  </si>
  <si>
    <t>vicedir 1</t>
  </si>
  <si>
    <t>vicedir 2</t>
  </si>
  <si>
    <t>sec 1</t>
  </si>
  <si>
    <t>sec 2</t>
  </si>
  <si>
    <t>sec 3</t>
  </si>
  <si>
    <t>Director Dpto. Aplicación 1ra Cat.</t>
  </si>
  <si>
    <t>Director Jardín de Infantes</t>
  </si>
  <si>
    <t>Vicedirector Nivel Inicial 1ra Categoría</t>
  </si>
  <si>
    <t>Vicedirector Dpto Aplicación 1ra CAT</t>
  </si>
  <si>
    <t>Vicedirector DPTO. Aplicación 2da CAT</t>
  </si>
  <si>
    <t>Secretario Esc. Nivel Inicial 1ra CAT</t>
  </si>
  <si>
    <t>Secretario 3ra. CAT Educ. Jóvenes y Adultos</t>
  </si>
  <si>
    <t>Para conocer el código del cargo hacer clic en la hoja cargos</t>
  </si>
  <si>
    <t>005</t>
  </si>
  <si>
    <t>Adicional Nina</t>
  </si>
  <si>
    <t>Adic dir 2013</t>
  </si>
  <si>
    <t>adic dir 2014</t>
  </si>
  <si>
    <t>MAESTRO JARDÍN MATERNAL JORNADA EXTENDIDA</t>
  </si>
  <si>
    <t>puntos comp bas 2014</t>
  </si>
  <si>
    <t>03 o 08</t>
  </si>
  <si>
    <t>Adicional horas media</t>
  </si>
  <si>
    <t>018</t>
  </si>
  <si>
    <t>JEFE DE DEPARTAMENTO TÉCNICO Y SUPERVISIÓN</t>
  </si>
  <si>
    <t>SUPERVISOR EDUCACIÓN ARTÍSTICA</t>
  </si>
  <si>
    <t>SUPERVISOR ESCOLAR DE ZONA</t>
  </si>
  <si>
    <t xml:space="preserve"> SUPERVISOR ESCOLAR EDUC. TECNOLÓGICA</t>
  </si>
  <si>
    <t>SUPERVISOR DE ENSEÑANZA ESPECIAL</t>
  </si>
  <si>
    <t>SUPERVISOR DE ENSEÑANZA PRIMARIA</t>
  </si>
  <si>
    <t>SUPERVISOR DE ENSEÑANZA INICIAL</t>
  </si>
  <si>
    <t>SUPERVISOR DE ENSEÑANZA NIVEL SUPERIOR</t>
  </si>
  <si>
    <t>SUPERVISOR DE ENSEÑANZA SECUNDARIA</t>
  </si>
  <si>
    <t>DIRECTOR NIVEL INICIAL 1ERA CON PROLONGACIÓN</t>
  </si>
  <si>
    <t>DIRECTOR NIVEL INICIAL 2DA CON PROLONGACIÓN</t>
  </si>
  <si>
    <t>Director Dpto. Aplicación 2DA Cat.</t>
  </si>
  <si>
    <t xml:space="preserve"> DIRECTOR DEL S.A.I.E.</t>
  </si>
  <si>
    <t>VICEDIRECTOR NIVEL INICIAL 1ERA CON PROLONGACIÓN</t>
  </si>
  <si>
    <t xml:space="preserve"> VICEDIRECTOR ESCUELA ESPECIAL JORNADA COMPLETA</t>
  </si>
  <si>
    <t xml:space="preserve"> DIRECTOR ESCUELA ESPECIAL JORNADA COMPLETA</t>
  </si>
  <si>
    <t xml:space="preserve"> DIRECTOR ESC NIVIEL INICIAL 1RA CATEGORÍA</t>
  </si>
  <si>
    <t xml:space="preserve"> VICEDIRECTOR ESC. CAP TECNICA 1ERA CATEGORIA</t>
  </si>
  <si>
    <t xml:space="preserve"> VICERECTOR ESC DE 3RA CATEGORÍA</t>
  </si>
  <si>
    <t>VICEDIRECTOR ESC N INICIAL 2DA CATEG</t>
  </si>
  <si>
    <t>SECRETARIO ESC DE 3RA CATEGORÍA</t>
  </si>
  <si>
    <t>SECRETARIA DE ESC DE 2DA CATEGORÍA JORN COMP</t>
  </si>
  <si>
    <t>SECRETARIO ESC NIV INICIAL 1RA CATEG</t>
  </si>
  <si>
    <t>SECRETARIO ESC NIV INICIAL 2DA CATEG</t>
  </si>
  <si>
    <t>SECRETARIO ESC NIV INICIAL 3RA CATEG</t>
  </si>
  <si>
    <t>RECTOR INSTITUTO SUPERIOR</t>
  </si>
  <si>
    <t>SECRETARIO INSTITUTO SUPERIOR</t>
  </si>
  <si>
    <t>SECRETARIO ACADÉMICO</t>
  </si>
  <si>
    <t xml:space="preserve"> JEFE DE UNS Y PRODUCCIÓN 2DA CAT.</t>
  </si>
  <si>
    <t xml:space="preserve"> JEFE DE UNS Y PRODUCCIÓN 3ERA CAT. </t>
  </si>
  <si>
    <t xml:space="preserve"> JEFE DE UNS Y PRODUCCIÓN 1ERA CAT.</t>
  </si>
  <si>
    <t>TOT 1 Y 2</t>
  </si>
  <si>
    <t>puntos comp bas 2015</t>
  </si>
  <si>
    <t>Combas2015</t>
  </si>
  <si>
    <t>Comp Directivos</t>
  </si>
  <si>
    <t>Aporte sindical AGMER</t>
  </si>
  <si>
    <t>Comp Dir 2016</t>
  </si>
  <si>
    <t>adic dir 2016</t>
  </si>
  <si>
    <t>puntos comp bas 2016</t>
  </si>
  <si>
    <t>Facebook: agmeruruguay</t>
  </si>
  <si>
    <t>¿Sos directivo de escuela Nina?</t>
  </si>
  <si>
    <t xml:space="preserve"> MAESTRO ESPECIAL DEPARTAMENTO APLICACIÓN</t>
  </si>
  <si>
    <t>044</t>
  </si>
  <si>
    <t>Material didáctico</t>
  </si>
  <si>
    <t>Por favor avisar si encuentran errores</t>
  </si>
  <si>
    <t>Monto Remunerativo</t>
  </si>
  <si>
    <t>Acumulado marzo sept</t>
  </si>
  <si>
    <t>Medio Aguinaldo</t>
  </si>
  <si>
    <t>código 100</t>
  </si>
  <si>
    <r>
      <t>código 186 (</t>
    </r>
    <r>
      <rPr>
        <sz val="10"/>
        <rFont val="Arial"/>
        <family val="2"/>
      </rPr>
      <t>No remun)</t>
    </r>
  </si>
  <si>
    <t>Descuentos con aguinaldo</t>
  </si>
  <si>
    <t>Sueldo líquido incluyendo aguinaldo</t>
  </si>
  <si>
    <t>Aguinaldo de bolsillo</t>
  </si>
  <si>
    <t>Líquido</t>
  </si>
  <si>
    <t>1: Si; 0: No</t>
  </si>
  <si>
    <t>Adicional horas media (1: Si; 0: No)</t>
  </si>
  <si>
    <t>indicedic18</t>
  </si>
  <si>
    <t>indiceproljordic18</t>
  </si>
  <si>
    <t>Cod 117</t>
  </si>
  <si>
    <t>Diciembre 18</t>
  </si>
  <si>
    <t>Respecto a febrero</t>
  </si>
  <si>
    <t>indicemar19</t>
  </si>
  <si>
    <t>indiceproljormar19</t>
  </si>
  <si>
    <t>indicemay19</t>
  </si>
  <si>
    <t>indiceproljormay19</t>
  </si>
  <si>
    <t>Marzo 19</t>
  </si>
  <si>
    <t>Mayo 19</t>
  </si>
  <si>
    <t>Simulador Salario docente Entre Ríos</t>
  </si>
  <si>
    <t xml:space="preserve"> RECTOR 3era Cat. Escuela Secundaria Jóvenes y Adultos</t>
  </si>
  <si>
    <t xml:space="preserve"> Secretario 3era Cat. Escuela Secundaria Jóvenes y Adultos</t>
  </si>
  <si>
    <t>Supervisor Zonal Educación Secundaria Jóvenes y Adultos</t>
  </si>
  <si>
    <t>Director Esc Nocturna de J. y Ad. En contexto de Priv de libertad</t>
  </si>
  <si>
    <t>Secretario Unidad Educación Nivel Inicial 1era Cat.</t>
  </si>
  <si>
    <t>Secretario Unidad Educación Nivel Inicial 1era Cat. Con P. Jorn</t>
  </si>
  <si>
    <t>Secretario Unidad Educación Nivel Inicial 2da. Cat.</t>
  </si>
  <si>
    <t>Secretario Unidad Educación Nivel Inicial 2da. Cat. Con P. Jorn</t>
  </si>
  <si>
    <t>Secretario Unidad Educación Nivel Inicial 3era Cat.</t>
  </si>
  <si>
    <t>Julio 19</t>
  </si>
  <si>
    <t>indicejul19</t>
  </si>
  <si>
    <t>indiceproljorjul19</t>
  </si>
  <si>
    <t>Octubre 2019</t>
  </si>
  <si>
    <t>indiceoct19</t>
  </si>
  <si>
    <t>indiceproljoroct19</t>
  </si>
  <si>
    <t>cod06hsdic18</t>
  </si>
  <si>
    <t>cod18dic18</t>
  </si>
  <si>
    <t>Fonidsecdic18</t>
  </si>
  <si>
    <t>fonidsupdic18</t>
  </si>
  <si>
    <t>cod44secdic18</t>
  </si>
  <si>
    <t>cod44supdic18</t>
  </si>
  <si>
    <t>cod117hsdic18</t>
  </si>
  <si>
    <t>Aum Acum anual</t>
  </si>
  <si>
    <t>Aum Acum anual Porc</t>
  </si>
  <si>
    <t>Enero 2020</t>
  </si>
  <si>
    <t>indiceene20</t>
  </si>
  <si>
    <t>indiceproljorene20</t>
  </si>
  <si>
    <r>
      <rPr>
        <b/>
        <sz val="11"/>
        <color indexed="10"/>
        <rFont val="Arial"/>
        <family val="2"/>
      </rPr>
      <t>Dic 18, mar 19 y may 19,</t>
    </r>
    <r>
      <rPr>
        <b/>
        <sz val="11"/>
        <color indexed="10"/>
        <rFont val="Arial"/>
        <family val="2"/>
      </rPr>
      <t xml:space="preserve"> Jul 19, Oct 19, </t>
    </r>
    <r>
      <rPr>
        <b/>
        <sz val="14"/>
        <color indexed="10"/>
        <rFont val="Arial"/>
        <family val="2"/>
      </rPr>
      <t>Enero 20</t>
    </r>
  </si>
  <si>
    <t>Simulaciones de Enero 2020 estimadas por actualización, sin confirmación por decreto</t>
  </si>
  <si>
    <t>Aumento Ene 20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</si>
</sst>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.00000000000%"/>
    <numFmt numFmtId="190" formatCode="0.000000000000%"/>
    <numFmt numFmtId="191" formatCode="0.0000000000000%"/>
    <numFmt numFmtId="192" formatCode="0.00000000000000%"/>
    <numFmt numFmtId="193" formatCode="0.000000000000000%"/>
    <numFmt numFmtId="194" formatCode="0.0000000000000000%"/>
    <numFmt numFmtId="195" formatCode="0.00000000000000000%"/>
    <numFmt numFmtId="196" formatCode="0.000000000000000000%"/>
    <numFmt numFmtId="197" formatCode="0.000"/>
    <numFmt numFmtId="198" formatCode="0.0000"/>
    <numFmt numFmtId="199" formatCode="0.0000000000000000000%"/>
    <numFmt numFmtId="200" formatCode="0.00000000000000000000%"/>
    <numFmt numFmtId="201" formatCode="0.000000000000000000000%"/>
    <numFmt numFmtId="202" formatCode="0.0000000000000000000000%"/>
    <numFmt numFmtId="203" formatCode="_ &quot;$&quot;\ * #,##0.0_ ;_ &quot;$&quot;\ * \-#,##0.0_ ;_ &quot;$&quot;\ * &quot;-&quot;??_ ;_ @_ 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0.0000000"/>
    <numFmt numFmtId="209" formatCode="0.000000"/>
    <numFmt numFmtId="210" formatCode="0.00000"/>
    <numFmt numFmtId="211" formatCode="_ &quot;$&quot;\ * #,##0_ ;_ &quot;$&quot;\ * \-#,##0_ ;_ &quot;$&quot;\ * &quot;-&quot;??_ ;_ @_ "/>
    <numFmt numFmtId="212" formatCode="0.00000000"/>
    <numFmt numFmtId="213" formatCode="&quot;$&quot;#,##0.00;\-&quot;$&quot;#,##0.00"/>
    <numFmt numFmtId="214" formatCode="0.000000000"/>
    <numFmt numFmtId="215" formatCode="#,##0.00\ &quot;€&quot;"/>
    <numFmt numFmtId="216" formatCode="[$€-2]\ #,##0.00_);[Red]\([$€-2]\ #,##0.00\)"/>
    <numFmt numFmtId="217" formatCode="&quot;$&quot;\ #,##0.00"/>
    <numFmt numFmtId="218" formatCode="_ &quot;$&quot;\ * #,##0.000_ ;_ &quot;$&quot;\ * \-#,##0.000_ ;_ &quot;$&quot;\ * &quot;-&quot;??_ ;_ @_ "/>
    <numFmt numFmtId="219" formatCode="_ &quot;$&quot;\ * #,##0.0000_ ;_ &quot;$&quot;\ * \-#,##0.0000_ ;_ &quot;$&quot;\ * &quot;-&quot;??_ ;_ @_ "/>
    <numFmt numFmtId="220" formatCode="_ &quot;$&quot;\ * #,##0.00000_ ;_ &quot;$&quot;\ * \-#,##0.00000_ ;_ &quot;$&quot;\ * &quot;-&quot;??_ ;_ @_ "/>
    <numFmt numFmtId="221" formatCode="_ &quot;$&quot;\ * #,##0.000000_ ;_ &quot;$&quot;\ * \-#,##0.000000_ ;_ &quot;$&quot;\ * &quot;-&quot;??_ ;_ @_ "/>
    <numFmt numFmtId="222" formatCode="0.0000000000"/>
  </numFmts>
  <fonts count="18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u val="single"/>
      <sz val="12"/>
      <color indexed="18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u val="single"/>
      <sz val="16"/>
      <color indexed="18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8"/>
      <name val="Tahoma"/>
      <family val="2"/>
    </font>
    <font>
      <b/>
      <sz val="16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57"/>
      <name val="Arial"/>
      <family val="2"/>
    </font>
    <font>
      <b/>
      <u val="single"/>
      <sz val="14"/>
      <name val="Arial"/>
      <family val="2"/>
    </font>
    <font>
      <sz val="12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u val="single"/>
      <sz val="11"/>
      <color indexed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sz val="10"/>
      <color indexed="23"/>
      <name val="Arial"/>
      <family val="2"/>
    </font>
    <font>
      <b/>
      <sz val="14"/>
      <color indexed="12"/>
      <name val="Arial"/>
      <family val="2"/>
    </font>
    <font>
      <b/>
      <i/>
      <u val="single"/>
      <sz val="20"/>
      <color indexed="18"/>
      <name val="Monotype Corsiva"/>
      <family val="4"/>
    </font>
    <font>
      <b/>
      <sz val="12"/>
      <color indexed="20"/>
      <name val="Arial"/>
      <family val="2"/>
    </font>
    <font>
      <u val="single"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3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sz val="12"/>
      <color indexed="9"/>
      <name val="Arial"/>
      <family val="2"/>
    </font>
    <font>
      <b/>
      <i/>
      <u val="single"/>
      <sz val="12"/>
      <color indexed="9"/>
      <name val="Monotype Corsiva"/>
      <family val="4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sz val="18"/>
      <color indexed="10"/>
      <name val="Arial"/>
      <family val="2"/>
    </font>
    <font>
      <sz val="10"/>
      <name val="Tahoma"/>
      <family val="2"/>
    </font>
    <font>
      <sz val="26"/>
      <name val="Arial"/>
      <family val="2"/>
    </font>
    <font>
      <b/>
      <u val="single"/>
      <sz val="18"/>
      <name val="Arial"/>
      <family val="2"/>
    </font>
    <font>
      <b/>
      <sz val="14"/>
      <color indexed="16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6"/>
      <name val="Arial"/>
      <family val="2"/>
    </font>
    <font>
      <b/>
      <u val="single"/>
      <sz val="16"/>
      <color indexed="16"/>
      <name val="Arial"/>
      <family val="2"/>
    </font>
    <font>
      <b/>
      <sz val="18"/>
      <name val="Arial"/>
      <family val="2"/>
    </font>
    <font>
      <b/>
      <i/>
      <u val="single"/>
      <sz val="12"/>
      <color indexed="18"/>
      <name val="Monotype Corsiva"/>
      <family val="4"/>
    </font>
    <font>
      <sz val="16"/>
      <name val="Arial"/>
      <family val="2"/>
    </font>
    <font>
      <sz val="20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56"/>
      <name val="Arial"/>
      <family val="2"/>
    </font>
    <font>
      <b/>
      <sz val="28"/>
      <color indexed="56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56"/>
      <name val="Arial"/>
      <family val="2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sz val="24"/>
      <color indexed="10"/>
      <name val="Arial"/>
      <family val="2"/>
    </font>
    <font>
      <b/>
      <u val="single"/>
      <sz val="20"/>
      <color indexed="10"/>
      <name val="Arial"/>
      <family val="2"/>
    </font>
    <font>
      <sz val="10"/>
      <color indexed="50"/>
      <name val="Arial"/>
      <family val="2"/>
    </font>
    <font>
      <b/>
      <sz val="22"/>
      <color indexed="56"/>
      <name val="Arial"/>
      <family val="2"/>
    </font>
    <font>
      <sz val="10"/>
      <color indexed="8"/>
      <name val="Calibri"/>
      <family val="2"/>
    </font>
    <font>
      <b/>
      <sz val="18"/>
      <color indexed="56"/>
      <name val="Arial"/>
      <family val="2"/>
    </font>
    <font>
      <b/>
      <sz val="18"/>
      <color indexed="63"/>
      <name val="Arial"/>
      <family val="2"/>
    </font>
    <font>
      <b/>
      <sz val="16"/>
      <color indexed="8"/>
      <name val="Arial"/>
      <family val="2"/>
    </font>
    <font>
      <sz val="11"/>
      <color indexed="10"/>
      <name val="Arial"/>
      <family val="2"/>
    </font>
    <font>
      <sz val="10"/>
      <color indexed="56"/>
      <name val="Arial"/>
      <family val="2"/>
    </font>
    <font>
      <sz val="9"/>
      <color indexed="8"/>
      <name val="Arial"/>
      <family val="2"/>
    </font>
    <font>
      <b/>
      <sz val="16"/>
      <color indexed="56"/>
      <name val="Arial"/>
      <family val="2"/>
    </font>
    <font>
      <b/>
      <sz val="16"/>
      <color indexed="11"/>
      <name val="Arial"/>
      <family val="2"/>
    </font>
    <font>
      <b/>
      <sz val="20"/>
      <color indexed="11"/>
      <name val="Arial"/>
      <family val="2"/>
    </font>
    <font>
      <b/>
      <sz val="2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  <font>
      <b/>
      <sz val="12"/>
      <color theme="3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12"/>
      <color theme="3" tint="-0.4999699890613556"/>
      <name val="Arial"/>
      <family val="2"/>
    </font>
    <font>
      <sz val="18"/>
      <color rgb="FFFF0000"/>
      <name val="Arial"/>
      <family val="2"/>
    </font>
    <font>
      <b/>
      <sz val="28"/>
      <color theme="3" tint="-0.4999699890613556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11"/>
      <color theme="3" tint="-0.4999699890613556"/>
      <name val="Arial"/>
      <family val="2"/>
    </font>
    <font>
      <sz val="8"/>
      <color theme="1"/>
      <name val="Arial"/>
      <family val="2"/>
    </font>
    <font>
      <b/>
      <sz val="10"/>
      <color theme="3" tint="-0.24997000396251678"/>
      <name val="Arial"/>
      <family val="2"/>
    </font>
    <font>
      <sz val="24"/>
      <color rgb="FFFF0000"/>
      <name val="Arial"/>
      <family val="2"/>
    </font>
    <font>
      <b/>
      <u val="single"/>
      <sz val="20"/>
      <color rgb="FFFF0000"/>
      <name val="Arial"/>
      <family val="2"/>
    </font>
    <font>
      <b/>
      <sz val="12"/>
      <color rgb="FF990000"/>
      <name val="Arial"/>
      <family val="2"/>
    </font>
    <font>
      <sz val="10"/>
      <color rgb="FF92D05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22"/>
      <color theme="3" tint="-0.4999699890613556"/>
      <name val="Arial"/>
      <family val="2"/>
    </font>
    <font>
      <sz val="10"/>
      <color theme="1"/>
      <name val="Calibri"/>
      <family val="2"/>
    </font>
    <font>
      <b/>
      <sz val="18"/>
      <color theme="3" tint="-0.4999699890613556"/>
      <name val="Arial"/>
      <family val="2"/>
    </font>
    <font>
      <b/>
      <sz val="18"/>
      <color theme="1" tint="0.34999001026153564"/>
      <name val="Arial"/>
      <family val="2"/>
    </font>
    <font>
      <b/>
      <sz val="14"/>
      <color theme="1"/>
      <name val="Arial"/>
      <family val="2"/>
    </font>
    <font>
      <b/>
      <sz val="10"/>
      <color rgb="FFFF3300"/>
      <name val="Arial"/>
      <family val="2"/>
    </font>
    <font>
      <b/>
      <sz val="16"/>
      <color theme="1"/>
      <name val="Arial"/>
      <family val="2"/>
    </font>
    <font>
      <sz val="11"/>
      <color rgb="FFFF0000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sz val="10"/>
      <color theme="1"/>
      <name val="Arial"/>
      <family val="2"/>
    </font>
    <font>
      <b/>
      <sz val="12"/>
      <color rgb="FFFF3300"/>
      <name val="Arial"/>
      <family val="2"/>
    </font>
    <font>
      <sz val="9"/>
      <color theme="1"/>
      <name val="Arial"/>
      <family val="2"/>
    </font>
    <font>
      <b/>
      <sz val="16"/>
      <color theme="3" tint="-0.4999699890613556"/>
      <name val="Arial"/>
      <family val="2"/>
    </font>
    <font>
      <b/>
      <sz val="16"/>
      <color rgb="FF00FF00"/>
      <name val="Arial"/>
      <family val="2"/>
    </font>
    <font>
      <b/>
      <sz val="20"/>
      <color rgb="FF00FF00"/>
      <name val="Arial"/>
      <family val="2"/>
    </font>
    <font>
      <b/>
      <sz val="20"/>
      <color rgb="FF00B050"/>
      <name val="Arial"/>
      <family val="2"/>
    </font>
    <font>
      <b/>
      <sz val="16"/>
      <color rgb="FF0000CC"/>
      <name val="Arial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6699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 style="medium">
        <color theme="9" tint="-0.24993999302387238"/>
      </bottom>
    </border>
    <border>
      <left>
        <color indexed="63"/>
      </left>
      <right style="double">
        <color theme="9" tint="-0.24993999302387238"/>
      </right>
      <top>
        <color indexed="63"/>
      </top>
      <bottom style="double">
        <color theme="9" tint="-0.24993999302387238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9" tint="-0.24993999302387238"/>
      </bottom>
    </border>
    <border>
      <left>
        <color indexed="63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double">
        <color theme="9" tint="-0.24993999302387238"/>
      </left>
      <right>
        <color indexed="63"/>
      </right>
      <top style="double">
        <color theme="9" tint="-0.24993999302387238"/>
      </top>
      <bottom>
        <color indexed="63"/>
      </bottom>
    </border>
    <border>
      <left>
        <color indexed="63"/>
      </left>
      <right>
        <color indexed="63"/>
      </right>
      <top style="double">
        <color theme="9" tint="-0.24993999302387238"/>
      </top>
      <bottom>
        <color indexed="63"/>
      </bottom>
    </border>
    <border>
      <left>
        <color indexed="63"/>
      </left>
      <right style="double">
        <color theme="9" tint="-0.24993999302387238"/>
      </right>
      <top style="double">
        <color theme="9" tint="-0.24993999302387238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double">
        <color theme="9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9" tint="-0.24993999302387238"/>
      </right>
      <top>
        <color indexed="63"/>
      </top>
      <bottom>
        <color indexed="63"/>
      </bottom>
    </border>
    <border>
      <left style="double">
        <color theme="9" tint="-0.24993999302387238"/>
      </left>
      <right>
        <color indexed="63"/>
      </right>
      <top style="thin"/>
      <bottom style="double">
        <color theme="9" tint="-0.24993999302387238"/>
      </bottom>
    </border>
    <border>
      <left>
        <color indexed="63"/>
      </left>
      <right style="thin"/>
      <top style="thin"/>
      <bottom style="double">
        <color theme="9" tint="-0.24993999302387238"/>
      </bottom>
    </border>
    <border>
      <left style="double">
        <color rgb="FF00B050"/>
      </left>
      <right>
        <color indexed="63"/>
      </right>
      <top style="double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ck">
        <color theme="9" tint="-0.24993999302387238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9" tint="-0.24993999302387238"/>
      </left>
      <right>
        <color indexed="63"/>
      </right>
      <top style="medium">
        <color theme="9" tint="-0.24993999302387238"/>
      </top>
      <bottom style="medium">
        <color theme="9" tint="-0.24993999302387238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thin"/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thin"/>
      <top>
        <color indexed="63"/>
      </top>
      <bottom style="medium">
        <color indexed="11"/>
      </bottom>
    </border>
    <border>
      <left style="thin"/>
      <right style="thick">
        <color rgb="FF002060"/>
      </right>
      <top style="thin"/>
      <bottom style="thin"/>
    </border>
    <border>
      <left style="thin"/>
      <right style="thick">
        <color rgb="FF002060"/>
      </right>
      <top style="thin"/>
      <bottom>
        <color indexed="63"/>
      </bottom>
    </border>
    <border>
      <left>
        <color indexed="63"/>
      </left>
      <right style="thick">
        <color rgb="FF002060"/>
      </right>
      <top style="medium"/>
      <bottom style="medium"/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 style="medium">
        <color indexed="10"/>
      </left>
      <right style="thick">
        <color rgb="FF002060"/>
      </right>
      <top style="medium">
        <color indexed="10"/>
      </top>
      <bottom style="medium">
        <color indexed="10"/>
      </bottom>
    </border>
    <border>
      <left>
        <color indexed="63"/>
      </left>
      <right style="thick">
        <color rgb="FF002060"/>
      </right>
      <top>
        <color indexed="63"/>
      </top>
      <bottom style="medium"/>
    </border>
    <border>
      <left style="thin"/>
      <right style="thick">
        <color rgb="FF002060"/>
      </right>
      <top style="medium"/>
      <bottom style="medium"/>
    </border>
    <border>
      <left style="medium">
        <color indexed="10"/>
      </left>
      <right style="thick">
        <color rgb="FF002060"/>
      </right>
      <top style="medium">
        <color indexed="10"/>
      </top>
      <bottom>
        <color indexed="63"/>
      </bottom>
    </border>
    <border>
      <left>
        <color indexed="63"/>
      </left>
      <right style="thick">
        <color rgb="FF002060"/>
      </right>
      <top style="medium"/>
      <bottom>
        <color indexed="63"/>
      </bottom>
    </border>
    <border>
      <left>
        <color indexed="63"/>
      </left>
      <right style="thick">
        <color rgb="FF002060"/>
      </right>
      <top style="medium">
        <color theme="9" tint="-0.24993999302387238"/>
      </top>
      <bottom style="medium">
        <color theme="9" tint="-0.24993999302387238"/>
      </bottom>
    </border>
    <border>
      <left style="thin"/>
      <right style="thick">
        <color rgb="FF002060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 style="medium">
        <color indexed="10"/>
      </top>
      <bottom style="medium"/>
    </border>
    <border>
      <left>
        <color indexed="63"/>
      </left>
      <right style="thick">
        <color rgb="FF002060"/>
      </right>
      <top style="thick">
        <color indexed="1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 style="thick">
        <color indexed="13"/>
      </bottom>
    </border>
    <border>
      <left style="thick">
        <color theme="8" tint="-0.4999699890613556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 style="thick">
        <color theme="8" tint="-0.4999699890613556"/>
      </right>
      <top style="thick">
        <color theme="8" tint="-0.4999699890613556"/>
      </top>
      <bottom>
        <color indexed="63"/>
      </bottom>
    </border>
    <border>
      <left style="thick">
        <color theme="8" tint="-0.4999699890613556"/>
      </left>
      <right>
        <color indexed="63"/>
      </right>
      <top style="medium"/>
      <bottom style="medium"/>
    </border>
    <border>
      <left>
        <color indexed="63"/>
      </left>
      <right style="thick">
        <color theme="8" tint="-0.4999699890613556"/>
      </right>
      <top style="thin"/>
      <bottom style="thin"/>
    </border>
    <border>
      <left style="thick">
        <color theme="8" tint="-0.4999699890613556"/>
      </left>
      <right style="thin"/>
      <top style="medium"/>
      <bottom style="medium"/>
    </border>
    <border>
      <left style="thick">
        <color theme="8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8" tint="-0.4999699890613556"/>
      </right>
      <top>
        <color indexed="63"/>
      </top>
      <bottom>
        <color indexed="63"/>
      </bottom>
    </border>
    <border>
      <left style="medium"/>
      <right style="thick">
        <color theme="8" tint="-0.4999699890613556"/>
      </right>
      <top style="medium"/>
      <bottom style="medium"/>
    </border>
    <border>
      <left style="thick">
        <color theme="8" tint="-0.4999699890613556"/>
      </left>
      <right>
        <color indexed="63"/>
      </right>
      <top style="thin"/>
      <bottom style="thin"/>
    </border>
    <border>
      <left style="thick">
        <color theme="8" tint="-0.4999699890613556"/>
      </left>
      <right>
        <color indexed="63"/>
      </right>
      <top>
        <color indexed="63"/>
      </top>
      <bottom style="thick">
        <color theme="8" tint="-0.4999699890613556"/>
      </bottom>
    </border>
    <border>
      <left>
        <color indexed="63"/>
      </left>
      <right style="thick">
        <color theme="8" tint="-0.4999699890613556"/>
      </right>
      <top style="thin"/>
      <bottom style="thick">
        <color theme="8" tint="-0.4999699890613556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>
        <color rgb="FF002060"/>
      </right>
      <top>
        <color indexed="63"/>
      </top>
      <bottom style="medium">
        <color theme="9" tint="-0.24993999302387238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>
        <color rgb="FF00FF00"/>
      </left>
      <right style="double">
        <color rgb="FF00FF00"/>
      </right>
      <top style="double">
        <color rgb="FF00FF00"/>
      </top>
      <bottom>
        <color indexed="63"/>
      </bottom>
    </border>
    <border>
      <left style="double">
        <color rgb="FF00FF00"/>
      </left>
      <right style="double">
        <color rgb="FF00FF00"/>
      </right>
      <top>
        <color indexed="63"/>
      </top>
      <bottom style="double">
        <color rgb="FF00FF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3" fillId="20" borderId="0" applyNumberFormat="0" applyBorder="0" applyAlignment="0" applyProtection="0"/>
    <xf numFmtId="0" fontId="124" fillId="21" borderId="1" applyNumberFormat="0" applyAlignment="0" applyProtection="0"/>
    <xf numFmtId="0" fontId="125" fillId="22" borderId="2" applyNumberFormat="0" applyAlignment="0" applyProtection="0"/>
    <xf numFmtId="0" fontId="126" fillId="0" borderId="3" applyNumberFormat="0" applyFill="0" applyAlignment="0" applyProtection="0"/>
    <xf numFmtId="0" fontId="127" fillId="0" borderId="4" applyNumberFormat="0" applyFill="0" applyAlignment="0" applyProtection="0"/>
    <xf numFmtId="0" fontId="128" fillId="0" borderId="0" applyNumberFormat="0" applyFill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122" fillId="27" borderId="0" applyNumberFormat="0" applyBorder="0" applyAlignment="0" applyProtection="0"/>
    <xf numFmtId="0" fontId="122" fillId="28" borderId="0" applyNumberFormat="0" applyBorder="0" applyAlignment="0" applyProtection="0"/>
    <xf numFmtId="0" fontId="129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32" fillId="21" borderId="6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7" applyNumberFormat="0" applyFill="0" applyAlignment="0" applyProtection="0"/>
    <xf numFmtId="0" fontId="128" fillId="0" borderId="8" applyNumberFormat="0" applyFill="0" applyAlignment="0" applyProtection="0"/>
    <xf numFmtId="0" fontId="137" fillId="0" borderId="9" applyNumberFormat="0" applyFill="0" applyAlignment="0" applyProtection="0"/>
  </cellStyleXfs>
  <cellXfs count="80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31" fillId="0" borderId="14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1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30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 quotePrefix="1">
      <alignment horizontal="center"/>
      <protection/>
    </xf>
    <xf numFmtId="9" fontId="1" fillId="0" borderId="0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9" fontId="0" fillId="0" borderId="14" xfId="0" applyNumberForma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9" fontId="1" fillId="34" borderId="21" xfId="0" applyNumberFormat="1" applyFont="1" applyFill="1" applyBorder="1" applyAlignment="1" applyProtection="1">
      <alignment/>
      <protection/>
    </xf>
    <xf numFmtId="9" fontId="1" fillId="34" borderId="22" xfId="0" applyNumberFormat="1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9" fontId="1" fillId="34" borderId="24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 horizontal="left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35" borderId="2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9" fontId="7" fillId="0" borderId="0" xfId="55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0" fillId="0" borderId="14" xfId="0" applyFont="1" applyBorder="1" applyAlignment="1" applyProtection="1" quotePrefix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2" fontId="0" fillId="0" borderId="14" xfId="0" applyNumberFormat="1" applyFont="1" applyBorder="1" applyAlignment="1" applyProtection="1" quotePrefix="1">
      <alignment horizontal="center"/>
      <protection/>
    </xf>
    <xf numFmtId="9" fontId="0" fillId="0" borderId="19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 horizontal="left"/>
      <protection/>
    </xf>
    <xf numFmtId="1" fontId="0" fillId="0" borderId="14" xfId="0" applyNumberFormat="1" applyFont="1" applyBorder="1" applyAlignment="1" applyProtection="1" quotePrefix="1">
      <alignment horizontal="center"/>
      <protection/>
    </xf>
    <xf numFmtId="2" fontId="1" fillId="0" borderId="12" xfId="0" applyNumberFormat="1" applyFont="1" applyBorder="1" applyAlignment="1" applyProtection="1">
      <alignment horizontal="left"/>
      <protection/>
    </xf>
    <xf numFmtId="2" fontId="0" fillId="0" borderId="14" xfId="0" applyNumberFormat="1" applyFont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2" fontId="4" fillId="0" borderId="30" xfId="0" applyNumberFormat="1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180" fontId="0" fillId="0" borderId="14" xfId="0" applyNumberFormat="1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180" fontId="0" fillId="0" borderId="14" xfId="0" applyNumberForma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0" fillId="0" borderId="14" xfId="0" applyBorder="1" applyAlignment="1" applyProtection="1" quotePrefix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4" xfId="0" applyFill="1" applyBorder="1" applyAlignment="1" applyProtection="1" quotePrefix="1">
      <alignment horizontal="right"/>
      <protection/>
    </xf>
    <xf numFmtId="0" fontId="0" fillId="0" borderId="14" xfId="0" applyFont="1" applyBorder="1" applyAlignment="1" applyProtection="1" quotePrefix="1">
      <alignment horizontal="right"/>
      <protection/>
    </xf>
    <xf numFmtId="0" fontId="1" fillId="0" borderId="12" xfId="0" applyFont="1" applyBorder="1" applyAlignment="1" applyProtection="1">
      <alignment/>
      <protection/>
    </xf>
    <xf numFmtId="2" fontId="0" fillId="0" borderId="14" xfId="0" applyNumberFormat="1" applyFont="1" applyBorder="1" applyAlignment="1" applyProtection="1" quotePrefix="1">
      <alignment horizontal="right"/>
      <protection/>
    </xf>
    <xf numFmtId="0" fontId="1" fillId="0" borderId="14" xfId="0" applyFont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right"/>
      <protection/>
    </xf>
    <xf numFmtId="9" fontId="7" fillId="0" borderId="18" xfId="0" applyNumberFormat="1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1" fillId="0" borderId="33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9" fontId="1" fillId="0" borderId="18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2" fontId="5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20" fillId="0" borderId="12" xfId="0" applyFont="1" applyBorder="1" applyAlignment="1" applyProtection="1">
      <alignment horizontal="left"/>
      <protection/>
    </xf>
    <xf numFmtId="2" fontId="20" fillId="0" borderId="34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 applyProtection="1" quotePrefix="1">
      <alignment horizontal="center"/>
      <protection/>
    </xf>
    <xf numFmtId="49" fontId="31" fillId="0" borderId="13" xfId="0" applyNumberFormat="1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0" fillId="0" borderId="13" xfId="0" applyBorder="1" applyAlignment="1" applyProtection="1" quotePrefix="1">
      <alignment horizontal="right"/>
      <protection/>
    </xf>
    <xf numFmtId="2" fontId="0" fillId="0" borderId="13" xfId="0" applyNumberFormat="1" applyBorder="1" applyAlignment="1" applyProtection="1">
      <alignment horizontal="left"/>
      <protection/>
    </xf>
    <xf numFmtId="0" fontId="1" fillId="35" borderId="36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5" fillId="0" borderId="0" xfId="46" applyBorder="1" applyAlignment="1" applyProtection="1">
      <alignment horizontal="left"/>
      <protection hidden="1"/>
    </xf>
    <xf numFmtId="0" fontId="0" fillId="0" borderId="32" xfId="0" applyBorder="1" applyAlignment="1" applyProtection="1">
      <alignment horizontal="right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2" fontId="7" fillId="0" borderId="31" xfId="0" applyNumberFormat="1" applyFont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/>
      <protection/>
    </xf>
    <xf numFmtId="9" fontId="8" fillId="37" borderId="37" xfId="55" applyFont="1" applyFill="1" applyBorder="1" applyAlignment="1" applyProtection="1">
      <alignment/>
      <protection/>
    </xf>
    <xf numFmtId="9" fontId="8" fillId="37" borderId="38" xfId="55" applyFont="1" applyFill="1" applyBorder="1" applyAlignment="1" applyProtection="1">
      <alignment/>
      <protection/>
    </xf>
    <xf numFmtId="9" fontId="8" fillId="38" borderId="38" xfId="55" applyFont="1" applyFill="1" applyBorder="1" applyAlignment="1" applyProtection="1">
      <alignment/>
      <protection/>
    </xf>
    <xf numFmtId="9" fontId="8" fillId="38" borderId="39" xfId="55" applyFont="1" applyFill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0" fontId="0" fillId="0" borderId="33" xfId="0" applyNumberFormat="1" applyBorder="1" applyAlignment="1" applyProtection="1">
      <alignment/>
      <protection hidden="1"/>
    </xf>
    <xf numFmtId="0" fontId="0" fillId="0" borderId="0" xfId="0" applyNumberFormat="1" applyAlignment="1">
      <alignment/>
    </xf>
    <xf numFmtId="0" fontId="1" fillId="0" borderId="14" xfId="0" applyFont="1" applyFill="1" applyBorder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30" fillId="39" borderId="0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27" fillId="39" borderId="0" xfId="0" applyFont="1" applyFill="1" applyBorder="1" applyAlignment="1" applyProtection="1">
      <alignment/>
      <protection/>
    </xf>
    <xf numFmtId="0" fontId="0" fillId="38" borderId="27" xfId="0" applyFill="1" applyBorder="1" applyAlignment="1" applyProtection="1">
      <alignment horizontal="left" indent="1"/>
      <protection/>
    </xf>
    <xf numFmtId="0" fontId="0" fillId="38" borderId="40" xfId="0" applyFill="1" applyBorder="1" applyAlignment="1" applyProtection="1">
      <alignment horizontal="left" indent="1"/>
      <protection/>
    </xf>
    <xf numFmtId="0" fontId="13" fillId="38" borderId="0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13" fillId="38" borderId="41" xfId="0" applyFont="1" applyFill="1" applyBorder="1" applyAlignment="1" applyProtection="1">
      <alignment/>
      <protection/>
    </xf>
    <xf numFmtId="0" fontId="13" fillId="38" borderId="42" xfId="0" applyFont="1" applyFill="1" applyBorder="1" applyAlignment="1" applyProtection="1">
      <alignment/>
      <protection/>
    </xf>
    <xf numFmtId="0" fontId="0" fillId="38" borderId="42" xfId="0" applyFont="1" applyFill="1" applyBorder="1" applyAlignment="1" applyProtection="1">
      <alignment/>
      <protection/>
    </xf>
    <xf numFmtId="0" fontId="13" fillId="38" borderId="43" xfId="0" applyFont="1" applyFill="1" applyBorder="1" applyAlignment="1" applyProtection="1">
      <alignment/>
      <protection/>
    </xf>
    <xf numFmtId="0" fontId="0" fillId="38" borderId="44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6" fillId="38" borderId="43" xfId="46" applyFont="1" applyFill="1" applyBorder="1" applyAlignment="1" applyProtection="1">
      <alignment/>
      <protection/>
    </xf>
    <xf numFmtId="0" fontId="46" fillId="38" borderId="45" xfId="46" applyFont="1" applyFill="1" applyBorder="1" applyAlignment="1" applyProtection="1">
      <alignment/>
      <protection/>
    </xf>
    <xf numFmtId="0" fontId="24" fillId="0" borderId="0" xfId="46" applyFont="1" applyFill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180" fontId="39" fillId="0" borderId="0" xfId="0" applyNumberFormat="1" applyFont="1" applyFill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38" borderId="4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9" fontId="7" fillId="0" borderId="0" xfId="55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9" fontId="23" fillId="0" borderId="0" xfId="55" applyFont="1" applyFill="1" applyBorder="1" applyAlignment="1" applyProtection="1">
      <alignment/>
      <protection locked="0"/>
    </xf>
    <xf numFmtId="9" fontId="50" fillId="0" borderId="0" xfId="0" applyNumberFormat="1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/>
    </xf>
    <xf numFmtId="198" fontId="23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98" fontId="51" fillId="0" borderId="0" xfId="0" applyNumberFormat="1" applyFont="1" applyFill="1" applyBorder="1" applyAlignment="1" applyProtection="1">
      <alignment/>
      <protection/>
    </xf>
    <xf numFmtId="10" fontId="10" fillId="0" borderId="0" xfId="55" applyNumberFormat="1" applyFont="1" applyFill="1" applyBorder="1" applyAlignment="1" applyProtection="1">
      <alignment horizontal="right"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29" xfId="0" applyNumberFormat="1" applyBorder="1" applyAlignment="1" applyProtection="1">
      <alignment/>
      <protection hidden="1"/>
    </xf>
    <xf numFmtId="0" fontId="0" fillId="0" borderId="50" xfId="0" applyNumberFormat="1" applyBorder="1" applyAlignment="1" applyProtection="1">
      <alignment/>
      <protection hidden="1"/>
    </xf>
    <xf numFmtId="2" fontId="12" fillId="0" borderId="0" xfId="0" applyNumberFormat="1" applyFont="1" applyBorder="1" applyAlignment="1" applyProtection="1">
      <alignment/>
      <protection/>
    </xf>
    <xf numFmtId="0" fontId="30" fillId="0" borderId="26" xfId="0" applyFont="1" applyBorder="1" applyAlignment="1" applyProtection="1">
      <alignment/>
      <protection locked="0"/>
    </xf>
    <xf numFmtId="0" fontId="52" fillId="33" borderId="51" xfId="0" applyFont="1" applyFill="1" applyBorder="1" applyAlignment="1" applyProtection="1">
      <alignment/>
      <protection/>
    </xf>
    <xf numFmtId="0" fontId="52" fillId="33" borderId="52" xfId="0" applyFont="1" applyFill="1" applyBorder="1" applyAlignment="1" applyProtection="1">
      <alignment/>
      <protection locked="0"/>
    </xf>
    <xf numFmtId="0" fontId="52" fillId="33" borderId="52" xfId="0" applyFont="1" applyFill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9" fontId="8" fillId="0" borderId="0" xfId="55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46" applyFont="1" applyFill="1" applyBorder="1" applyAlignment="1" applyProtection="1">
      <alignment/>
      <protection/>
    </xf>
    <xf numFmtId="2" fontId="0" fillId="0" borderId="53" xfId="0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center"/>
      <protection/>
    </xf>
    <xf numFmtId="49" fontId="31" fillId="0" borderId="13" xfId="0" applyNumberFormat="1" applyFont="1" applyFill="1" applyBorder="1" applyAlignment="1" applyProtection="1">
      <alignment horizontal="left"/>
      <protection/>
    </xf>
    <xf numFmtId="2" fontId="0" fillId="0" borderId="53" xfId="0" applyNumberFormat="1" applyFont="1" applyFill="1" applyBorder="1" applyAlignment="1" applyProtection="1">
      <alignment horizontal="right"/>
      <protection/>
    </xf>
    <xf numFmtId="9" fontId="0" fillId="0" borderId="14" xfId="0" applyNumberFormat="1" applyFont="1" applyBorder="1" applyAlignment="1" applyProtection="1">
      <alignment/>
      <protection/>
    </xf>
    <xf numFmtId="2" fontId="55" fillId="0" borderId="12" xfId="0" applyNumberFormat="1" applyFont="1" applyBorder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2" fontId="0" fillId="0" borderId="54" xfId="0" applyNumberFormat="1" applyFont="1" applyFill="1" applyBorder="1" applyAlignment="1" applyProtection="1">
      <alignment horizontal="left"/>
      <protection/>
    </xf>
    <xf numFmtId="2" fontId="1" fillId="0" borderId="30" xfId="0" applyNumberFormat="1" applyFont="1" applyFill="1" applyBorder="1" applyAlignment="1" applyProtection="1">
      <alignment horizontal="left"/>
      <protection/>
    </xf>
    <xf numFmtId="2" fontId="0" fillId="0" borderId="55" xfId="0" applyNumberFormat="1" applyFont="1" applyFill="1" applyBorder="1" applyAlignment="1" applyProtection="1">
      <alignment horizontal="right"/>
      <protection/>
    </xf>
    <xf numFmtId="1" fontId="7" fillId="0" borderId="10" xfId="55" applyNumberFormat="1" applyFont="1" applyBorder="1" applyAlignment="1" applyProtection="1">
      <alignment horizontal="center"/>
      <protection locked="0"/>
    </xf>
    <xf numFmtId="2" fontId="1" fillId="0" borderId="56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 applyProtection="1">
      <alignment horizontal="right"/>
      <protection/>
    </xf>
    <xf numFmtId="0" fontId="0" fillId="0" borderId="29" xfId="0" applyBorder="1" applyAlignment="1" applyProtection="1">
      <alignment/>
      <protection/>
    </xf>
    <xf numFmtId="0" fontId="31" fillId="0" borderId="33" xfId="0" applyFont="1" applyBorder="1" applyAlignment="1" applyProtection="1">
      <alignment/>
      <protection locked="0"/>
    </xf>
    <xf numFmtId="0" fontId="30" fillId="0" borderId="33" xfId="0" applyFont="1" applyBorder="1" applyAlignment="1" applyProtection="1">
      <alignment/>
      <protection/>
    </xf>
    <xf numFmtId="0" fontId="31" fillId="0" borderId="29" xfId="0" applyFont="1" applyBorder="1" applyAlignment="1" applyProtection="1">
      <alignment/>
      <protection/>
    </xf>
    <xf numFmtId="0" fontId="31" fillId="0" borderId="19" xfId="0" applyFont="1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/>
    </xf>
    <xf numFmtId="0" fontId="31" fillId="0" borderId="14" xfId="0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9" fontId="0" fillId="0" borderId="13" xfId="55" applyFont="1" applyBorder="1" applyAlignment="1" applyProtection="1">
      <alignment horizontal="right"/>
      <protection/>
    </xf>
    <xf numFmtId="180" fontId="0" fillId="0" borderId="13" xfId="55" applyNumberFormat="1" applyFont="1" applyBorder="1" applyAlignment="1" applyProtection="1">
      <alignment horizontal="right"/>
      <protection/>
    </xf>
    <xf numFmtId="2" fontId="0" fillId="0" borderId="13" xfId="0" applyNumberFormat="1" applyBorder="1" applyAlignment="1" applyProtection="1">
      <alignment horizontal="right"/>
      <protection/>
    </xf>
    <xf numFmtId="9" fontId="0" fillId="0" borderId="13" xfId="55" applyFont="1" applyBorder="1" applyAlignment="1" applyProtection="1">
      <alignment horizontal="right"/>
      <protection/>
    </xf>
    <xf numFmtId="9" fontId="0" fillId="0" borderId="13" xfId="0" applyNumberFormat="1" applyFont="1" applyBorder="1" applyAlignment="1" applyProtection="1">
      <alignment horizontal="right"/>
      <protection/>
    </xf>
    <xf numFmtId="0" fontId="35" fillId="0" borderId="14" xfId="0" applyFont="1" applyBorder="1" applyAlignment="1" applyProtection="1">
      <alignment/>
      <protection/>
    </xf>
    <xf numFmtId="2" fontId="0" fillId="0" borderId="12" xfId="0" applyNumberFormat="1" applyBorder="1" applyAlignment="1" applyProtection="1">
      <alignment horizontal="right"/>
      <protection/>
    </xf>
    <xf numFmtId="2" fontId="1" fillId="0" borderId="30" xfId="0" applyNumberFormat="1" applyFont="1" applyBorder="1" applyAlignment="1" applyProtection="1">
      <alignment horizontal="right"/>
      <protection/>
    </xf>
    <xf numFmtId="2" fontId="0" fillId="0" borderId="31" xfId="0" applyNumberFormat="1" applyBorder="1" applyAlignment="1" applyProtection="1">
      <alignment horizontal="left"/>
      <protection/>
    </xf>
    <xf numFmtId="2" fontId="1" fillId="0" borderId="30" xfId="0" applyNumberFormat="1" applyFont="1" applyBorder="1" applyAlignment="1" applyProtection="1">
      <alignment horizontal="left"/>
      <protection/>
    </xf>
    <xf numFmtId="0" fontId="30" fillId="0" borderId="30" xfId="0" applyFont="1" applyBorder="1" applyAlignment="1" applyProtection="1">
      <alignment/>
      <protection/>
    </xf>
    <xf numFmtId="9" fontId="0" fillId="0" borderId="0" xfId="55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9" fontId="0" fillId="0" borderId="14" xfId="55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1" fontId="0" fillId="0" borderId="13" xfId="55" applyNumberFormat="1" applyFont="1" applyBorder="1" applyAlignment="1" applyProtection="1">
      <alignment horizontal="right"/>
      <protection/>
    </xf>
    <xf numFmtId="9" fontId="0" fillId="0" borderId="53" xfId="55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13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1" fillId="0" borderId="31" xfId="0" applyFont="1" applyFill="1" applyBorder="1" applyAlignment="1" applyProtection="1">
      <alignment horizontal="right"/>
      <protection/>
    </xf>
    <xf numFmtId="0" fontId="7" fillId="0" borderId="20" xfId="0" applyFont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 horizontal="left"/>
      <protection/>
    </xf>
    <xf numFmtId="2" fontId="19" fillId="0" borderId="58" xfId="0" applyNumberFormat="1" applyFont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/>
    </xf>
    <xf numFmtId="2" fontId="19" fillId="0" borderId="36" xfId="0" applyNumberFormat="1" applyFont="1" applyBorder="1" applyAlignment="1" applyProtection="1">
      <alignment horizontal="left"/>
      <protection/>
    </xf>
    <xf numFmtId="2" fontId="0" fillId="0" borderId="31" xfId="0" applyNumberFormat="1" applyBorder="1" applyAlignment="1" applyProtection="1">
      <alignment horizontal="right"/>
      <protection/>
    </xf>
    <xf numFmtId="2" fontId="0" fillId="0" borderId="34" xfId="0" applyNumberFormat="1" applyBorder="1" applyAlignment="1" applyProtection="1">
      <alignment horizontal="right"/>
      <protection/>
    </xf>
    <xf numFmtId="0" fontId="56" fillId="0" borderId="0" xfId="0" applyFont="1" applyAlignment="1" applyProtection="1">
      <alignment/>
      <protection/>
    </xf>
    <xf numFmtId="0" fontId="35" fillId="0" borderId="14" xfId="0" applyFont="1" applyBorder="1" applyAlignment="1" applyProtection="1">
      <alignment horizontal="center"/>
      <protection locked="0"/>
    </xf>
    <xf numFmtId="9" fontId="35" fillId="0" borderId="14" xfId="55" applyFon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center"/>
      <protection locked="0"/>
    </xf>
    <xf numFmtId="0" fontId="35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7" fillId="0" borderId="59" xfId="0" applyFont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/>
      <protection/>
    </xf>
    <xf numFmtId="0" fontId="38" fillId="0" borderId="14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18" fillId="40" borderId="0" xfId="0" applyFont="1" applyFill="1" applyAlignment="1" applyProtection="1">
      <alignment/>
      <protection/>
    </xf>
    <xf numFmtId="170" fontId="47" fillId="0" borderId="0" xfId="0" applyNumberFormat="1" applyFont="1" applyFill="1" applyBorder="1" applyAlignment="1" applyProtection="1">
      <alignment/>
      <protection/>
    </xf>
    <xf numFmtId="0" fontId="53" fillId="0" borderId="42" xfId="0" applyFont="1" applyFill="1" applyBorder="1" applyAlignment="1" applyProtection="1">
      <alignment/>
      <protection/>
    </xf>
    <xf numFmtId="0" fontId="0" fillId="41" borderId="60" xfId="0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/>
    </xf>
    <xf numFmtId="0" fontId="138" fillId="0" borderId="0" xfId="0" applyFont="1" applyAlignment="1" applyProtection="1">
      <alignment/>
      <protection locked="0"/>
    </xf>
    <xf numFmtId="0" fontId="139" fillId="0" borderId="20" xfId="0" applyFont="1" applyBorder="1" applyAlignment="1" applyProtection="1">
      <alignment/>
      <protection/>
    </xf>
    <xf numFmtId="0" fontId="139" fillId="0" borderId="18" xfId="0" applyFont="1" applyBorder="1" applyAlignment="1" applyProtection="1">
      <alignment/>
      <protection/>
    </xf>
    <xf numFmtId="10" fontId="139" fillId="0" borderId="36" xfId="0" applyNumberFormat="1" applyFont="1" applyFill="1" applyBorder="1" applyAlignment="1" applyProtection="1">
      <alignment/>
      <protection/>
    </xf>
    <xf numFmtId="0" fontId="52" fillId="33" borderId="47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48" xfId="0" applyFont="1" applyFill="1" applyBorder="1" applyAlignment="1" applyProtection="1">
      <alignment/>
      <protection/>
    </xf>
    <xf numFmtId="180" fontId="0" fillId="0" borderId="61" xfId="0" applyNumberFormat="1" applyFont="1" applyBorder="1" applyAlignment="1" applyProtection="1">
      <alignment/>
      <protection/>
    </xf>
    <xf numFmtId="0" fontId="0" fillId="41" borderId="62" xfId="0" applyFill="1" applyBorder="1" applyAlignment="1" applyProtection="1">
      <alignment/>
      <protection/>
    </xf>
    <xf numFmtId="0" fontId="0" fillId="41" borderId="63" xfId="0" applyFill="1" applyBorder="1" applyAlignment="1" applyProtection="1">
      <alignment/>
      <protection/>
    </xf>
    <xf numFmtId="0" fontId="1" fillId="41" borderId="63" xfId="0" applyFont="1" applyFill="1" applyBorder="1" applyAlignment="1" applyProtection="1">
      <alignment/>
      <protection/>
    </xf>
    <xf numFmtId="9" fontId="1" fillId="41" borderId="63" xfId="0" applyNumberFormat="1" applyFont="1" applyFill="1" applyBorder="1" applyAlignment="1" applyProtection="1">
      <alignment/>
      <protection/>
    </xf>
    <xf numFmtId="0" fontId="0" fillId="41" borderId="64" xfId="0" applyFill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hidden="1"/>
    </xf>
    <xf numFmtId="0" fontId="140" fillId="0" borderId="11" xfId="0" applyNumberFormat="1" applyFont="1" applyBorder="1" applyAlignment="1" applyProtection="1">
      <alignment/>
      <protection hidden="1"/>
    </xf>
    <xf numFmtId="0" fontId="140" fillId="0" borderId="0" xfId="0" applyNumberFormat="1" applyFont="1" applyAlignment="1" applyProtection="1">
      <alignment/>
      <protection hidden="1"/>
    </xf>
    <xf numFmtId="0" fontId="141" fillId="0" borderId="50" xfId="0" applyNumberFormat="1" applyFont="1" applyBorder="1" applyAlignment="1" applyProtection="1">
      <alignment/>
      <protection hidden="1"/>
    </xf>
    <xf numFmtId="0" fontId="141" fillId="0" borderId="0" xfId="0" applyNumberFormat="1" applyFont="1" applyAlignment="1">
      <alignment/>
    </xf>
    <xf numFmtId="0" fontId="0" fillId="40" borderId="14" xfId="0" applyFill="1" applyBorder="1" applyAlignment="1" applyProtection="1">
      <alignment/>
      <protection hidden="1"/>
    </xf>
    <xf numFmtId="0" fontId="31" fillId="40" borderId="14" xfId="0" applyFont="1" applyFill="1" applyBorder="1" applyAlignment="1" applyProtection="1">
      <alignment/>
      <protection hidden="1"/>
    </xf>
    <xf numFmtId="0" fontId="141" fillId="40" borderId="50" xfId="0" applyNumberFormat="1" applyFont="1" applyFill="1" applyBorder="1" applyAlignment="1" applyProtection="1">
      <alignment/>
      <protection hidden="1"/>
    </xf>
    <xf numFmtId="0" fontId="0" fillId="40" borderId="29" xfId="0" applyNumberFormat="1" applyFill="1" applyBorder="1" applyAlignment="1" applyProtection="1">
      <alignment/>
      <protection hidden="1"/>
    </xf>
    <xf numFmtId="0" fontId="0" fillId="40" borderId="15" xfId="0" applyFill="1" applyBorder="1" applyAlignment="1" applyProtection="1">
      <alignment/>
      <protection hidden="1"/>
    </xf>
    <xf numFmtId="0" fontId="0" fillId="40" borderId="14" xfId="0" applyFill="1" applyBorder="1" applyAlignment="1">
      <alignment/>
    </xf>
    <xf numFmtId="0" fontId="0" fillId="40" borderId="0" xfId="0" applyFill="1" applyAlignment="1">
      <alignment/>
    </xf>
    <xf numFmtId="0" fontId="1" fillId="0" borderId="14" xfId="55" applyNumberFormat="1" applyFont="1" applyBorder="1" applyAlignment="1" applyProtection="1">
      <alignment/>
      <protection/>
    </xf>
    <xf numFmtId="0" fontId="35" fillId="0" borderId="14" xfId="0" applyFont="1" applyBorder="1" applyAlignment="1" applyProtection="1">
      <alignment/>
      <protection locked="0"/>
    </xf>
    <xf numFmtId="2" fontId="5" fillId="0" borderId="65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hidden="1"/>
    </xf>
    <xf numFmtId="0" fontId="48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70" fontId="49" fillId="0" borderId="0" xfId="51" applyFont="1" applyFill="1" applyBorder="1" applyAlignment="1" applyProtection="1">
      <alignment/>
      <protection/>
    </xf>
    <xf numFmtId="9" fontId="0" fillId="33" borderId="66" xfId="0" applyNumberFormat="1" applyFont="1" applyFill="1" applyBorder="1" applyAlignment="1" applyProtection="1">
      <alignment/>
      <protection/>
    </xf>
    <xf numFmtId="0" fontId="0" fillId="42" borderId="67" xfId="0" applyFill="1" applyBorder="1" applyAlignment="1" applyProtection="1">
      <alignment/>
      <protection/>
    </xf>
    <xf numFmtId="0" fontId="142" fillId="41" borderId="68" xfId="0" applyFont="1" applyFill="1" applyBorder="1" applyAlignment="1" applyProtection="1">
      <alignment/>
      <protection/>
    </xf>
    <xf numFmtId="0" fontId="142" fillId="41" borderId="69" xfId="0" applyFont="1" applyFill="1" applyBorder="1" applyAlignment="1" applyProtection="1">
      <alignment/>
      <protection/>
    </xf>
    <xf numFmtId="0" fontId="143" fillId="41" borderId="69" xfId="0" applyFont="1" applyFill="1" applyBorder="1" applyAlignment="1" applyProtection="1">
      <alignment/>
      <protection/>
    </xf>
    <xf numFmtId="9" fontId="143" fillId="41" borderId="69" xfId="0" applyNumberFormat="1" applyFont="1" applyFill="1" applyBorder="1" applyAlignment="1" applyProtection="1">
      <alignment/>
      <protection/>
    </xf>
    <xf numFmtId="0" fontId="144" fillId="41" borderId="70" xfId="0" applyFont="1" applyFill="1" applyBorder="1" applyAlignment="1" applyProtection="1">
      <alignment/>
      <protection/>
    </xf>
    <xf numFmtId="0" fontId="142" fillId="0" borderId="0" xfId="0" applyFont="1" applyAlignment="1" applyProtection="1">
      <alignment/>
      <protection/>
    </xf>
    <xf numFmtId="0" fontId="142" fillId="41" borderId="71" xfId="0" applyFont="1" applyFill="1" applyBorder="1" applyAlignment="1" applyProtection="1">
      <alignment/>
      <protection/>
    </xf>
    <xf numFmtId="0" fontId="142" fillId="0" borderId="72" xfId="0" applyFont="1" applyBorder="1" applyAlignment="1" applyProtection="1">
      <alignment/>
      <protection/>
    </xf>
    <xf numFmtId="10" fontId="145" fillId="0" borderId="73" xfId="0" applyNumberFormat="1" applyFont="1" applyBorder="1" applyAlignment="1" applyProtection="1">
      <alignment/>
      <protection/>
    </xf>
    <xf numFmtId="0" fontId="142" fillId="0" borderId="73" xfId="0" applyFont="1" applyBorder="1" applyAlignment="1" applyProtection="1">
      <alignment/>
      <protection/>
    </xf>
    <xf numFmtId="0" fontId="142" fillId="0" borderId="74" xfId="0" applyFont="1" applyBorder="1" applyAlignment="1" applyProtection="1">
      <alignment/>
      <protection/>
    </xf>
    <xf numFmtId="0" fontId="146" fillId="41" borderId="75" xfId="0" applyFont="1" applyFill="1" applyBorder="1" applyAlignment="1" applyProtection="1">
      <alignment/>
      <protection/>
    </xf>
    <xf numFmtId="9" fontId="147" fillId="0" borderId="0" xfId="0" applyNumberFormat="1" applyFont="1" applyAlignment="1" applyProtection="1">
      <alignment/>
      <protection/>
    </xf>
    <xf numFmtId="9" fontId="143" fillId="41" borderId="71" xfId="0" applyNumberFormat="1" applyFont="1" applyFill="1" applyBorder="1" applyAlignment="1" applyProtection="1">
      <alignment/>
      <protection/>
    </xf>
    <xf numFmtId="0" fontId="142" fillId="0" borderId="76" xfId="0" applyFont="1" applyBorder="1" applyAlignment="1" applyProtection="1">
      <alignment/>
      <protection/>
    </xf>
    <xf numFmtId="10" fontId="145" fillId="0" borderId="0" xfId="0" applyNumberFormat="1" applyFont="1" applyBorder="1" applyAlignment="1" applyProtection="1">
      <alignment/>
      <protection/>
    </xf>
    <xf numFmtId="0" fontId="142" fillId="0" borderId="0" xfId="0" applyFont="1" applyBorder="1" applyAlignment="1" applyProtection="1">
      <alignment/>
      <protection/>
    </xf>
    <xf numFmtId="0" fontId="142" fillId="0" borderId="77" xfId="0" applyFont="1" applyBorder="1" applyAlignment="1" applyProtection="1">
      <alignment/>
      <protection/>
    </xf>
    <xf numFmtId="0" fontId="148" fillId="41" borderId="75" xfId="0" applyFont="1" applyFill="1" applyBorder="1" applyAlignment="1" applyProtection="1">
      <alignment/>
      <protection/>
    </xf>
    <xf numFmtId="0" fontId="142" fillId="0" borderId="78" xfId="0" applyFont="1" applyBorder="1" applyAlignment="1" applyProtection="1">
      <alignment/>
      <protection/>
    </xf>
    <xf numFmtId="10" fontId="145" fillId="0" borderId="79" xfId="55" applyNumberFormat="1" applyFont="1" applyBorder="1" applyAlignment="1" applyProtection="1">
      <alignment/>
      <protection/>
    </xf>
    <xf numFmtId="10" fontId="147" fillId="0" borderId="0" xfId="0" applyNumberFormat="1" applyFont="1" applyAlignment="1" applyProtection="1">
      <alignment/>
      <protection/>
    </xf>
    <xf numFmtId="0" fontId="149" fillId="0" borderId="0" xfId="0" applyFont="1" applyAlignment="1">
      <alignment/>
    </xf>
    <xf numFmtId="0" fontId="149" fillId="0" borderId="50" xfId="0" applyNumberFormat="1" applyFont="1" applyBorder="1" applyAlignment="1" applyProtection="1">
      <alignment/>
      <protection hidden="1"/>
    </xf>
    <xf numFmtId="0" fontId="150" fillId="0" borderId="14" xfId="0" applyFont="1" applyBorder="1" applyAlignment="1" applyProtection="1">
      <alignment/>
      <protection hidden="1"/>
    </xf>
    <xf numFmtId="0" fontId="149" fillId="0" borderId="14" xfId="0" applyFont="1" applyBorder="1" applyAlignment="1" applyProtection="1">
      <alignment/>
      <protection hidden="1"/>
    </xf>
    <xf numFmtId="0" fontId="149" fillId="0" borderId="33" xfId="0" applyNumberFormat="1" applyFont="1" applyBorder="1" applyAlignment="1" applyProtection="1">
      <alignment/>
      <protection hidden="1"/>
    </xf>
    <xf numFmtId="0" fontId="150" fillId="33" borderId="14" xfId="0" applyFont="1" applyFill="1" applyBorder="1" applyAlignment="1" applyProtection="1">
      <alignment/>
      <protection hidden="1"/>
    </xf>
    <xf numFmtId="0" fontId="149" fillId="33" borderId="14" xfId="0" applyFont="1" applyFill="1" applyBorder="1" applyAlignment="1" applyProtection="1">
      <alignment/>
      <protection hidden="1"/>
    </xf>
    <xf numFmtId="0" fontId="151" fillId="40" borderId="50" xfId="0" applyNumberFormat="1" applyFont="1" applyFill="1" applyBorder="1" applyAlignment="1" applyProtection="1">
      <alignment/>
      <protection hidden="1"/>
    </xf>
    <xf numFmtId="0" fontId="149" fillId="0" borderId="15" xfId="0" applyFont="1" applyBorder="1" applyAlignment="1" applyProtection="1">
      <alignment/>
      <protection hidden="1"/>
    </xf>
    <xf numFmtId="0" fontId="149" fillId="0" borderId="14" xfId="0" applyFont="1" applyBorder="1" applyAlignment="1">
      <alignment/>
    </xf>
    <xf numFmtId="0" fontId="17" fillId="43" borderId="27" xfId="0" applyFont="1" applyFill="1" applyBorder="1" applyAlignment="1" applyProtection="1">
      <alignment horizontal="left" indent="1"/>
      <protection/>
    </xf>
    <xf numFmtId="0" fontId="152" fillId="0" borderId="0" xfId="0" applyFont="1" applyFill="1" applyBorder="1" applyAlignment="1" applyProtection="1">
      <alignment/>
      <protection/>
    </xf>
    <xf numFmtId="0" fontId="17" fillId="0" borderId="27" xfId="0" applyFont="1" applyFill="1" applyBorder="1" applyAlignment="1" applyProtection="1">
      <alignment horizontal="left" indent="1"/>
      <protection/>
    </xf>
    <xf numFmtId="0" fontId="0" fillId="16" borderId="0" xfId="0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0" fontId="1" fillId="0" borderId="50" xfId="0" applyNumberFormat="1" applyFont="1" applyBorder="1" applyAlignment="1" applyProtection="1">
      <alignment/>
      <protection hidden="1"/>
    </xf>
    <xf numFmtId="0" fontId="1" fillId="40" borderId="50" xfId="0" applyNumberFormat="1" applyFont="1" applyFill="1" applyBorder="1" applyAlignment="1" applyProtection="1">
      <alignment/>
      <protection hidden="1"/>
    </xf>
    <xf numFmtId="0" fontId="151" fillId="0" borderId="50" xfId="0" applyNumberFormat="1" applyFont="1" applyBorder="1" applyAlignment="1" applyProtection="1">
      <alignment/>
      <protection hidden="1"/>
    </xf>
    <xf numFmtId="0" fontId="1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40" borderId="50" xfId="0" applyNumberFormat="1" applyFill="1" applyBorder="1" applyAlignment="1" applyProtection="1">
      <alignment/>
      <protection hidden="1"/>
    </xf>
    <xf numFmtId="0" fontId="141" fillId="0" borderId="33" xfId="0" applyNumberFormat="1" applyFont="1" applyBorder="1" applyAlignment="1" applyProtection="1">
      <alignment/>
      <protection hidden="1"/>
    </xf>
    <xf numFmtId="0" fontId="141" fillId="40" borderId="33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 hidden="1"/>
    </xf>
    <xf numFmtId="0" fontId="58" fillId="0" borderId="0" xfId="0" applyFont="1" applyFill="1" applyBorder="1" applyAlignment="1" applyProtection="1">
      <alignment/>
      <protection locked="0"/>
    </xf>
    <xf numFmtId="0" fontId="153" fillId="0" borderId="0" xfId="0" applyFont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146" fillId="41" borderId="0" xfId="0" applyFont="1" applyFill="1" applyBorder="1" applyAlignment="1" applyProtection="1">
      <alignment/>
      <protection/>
    </xf>
    <xf numFmtId="0" fontId="154" fillId="16" borderId="0" xfId="0" applyFont="1" applyFill="1" applyBorder="1" applyAlignment="1" applyProtection="1">
      <alignment/>
      <protection/>
    </xf>
    <xf numFmtId="0" fontId="7" fillId="0" borderId="80" xfId="0" applyFont="1" applyBorder="1" applyAlignment="1" applyProtection="1">
      <alignment/>
      <protection/>
    </xf>
    <xf numFmtId="2" fontId="61" fillId="0" borderId="81" xfId="0" applyNumberFormat="1" applyFont="1" applyBorder="1" applyAlignment="1" applyProtection="1">
      <alignment horizontal="center" vertical="center"/>
      <protection/>
    </xf>
    <xf numFmtId="0" fontId="0" fillId="0" borderId="82" xfId="0" applyFill="1" applyBorder="1" applyAlignment="1" applyProtection="1">
      <alignment/>
      <protection/>
    </xf>
    <xf numFmtId="0" fontId="0" fillId="0" borderId="83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55" fillId="33" borderId="0" xfId="0" applyFont="1" applyFill="1" applyBorder="1" applyAlignment="1" applyProtection="1">
      <alignment/>
      <protection hidden="1"/>
    </xf>
    <xf numFmtId="0" fontId="155" fillId="0" borderId="0" xfId="0" applyNumberFormat="1" applyFont="1" applyAlignment="1" applyProtection="1">
      <alignment/>
      <protection hidden="1"/>
    </xf>
    <xf numFmtId="0" fontId="156" fillId="0" borderId="33" xfId="0" applyNumberFormat="1" applyFont="1" applyBorder="1" applyAlignment="1" applyProtection="1">
      <alignment/>
      <protection hidden="1"/>
    </xf>
    <xf numFmtId="0" fontId="156" fillId="40" borderId="33" xfId="0" applyNumberFormat="1" applyFont="1" applyFill="1" applyBorder="1" applyAlignment="1" applyProtection="1">
      <alignment/>
      <protection hidden="1"/>
    </xf>
    <xf numFmtId="0" fontId="156" fillId="0" borderId="0" xfId="0" applyFont="1" applyAlignment="1">
      <alignment/>
    </xf>
    <xf numFmtId="0" fontId="7" fillId="40" borderId="0" xfId="0" applyFont="1" applyFill="1" applyAlignment="1" applyProtection="1">
      <alignment/>
      <protection/>
    </xf>
    <xf numFmtId="0" fontId="157" fillId="42" borderId="84" xfId="0" applyFont="1" applyFill="1" applyBorder="1" applyAlignment="1" applyProtection="1">
      <alignment/>
      <protection/>
    </xf>
    <xf numFmtId="0" fontId="0" fillId="44" borderId="0" xfId="0" applyFont="1" applyFill="1" applyAlignment="1" applyProtection="1">
      <alignment/>
      <protection/>
    </xf>
    <xf numFmtId="180" fontId="0" fillId="41" borderId="0" xfId="55" applyNumberFormat="1" applyFont="1" applyFill="1" applyAlignment="1" applyProtection="1">
      <alignment/>
      <protection/>
    </xf>
    <xf numFmtId="10" fontId="0" fillId="0" borderId="0" xfId="55" applyNumberFormat="1" applyFont="1" applyFill="1" applyAlignment="1" applyProtection="1">
      <alignment/>
      <protection/>
    </xf>
    <xf numFmtId="204" fontId="141" fillId="0" borderId="50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/>
    </xf>
    <xf numFmtId="17" fontId="7" fillId="0" borderId="0" xfId="0" applyNumberFormat="1" applyFont="1" applyAlignment="1" applyProtection="1">
      <alignment/>
      <protection/>
    </xf>
    <xf numFmtId="0" fontId="31" fillId="0" borderId="0" xfId="0" applyNumberFormat="1" applyFont="1" applyAlignment="1" applyProtection="1">
      <alignment/>
      <protection hidden="1"/>
    </xf>
    <xf numFmtId="0" fontId="158" fillId="0" borderId="0" xfId="0" applyNumberFormat="1" applyFont="1" applyAlignment="1" applyProtection="1">
      <alignment/>
      <protection hidden="1"/>
    </xf>
    <xf numFmtId="0" fontId="1" fillId="36" borderId="85" xfId="0" applyFont="1" applyFill="1" applyBorder="1" applyAlignment="1" applyProtection="1">
      <alignment/>
      <protection/>
    </xf>
    <xf numFmtId="0" fontId="63" fillId="45" borderId="0" xfId="46" applyFont="1" applyFill="1" applyBorder="1" applyAlignment="1" applyProtection="1">
      <alignment/>
      <protection/>
    </xf>
    <xf numFmtId="2" fontId="0" fillId="45" borderId="0" xfId="0" applyNumberFormat="1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159" fillId="41" borderId="86" xfId="0" applyFont="1" applyFill="1" applyBorder="1" applyAlignment="1" applyProtection="1">
      <alignment/>
      <protection/>
    </xf>
    <xf numFmtId="0" fontId="1" fillId="40" borderId="0" xfId="0" applyFont="1" applyFill="1" applyAlignment="1" applyProtection="1">
      <alignment/>
      <protection/>
    </xf>
    <xf numFmtId="0" fontId="148" fillId="41" borderId="0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 horizontal="left" indent="1"/>
      <protection/>
    </xf>
    <xf numFmtId="180" fontId="0" fillId="0" borderId="0" xfId="0" applyNumberFormat="1" applyFont="1" applyBorder="1" applyAlignment="1" applyProtection="1">
      <alignment/>
      <protection/>
    </xf>
    <xf numFmtId="10" fontId="0" fillId="41" borderId="0" xfId="55" applyNumberFormat="1" applyFont="1" applyFill="1" applyAlignment="1" applyProtection="1">
      <alignment/>
      <protection/>
    </xf>
    <xf numFmtId="0" fontId="41" fillId="44" borderId="87" xfId="0" applyFont="1" applyFill="1" applyBorder="1" applyAlignment="1" applyProtection="1">
      <alignment/>
      <protection/>
    </xf>
    <xf numFmtId="170" fontId="62" fillId="44" borderId="88" xfId="51" applyFont="1" applyFill="1" applyBorder="1" applyAlignment="1" applyProtection="1">
      <alignment horizontal="left"/>
      <protection/>
    </xf>
    <xf numFmtId="0" fontId="41" fillId="44" borderId="89" xfId="0" applyFont="1" applyFill="1" applyBorder="1" applyAlignment="1" applyProtection="1">
      <alignment/>
      <protection/>
    </xf>
    <xf numFmtId="10" fontId="62" fillId="44" borderId="90" xfId="55" applyNumberFormat="1" applyFont="1" applyFill="1" applyBorder="1" applyAlignment="1" applyProtection="1">
      <alignment horizontal="right"/>
      <protection/>
    </xf>
    <xf numFmtId="2" fontId="61" fillId="0" borderId="0" xfId="0" applyNumberFormat="1" applyFont="1" applyBorder="1" applyAlignment="1" applyProtection="1">
      <alignment horizontal="center" vertical="center"/>
      <protection/>
    </xf>
    <xf numFmtId="0" fontId="160" fillId="43" borderId="27" xfId="0" applyFont="1" applyFill="1" applyBorder="1" applyAlignment="1" applyProtection="1">
      <alignment horizontal="left" indent="1"/>
      <protection/>
    </xf>
    <xf numFmtId="0" fontId="161" fillId="43" borderId="27" xfId="0" applyFont="1" applyFill="1" applyBorder="1" applyAlignment="1" applyProtection="1">
      <alignment horizontal="left" indent="1"/>
      <protection/>
    </xf>
    <xf numFmtId="0" fontId="19" fillId="41" borderId="0" xfId="0" applyFont="1" applyFill="1" applyAlignment="1" applyProtection="1">
      <alignment/>
      <protection/>
    </xf>
    <xf numFmtId="0" fontId="162" fillId="41" borderId="87" xfId="0" applyFont="1" applyFill="1" applyBorder="1" applyAlignment="1" applyProtection="1">
      <alignment/>
      <protection/>
    </xf>
    <xf numFmtId="0" fontId="162" fillId="41" borderId="89" xfId="0" applyFont="1" applyFill="1" applyBorder="1" applyAlignment="1" applyProtection="1">
      <alignment/>
      <protection/>
    </xf>
    <xf numFmtId="0" fontId="162" fillId="41" borderId="0" xfId="0" applyFont="1" applyFill="1" applyBorder="1" applyAlignment="1" applyProtection="1">
      <alignment/>
      <protection/>
    </xf>
    <xf numFmtId="180" fontId="163" fillId="41" borderId="0" xfId="55" applyNumberFormat="1" applyFont="1" applyFill="1" applyAlignment="1" applyProtection="1">
      <alignment/>
      <protection/>
    </xf>
    <xf numFmtId="0" fontId="163" fillId="41" borderId="0" xfId="0" applyFont="1" applyFill="1" applyAlignment="1" applyProtection="1">
      <alignment/>
      <protection/>
    </xf>
    <xf numFmtId="180" fontId="0" fillId="41" borderId="0" xfId="55" applyNumberFormat="1" applyFont="1" applyFill="1" applyAlignment="1" applyProtection="1">
      <alignment/>
      <protection/>
    </xf>
    <xf numFmtId="0" fontId="41" fillId="46" borderId="87" xfId="0" applyFont="1" applyFill="1" applyBorder="1" applyAlignment="1" applyProtection="1">
      <alignment/>
      <protection/>
    </xf>
    <xf numFmtId="170" fontId="62" fillId="46" borderId="88" xfId="51" applyFont="1" applyFill="1" applyBorder="1" applyAlignment="1" applyProtection="1">
      <alignment horizontal="left"/>
      <protection/>
    </xf>
    <xf numFmtId="0" fontId="41" fillId="46" borderId="89" xfId="0" applyFont="1" applyFill="1" applyBorder="1" applyAlignment="1" applyProtection="1">
      <alignment/>
      <protection/>
    </xf>
    <xf numFmtId="10" fontId="62" fillId="46" borderId="90" xfId="55" applyNumberFormat="1" applyFont="1" applyFill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/>
      <protection/>
    </xf>
    <xf numFmtId="0" fontId="1" fillId="0" borderId="91" xfId="0" applyFont="1" applyBorder="1" applyAlignment="1" applyProtection="1">
      <alignment/>
      <protection/>
    </xf>
    <xf numFmtId="0" fontId="1" fillId="0" borderId="92" xfId="0" applyFont="1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18" fillId="0" borderId="94" xfId="0" applyFont="1" applyBorder="1" applyAlignment="1" applyProtection="1">
      <alignment/>
      <protection/>
    </xf>
    <xf numFmtId="0" fontId="164" fillId="0" borderId="95" xfId="0" applyFont="1" applyBorder="1" applyAlignment="1" applyProtection="1">
      <alignment horizontal="center"/>
      <protection locked="0"/>
    </xf>
    <xf numFmtId="1" fontId="5" fillId="0" borderId="95" xfId="55" applyNumberFormat="1" applyFont="1" applyBorder="1" applyAlignment="1" applyProtection="1">
      <alignment horizontal="center"/>
      <protection locked="0"/>
    </xf>
    <xf numFmtId="9" fontId="7" fillId="0" borderId="94" xfId="55" applyFont="1" applyBorder="1" applyAlignment="1" applyProtection="1">
      <alignment horizontal="center"/>
      <protection/>
    </xf>
    <xf numFmtId="0" fontId="165" fillId="0" borderId="94" xfId="55" applyNumberFormat="1" applyFont="1" applyFill="1" applyBorder="1" applyAlignment="1" applyProtection="1">
      <alignment horizontal="center"/>
      <protection locked="0"/>
    </xf>
    <xf numFmtId="1" fontId="6" fillId="0" borderId="96" xfId="0" applyNumberFormat="1" applyFont="1" applyBorder="1" applyAlignment="1" applyProtection="1">
      <alignment/>
      <protection/>
    </xf>
    <xf numFmtId="0" fontId="1" fillId="0" borderId="97" xfId="0" applyFont="1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7" fillId="0" borderId="94" xfId="0" applyFont="1" applyBorder="1" applyAlignment="1" applyProtection="1">
      <alignment/>
      <protection/>
    </xf>
    <xf numFmtId="0" fontId="7" fillId="0" borderId="94" xfId="0" applyFont="1" applyFill="1" applyBorder="1" applyAlignment="1" applyProtection="1">
      <alignment/>
      <protection/>
    </xf>
    <xf numFmtId="0" fontId="0" fillId="39" borderId="94" xfId="0" applyFill="1" applyBorder="1" applyAlignment="1" applyProtection="1">
      <alignment/>
      <protection/>
    </xf>
    <xf numFmtId="0" fontId="5" fillId="0" borderId="98" xfId="0" applyFont="1" applyBorder="1" applyAlignment="1" applyProtection="1">
      <alignment horizontal="center"/>
      <protection locked="0"/>
    </xf>
    <xf numFmtId="0" fontId="5" fillId="0" borderId="95" xfId="0" applyFont="1" applyBorder="1" applyAlignment="1" applyProtection="1">
      <alignment horizontal="center"/>
      <protection locked="0"/>
    </xf>
    <xf numFmtId="9" fontId="7" fillId="36" borderId="99" xfId="55" applyFont="1" applyFill="1" applyBorder="1" applyAlignment="1" applyProtection="1">
      <alignment horizontal="center"/>
      <protection locked="0"/>
    </xf>
    <xf numFmtId="0" fontId="5" fillId="36" borderId="98" xfId="0" applyFont="1" applyFill="1" applyBorder="1" applyAlignment="1" applyProtection="1">
      <alignment horizontal="center"/>
      <protection locked="0"/>
    </xf>
    <xf numFmtId="0" fontId="165" fillId="41" borderId="100" xfId="55" applyNumberFormat="1" applyFont="1" applyFill="1" applyBorder="1" applyAlignment="1" applyProtection="1">
      <alignment horizontal="center"/>
      <protection locked="0"/>
    </xf>
    <xf numFmtId="9" fontId="7" fillId="0" borderId="94" xfId="55" applyFont="1" applyBorder="1" applyAlignment="1" applyProtection="1">
      <alignment horizontal="center"/>
      <protection locked="0"/>
    </xf>
    <xf numFmtId="0" fontId="0" fillId="16" borderId="94" xfId="0" applyFill="1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7" fillId="0" borderId="99" xfId="0" applyFont="1" applyBorder="1" applyAlignment="1" applyProtection="1">
      <alignment/>
      <protection/>
    </xf>
    <xf numFmtId="0" fontId="0" fillId="0" borderId="94" xfId="0" applyFill="1" applyBorder="1" applyAlignment="1" applyProtection="1">
      <alignment/>
      <protection/>
    </xf>
    <xf numFmtId="0" fontId="39" fillId="0" borderId="94" xfId="0" applyFont="1" applyFill="1" applyBorder="1" applyAlignment="1" applyProtection="1">
      <alignment/>
      <protection/>
    </xf>
    <xf numFmtId="0" fontId="0" fillId="38" borderId="94" xfId="0" applyFill="1" applyBorder="1" applyAlignment="1" applyProtection="1">
      <alignment/>
      <protection/>
    </xf>
    <xf numFmtId="9" fontId="7" fillId="0" borderId="102" xfId="55" applyFont="1" applyBorder="1" applyAlignment="1" applyProtection="1">
      <alignment horizontal="center"/>
      <protection/>
    </xf>
    <xf numFmtId="2" fontId="40" fillId="0" borderId="94" xfId="0" applyNumberFormat="1" applyFont="1" applyFill="1" applyBorder="1" applyAlignment="1" applyProtection="1">
      <alignment horizontal="right"/>
      <protection/>
    </xf>
    <xf numFmtId="0" fontId="0" fillId="39" borderId="103" xfId="0" applyFill="1" applyBorder="1" applyAlignment="1" applyProtection="1">
      <alignment/>
      <protection/>
    </xf>
    <xf numFmtId="0" fontId="0" fillId="39" borderId="104" xfId="0" applyFill="1" applyBorder="1" applyAlignment="1" applyProtection="1">
      <alignment/>
      <protection/>
    </xf>
    <xf numFmtId="2" fontId="0" fillId="47" borderId="94" xfId="0" applyNumberForma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10" fontId="62" fillId="0" borderId="0" xfId="55" applyNumberFormat="1" applyFont="1" applyFill="1" applyBorder="1" applyAlignment="1" applyProtection="1">
      <alignment horizontal="right"/>
      <protection/>
    </xf>
    <xf numFmtId="0" fontId="7" fillId="0" borderId="105" xfId="0" applyFont="1" applyBorder="1" applyAlignment="1" applyProtection="1">
      <alignment/>
      <protection/>
    </xf>
    <xf numFmtId="2" fontId="4" fillId="0" borderId="106" xfId="0" applyNumberFormat="1" applyFont="1" applyBorder="1" applyAlignment="1" applyProtection="1">
      <alignment horizontal="left"/>
      <protection/>
    </xf>
    <xf numFmtId="0" fontId="1" fillId="0" borderId="107" xfId="0" applyFont="1" applyBorder="1" applyAlignment="1" applyProtection="1">
      <alignment/>
      <protection/>
    </xf>
    <xf numFmtId="170" fontId="4" fillId="0" borderId="108" xfId="51" applyFont="1" applyBorder="1" applyAlignment="1" applyProtection="1">
      <alignment horizontal="right"/>
      <protection/>
    </xf>
    <xf numFmtId="0" fontId="1" fillId="0" borderId="109" xfId="0" applyFont="1" applyBorder="1" applyAlignment="1" applyProtection="1">
      <alignment/>
      <protection/>
    </xf>
    <xf numFmtId="170" fontId="4" fillId="0" borderId="108" xfId="51" applyFont="1" applyBorder="1" applyAlignment="1" applyProtection="1">
      <alignment horizontal="left"/>
      <protection/>
    </xf>
    <xf numFmtId="0" fontId="1" fillId="0" borderId="110" xfId="0" applyFont="1" applyBorder="1" applyAlignment="1" applyProtection="1">
      <alignment/>
      <protection/>
    </xf>
    <xf numFmtId="2" fontId="4" fillId="0" borderId="111" xfId="0" applyNumberFormat="1" applyFont="1" applyBorder="1" applyAlignment="1" applyProtection="1">
      <alignment horizontal="left"/>
      <protection/>
    </xf>
    <xf numFmtId="2" fontId="4" fillId="0" borderId="111" xfId="0" applyNumberFormat="1" applyFont="1" applyBorder="1" applyAlignment="1" applyProtection="1">
      <alignment horizontal="right"/>
      <protection/>
    </xf>
    <xf numFmtId="2" fontId="4" fillId="0" borderId="110" xfId="0" applyNumberFormat="1" applyFont="1" applyBorder="1" applyAlignment="1" applyProtection="1">
      <alignment horizontal="left"/>
      <protection/>
    </xf>
    <xf numFmtId="180" fontId="19" fillId="0" borderId="110" xfId="0" applyNumberFormat="1" applyFont="1" applyBorder="1" applyAlignment="1" applyProtection="1">
      <alignment/>
      <protection/>
    </xf>
    <xf numFmtId="2" fontId="8" fillId="0" borderId="111" xfId="0" applyNumberFormat="1" applyFont="1" applyBorder="1" applyAlignment="1" applyProtection="1">
      <alignment horizontal="right"/>
      <protection/>
    </xf>
    <xf numFmtId="2" fontId="4" fillId="0" borderId="112" xfId="0" applyNumberFormat="1" applyFont="1" applyBorder="1" applyAlignment="1" applyProtection="1">
      <alignment horizontal="left"/>
      <protection/>
    </xf>
    <xf numFmtId="180" fontId="39" fillId="36" borderId="113" xfId="0" applyNumberFormat="1" applyFont="1" applyFill="1" applyBorder="1" applyAlignment="1" applyProtection="1">
      <alignment/>
      <protection/>
    </xf>
    <xf numFmtId="2" fontId="40" fillId="36" borderId="108" xfId="0" applyNumberFormat="1" applyFont="1" applyFill="1" applyBorder="1" applyAlignment="1" applyProtection="1">
      <alignment horizontal="right"/>
      <protection/>
    </xf>
    <xf numFmtId="0" fontId="0" fillId="0" borderId="114" xfId="0" applyBorder="1" applyAlignment="1" applyProtection="1">
      <alignment/>
      <protection/>
    </xf>
    <xf numFmtId="2" fontId="64" fillId="36" borderId="115" xfId="0" applyNumberFormat="1" applyFont="1" applyFill="1" applyBorder="1" applyAlignment="1" applyProtection="1">
      <alignment horizontal="left"/>
      <protection/>
    </xf>
    <xf numFmtId="44" fontId="0" fillId="0" borderId="111" xfId="0" applyNumberFormat="1" applyBorder="1" applyAlignment="1" applyProtection="1">
      <alignment/>
      <protection/>
    </xf>
    <xf numFmtId="0" fontId="0" fillId="0" borderId="110" xfId="0" applyFont="1" applyBorder="1" applyAlignment="1" applyProtection="1">
      <alignment/>
      <protection/>
    </xf>
    <xf numFmtId="2" fontId="65" fillId="36" borderId="115" xfId="0" applyNumberFormat="1" applyFont="1" applyFill="1" applyBorder="1" applyAlignment="1" applyProtection="1">
      <alignment horizontal="left"/>
      <protection/>
    </xf>
    <xf numFmtId="10" fontId="166" fillId="0" borderId="0" xfId="55" applyNumberFormat="1" applyFont="1" applyFill="1" applyBorder="1" applyAlignment="1" applyProtection="1">
      <alignment horizontal="right"/>
      <protection/>
    </xf>
    <xf numFmtId="1" fontId="7" fillId="0" borderId="14" xfId="0" applyNumberFormat="1" applyFont="1" applyFill="1" applyBorder="1" applyAlignment="1" applyProtection="1">
      <alignment/>
      <protection/>
    </xf>
    <xf numFmtId="1" fontId="7" fillId="0" borderId="0" xfId="0" applyNumberFormat="1" applyFont="1" applyAlignment="1" applyProtection="1">
      <alignment horizontal="center"/>
      <protection/>
    </xf>
    <xf numFmtId="183" fontId="0" fillId="41" borderId="0" xfId="55" applyNumberFormat="1" applyFont="1" applyFill="1" applyAlignment="1" applyProtection="1">
      <alignment/>
      <protection/>
    </xf>
    <xf numFmtId="0" fontId="36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0" fillId="0" borderId="94" xfId="0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65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" fontId="6" fillId="0" borderId="94" xfId="0" applyNumberFormat="1" applyFont="1" applyBorder="1" applyAlignment="1" applyProtection="1">
      <alignment/>
      <protection/>
    </xf>
    <xf numFmtId="0" fontId="160" fillId="48" borderId="0" xfId="0" applyFont="1" applyFill="1" applyBorder="1" applyAlignment="1" applyProtection="1">
      <alignment/>
      <protection/>
    </xf>
    <xf numFmtId="0" fontId="0" fillId="48" borderId="0" xfId="0" applyFill="1" applyBorder="1" applyAlignment="1" applyProtection="1">
      <alignment/>
      <protection/>
    </xf>
    <xf numFmtId="0" fontId="0" fillId="48" borderId="0" xfId="0" applyFill="1" applyAlignment="1" applyProtection="1">
      <alignment/>
      <protection/>
    </xf>
    <xf numFmtId="17" fontId="167" fillId="40" borderId="0" xfId="0" applyNumberFormat="1" applyFont="1" applyFill="1" applyBorder="1" applyAlignment="1" applyProtection="1" quotePrefix="1">
      <alignment/>
      <protection/>
    </xf>
    <xf numFmtId="9" fontId="60" fillId="40" borderId="0" xfId="55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>
      <alignment horizontal="right"/>
    </xf>
    <xf numFmtId="1" fontId="168" fillId="0" borderId="14" xfId="0" applyNumberFormat="1" applyFont="1" applyBorder="1" applyAlignment="1">
      <alignment/>
    </xf>
    <xf numFmtId="17" fontId="169" fillId="40" borderId="0" xfId="0" applyNumberFormat="1" applyFont="1" applyFill="1" applyBorder="1" applyAlignment="1" applyProtection="1" quotePrefix="1">
      <alignment/>
      <protection/>
    </xf>
    <xf numFmtId="17" fontId="169" fillId="11" borderId="0" xfId="0" applyNumberFormat="1" applyFont="1" applyFill="1" applyBorder="1" applyAlignment="1" applyProtection="1" quotePrefix="1">
      <alignment/>
      <protection/>
    </xf>
    <xf numFmtId="17" fontId="169" fillId="14" borderId="0" xfId="0" applyNumberFormat="1" applyFont="1" applyFill="1" applyBorder="1" applyAlignment="1" applyProtection="1" quotePrefix="1">
      <alignment/>
      <protection/>
    </xf>
    <xf numFmtId="17" fontId="169" fillId="49" borderId="0" xfId="0" applyNumberFormat="1" applyFont="1" applyFill="1" applyBorder="1" applyAlignment="1" applyProtection="1" quotePrefix="1">
      <alignment/>
      <protection/>
    </xf>
    <xf numFmtId="17" fontId="170" fillId="9" borderId="0" xfId="0" applyNumberFormat="1" applyFont="1" applyFill="1" applyBorder="1" applyAlignment="1" applyProtection="1">
      <alignment/>
      <protection/>
    </xf>
    <xf numFmtId="17" fontId="170" fillId="50" borderId="0" xfId="0" applyNumberFormat="1" applyFont="1" applyFill="1" applyBorder="1" applyAlignment="1" applyProtection="1">
      <alignment/>
      <protection/>
    </xf>
    <xf numFmtId="0" fontId="66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/>
    </xf>
    <xf numFmtId="9" fontId="66" fillId="40" borderId="0" xfId="55" applyFont="1" applyFill="1" applyAlignment="1" applyProtection="1">
      <alignment/>
      <protection/>
    </xf>
    <xf numFmtId="9" fontId="66" fillId="11" borderId="0" xfId="55" applyFont="1" applyFill="1" applyAlignment="1" applyProtection="1">
      <alignment/>
      <protection/>
    </xf>
    <xf numFmtId="9" fontId="66" fillId="14" borderId="0" xfId="55" applyFont="1" applyFill="1" applyAlignment="1" applyProtection="1">
      <alignment/>
      <protection/>
    </xf>
    <xf numFmtId="9" fontId="66" fillId="49" borderId="0" xfId="55" applyFont="1" applyFill="1" applyAlignment="1" applyProtection="1">
      <alignment/>
      <protection/>
    </xf>
    <xf numFmtId="9" fontId="170" fillId="9" borderId="0" xfId="55" applyFont="1" applyFill="1" applyAlignment="1" applyProtection="1">
      <alignment/>
      <protection/>
    </xf>
    <xf numFmtId="0" fontId="170" fillId="50" borderId="0" xfId="0" applyFont="1" applyFill="1" applyAlignment="1" applyProtection="1">
      <alignment/>
      <protection/>
    </xf>
    <xf numFmtId="10" fontId="171" fillId="0" borderId="0" xfId="55" applyNumberFormat="1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72" fillId="51" borderId="116" xfId="0" applyFont="1" applyFill="1" applyBorder="1" applyAlignment="1" applyProtection="1">
      <alignment/>
      <protection locked="0"/>
    </xf>
    <xf numFmtId="0" fontId="172" fillId="51" borderId="117" xfId="0" applyFont="1" applyFill="1" applyBorder="1" applyAlignment="1" applyProtection="1">
      <alignment/>
      <protection/>
    </xf>
    <xf numFmtId="1" fontId="172" fillId="51" borderId="118" xfId="0" applyNumberFormat="1" applyFont="1" applyFill="1" applyBorder="1" applyAlignment="1" applyProtection="1">
      <alignment/>
      <protection/>
    </xf>
    <xf numFmtId="10" fontId="173" fillId="0" borderId="0" xfId="55" applyNumberFormat="1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170" fontId="62" fillId="14" borderId="88" xfId="51" applyFont="1" applyFill="1" applyBorder="1" applyAlignment="1" applyProtection="1">
      <alignment horizontal="left"/>
      <protection/>
    </xf>
    <xf numFmtId="10" fontId="62" fillId="14" borderId="90" xfId="55" applyNumberFormat="1" applyFont="1" applyFill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17" fontId="66" fillId="40" borderId="0" xfId="0" applyNumberFormat="1" applyFont="1" applyFill="1" applyBorder="1" applyAlignment="1" applyProtection="1" quotePrefix="1">
      <alignment/>
      <protection/>
    </xf>
    <xf numFmtId="17" fontId="66" fillId="17" borderId="0" xfId="0" applyNumberFormat="1" applyFont="1" applyFill="1" applyBorder="1" applyAlignment="1" applyProtection="1" quotePrefix="1">
      <alignment/>
      <protection/>
    </xf>
    <xf numFmtId="9" fontId="66" fillId="17" borderId="0" xfId="55" applyFont="1" applyFill="1" applyAlignment="1" applyProtection="1">
      <alignment/>
      <protection/>
    </xf>
    <xf numFmtId="0" fontId="19" fillId="52" borderId="0" xfId="0" applyFont="1" applyFill="1" applyAlignment="1" applyProtection="1">
      <alignment vertical="center"/>
      <protection/>
    </xf>
    <xf numFmtId="9" fontId="164" fillId="52" borderId="119" xfId="0" applyNumberFormat="1" applyFont="1" applyFill="1" applyBorder="1" applyAlignment="1" applyProtection="1" quotePrefix="1">
      <alignment horizontal="center" vertical="center"/>
      <protection locked="0"/>
    </xf>
    <xf numFmtId="0" fontId="17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1" fillId="52" borderId="0" xfId="0" applyFont="1" applyFill="1" applyAlignment="1" applyProtection="1">
      <alignment vertical="center"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97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 quotePrefix="1">
      <alignment horizontal="center"/>
      <protection/>
    </xf>
    <xf numFmtId="9" fontId="25" fillId="0" borderId="14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 quotePrefix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center"/>
      <protection/>
    </xf>
    <xf numFmtId="0" fontId="25" fillId="0" borderId="14" xfId="49" applyNumberFormat="1" applyFont="1" applyFill="1" applyBorder="1" applyAlignment="1" applyProtection="1">
      <alignment/>
      <protection locked="0"/>
    </xf>
    <xf numFmtId="180" fontId="0" fillId="0" borderId="14" xfId="0" applyNumberFormat="1" applyFill="1" applyBorder="1" applyAlignment="1" applyProtection="1">
      <alignment/>
      <protection/>
    </xf>
    <xf numFmtId="2" fontId="3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180" fontId="140" fillId="0" borderId="14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94" xfId="0" applyFill="1" applyBorder="1" applyAlignment="1" applyProtection="1">
      <alignment horizontal="right"/>
      <protection/>
    </xf>
    <xf numFmtId="0" fontId="7" fillId="0" borderId="80" xfId="0" applyFont="1" applyFill="1" applyBorder="1" applyAlignment="1" applyProtection="1">
      <alignment/>
      <protection/>
    </xf>
    <xf numFmtId="2" fontId="61" fillId="0" borderId="81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120" xfId="0" applyFont="1" applyFill="1" applyBorder="1" applyAlignment="1" applyProtection="1">
      <alignment/>
      <protection/>
    </xf>
    <xf numFmtId="0" fontId="0" fillId="0" borderId="121" xfId="0" applyFill="1" applyBorder="1" applyAlignment="1" applyProtection="1">
      <alignment/>
      <protection/>
    </xf>
    <xf numFmtId="9" fontId="7" fillId="0" borderId="99" xfId="55" applyFont="1" applyFill="1" applyBorder="1" applyAlignment="1" applyProtection="1">
      <alignment horizontal="center"/>
      <protection locked="0"/>
    </xf>
    <xf numFmtId="0" fontId="1" fillId="0" borderId="85" xfId="0" applyFont="1" applyFill="1" applyBorder="1" applyAlignment="1" applyProtection="1">
      <alignment/>
      <protection/>
    </xf>
    <xf numFmtId="0" fontId="5" fillId="0" borderId="9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/>
      <protection/>
    </xf>
    <xf numFmtId="0" fontId="175" fillId="0" borderId="86" xfId="0" applyFont="1" applyFill="1" applyBorder="1" applyAlignment="1" applyProtection="1">
      <alignment/>
      <protection/>
    </xf>
    <xf numFmtId="0" fontId="176" fillId="0" borderId="60" xfId="0" applyFont="1" applyFill="1" applyBorder="1" applyAlignment="1" applyProtection="1">
      <alignment/>
      <protection/>
    </xf>
    <xf numFmtId="0" fontId="10" fillId="36" borderId="120" xfId="0" applyFont="1" applyFill="1" applyBorder="1" applyAlignment="1" applyProtection="1">
      <alignment/>
      <protection/>
    </xf>
    <xf numFmtId="0" fontId="13" fillId="36" borderId="121" xfId="0" applyFont="1" applyFill="1" applyBorder="1" applyAlignment="1" applyProtection="1">
      <alignment/>
      <protection/>
    </xf>
    <xf numFmtId="10" fontId="0" fillId="0" borderId="14" xfId="0" applyNumberFormat="1" applyFill="1" applyBorder="1" applyAlignment="1" applyProtection="1">
      <alignment/>
      <protection/>
    </xf>
    <xf numFmtId="9" fontId="0" fillId="0" borderId="14" xfId="0" applyNumberForma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2" fontId="0" fillId="52" borderId="14" xfId="0" applyNumberFormat="1" applyFont="1" applyFill="1" applyBorder="1" applyAlignment="1" applyProtection="1" quotePrefix="1">
      <alignment horizontal="center"/>
      <protection/>
    </xf>
    <xf numFmtId="1" fontId="0" fillId="52" borderId="14" xfId="0" applyNumberFormat="1" applyFont="1" applyFill="1" applyBorder="1" applyAlignment="1" applyProtection="1" quotePrefix="1">
      <alignment horizontal="center"/>
      <protection/>
    </xf>
    <xf numFmtId="2" fontId="0" fillId="52" borderId="14" xfId="0" applyNumberFormat="1" applyFont="1" applyFill="1" applyBorder="1" applyAlignment="1" applyProtection="1">
      <alignment horizontal="center"/>
      <protection/>
    </xf>
    <xf numFmtId="0" fontId="25" fillId="52" borderId="14" xfId="49" applyNumberFormat="1" applyFont="1" applyFill="1" applyBorder="1" applyAlignment="1" applyProtection="1">
      <alignment horizontal="left"/>
      <protection locked="0"/>
    </xf>
    <xf numFmtId="0" fontId="0" fillId="52" borderId="14" xfId="0" applyFont="1" applyFill="1" applyBorder="1" applyAlignment="1" applyProtection="1" quotePrefix="1">
      <alignment horizontal="center"/>
      <protection/>
    </xf>
    <xf numFmtId="180" fontId="0" fillId="52" borderId="14" xfId="0" applyNumberFormat="1" applyFill="1" applyBorder="1" applyAlignment="1" applyProtection="1">
      <alignment/>
      <protection/>
    </xf>
    <xf numFmtId="2" fontId="3" fillId="52" borderId="14" xfId="0" applyNumberFormat="1" applyFont="1" applyFill="1" applyBorder="1" applyAlignment="1" applyProtection="1">
      <alignment horizontal="right"/>
      <protection/>
    </xf>
    <xf numFmtId="180" fontId="140" fillId="52" borderId="14" xfId="0" applyNumberFormat="1" applyFont="1" applyFill="1" applyBorder="1" applyAlignment="1" applyProtection="1">
      <alignment/>
      <protection locked="0"/>
    </xf>
    <xf numFmtId="0" fontId="0" fillId="52" borderId="14" xfId="0" applyFont="1" applyFill="1" applyBorder="1" applyAlignment="1" applyProtection="1">
      <alignment horizontal="center"/>
      <protection/>
    </xf>
    <xf numFmtId="0" fontId="66" fillId="41" borderId="0" xfId="0" applyFont="1" applyFill="1" applyAlignment="1" applyProtection="1">
      <alignment/>
      <protection/>
    </xf>
    <xf numFmtId="2" fontId="0" fillId="41" borderId="0" xfId="0" applyNumberFormat="1" applyFont="1" applyFill="1" applyBorder="1" applyAlignment="1" applyProtection="1">
      <alignment/>
      <protection hidden="1"/>
    </xf>
    <xf numFmtId="0" fontId="0" fillId="41" borderId="0" xfId="0" applyFont="1" applyFill="1" applyBorder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22" xfId="0" applyFont="1" applyFill="1" applyBorder="1" applyAlignment="1" applyProtection="1" quotePrefix="1">
      <alignment horizontal="center"/>
      <protection/>
    </xf>
    <xf numFmtId="2" fontId="0" fillId="0" borderId="122" xfId="0" applyNumberFormat="1" applyFill="1" applyBorder="1" applyAlignment="1" applyProtection="1">
      <alignment horizontal="left"/>
      <protection/>
    </xf>
    <xf numFmtId="0" fontId="0" fillId="52" borderId="14" xfId="0" applyFill="1" applyBorder="1" applyAlignment="1" applyProtection="1">
      <alignment/>
      <protection/>
    </xf>
    <xf numFmtId="2" fontId="0" fillId="52" borderId="14" xfId="0" applyNumberFormat="1" applyFill="1" applyBorder="1" applyAlignment="1" applyProtection="1">
      <alignment horizontal="left"/>
      <protection/>
    </xf>
    <xf numFmtId="212" fontId="0" fillId="52" borderId="14" xfId="0" applyNumberFormat="1" applyFill="1" applyBorder="1" applyAlignment="1" applyProtection="1">
      <alignment horizontal="left"/>
      <protection/>
    </xf>
    <xf numFmtId="0" fontId="177" fillId="0" borderId="14" xfId="0" applyFont="1" applyFill="1" applyBorder="1" applyAlignment="1" applyProtection="1" quotePrefix="1">
      <alignment horizontal="center"/>
      <protection/>
    </xf>
    <xf numFmtId="2" fontId="177" fillId="0" borderId="14" xfId="0" applyNumberFormat="1" applyFont="1" applyFill="1" applyBorder="1" applyAlignment="1" applyProtection="1">
      <alignment horizontal="left"/>
      <protection/>
    </xf>
    <xf numFmtId="2" fontId="0" fillId="0" borderId="14" xfId="0" applyNumberFormat="1" applyFill="1" applyBorder="1" applyAlignment="1" applyProtection="1">
      <alignment horizontal="left"/>
      <protection/>
    </xf>
    <xf numFmtId="2" fontId="0" fillId="52" borderId="14" xfId="0" applyNumberFormat="1" applyFont="1" applyFill="1" applyBorder="1" applyAlignment="1" applyProtection="1">
      <alignment horizontal="left"/>
      <protection/>
    </xf>
    <xf numFmtId="9" fontId="0" fillId="52" borderId="14" xfId="0" applyNumberFormat="1" applyFill="1" applyBorder="1" applyAlignment="1" applyProtection="1">
      <alignment/>
      <protection/>
    </xf>
    <xf numFmtId="2" fontId="1" fillId="52" borderId="14" xfId="0" applyNumberFormat="1" applyFont="1" applyFill="1" applyBorder="1" applyAlignment="1" applyProtection="1">
      <alignment horizontal="left"/>
      <protection/>
    </xf>
    <xf numFmtId="2" fontId="1" fillId="0" borderId="14" xfId="0" applyNumberFormat="1" applyFont="1" applyFill="1" applyBorder="1" applyAlignment="1" applyProtection="1">
      <alignment horizontal="left"/>
      <protection/>
    </xf>
    <xf numFmtId="2" fontId="0" fillId="0" borderId="14" xfId="0" applyNumberFormat="1" applyFont="1" applyFill="1" applyBorder="1" applyAlignment="1" applyProtection="1">
      <alignment horizontal="left"/>
      <protection/>
    </xf>
    <xf numFmtId="0" fontId="20" fillId="52" borderId="14" xfId="0" applyFont="1" applyFill="1" applyBorder="1" applyAlignment="1" applyProtection="1">
      <alignment horizontal="left"/>
      <protection/>
    </xf>
    <xf numFmtId="0" fontId="37" fillId="0" borderId="14" xfId="0" applyFont="1" applyFill="1" applyBorder="1" applyAlignment="1" applyProtection="1">
      <alignment horizontal="left"/>
      <protection/>
    </xf>
    <xf numFmtId="0" fontId="20" fillId="0" borderId="14" xfId="0" applyFont="1" applyFill="1" applyBorder="1" applyAlignment="1" applyProtection="1">
      <alignment horizontal="left"/>
      <protection/>
    </xf>
    <xf numFmtId="0" fontId="1" fillId="52" borderId="14" xfId="0" applyFont="1" applyFill="1" applyBorder="1" applyAlignment="1" applyProtection="1">
      <alignment/>
      <protection/>
    </xf>
    <xf numFmtId="2" fontId="4" fillId="52" borderId="14" xfId="0" applyNumberFormat="1" applyFont="1" applyFill="1" applyBorder="1" applyAlignment="1" applyProtection="1">
      <alignment horizontal="left"/>
      <protection/>
    </xf>
    <xf numFmtId="2" fontId="20" fillId="52" borderId="14" xfId="0" applyNumberFormat="1" applyFont="1" applyFill="1" applyBorder="1" applyAlignment="1" applyProtection="1">
      <alignment horizontal="left"/>
      <protection/>
    </xf>
    <xf numFmtId="0" fontId="25" fillId="52" borderId="14" xfId="49" applyNumberFormat="1" applyFont="1" applyFill="1" applyBorder="1" applyAlignment="1" applyProtection="1">
      <alignment/>
      <protection locked="0"/>
    </xf>
    <xf numFmtId="0" fontId="7" fillId="52" borderId="14" xfId="0" applyFont="1" applyFill="1" applyBorder="1" applyAlignment="1" applyProtection="1">
      <alignment/>
      <protection/>
    </xf>
    <xf numFmtId="2" fontId="7" fillId="52" borderId="14" xfId="0" applyNumberFormat="1" applyFont="1" applyFill="1" applyBorder="1" applyAlignment="1" applyProtection="1">
      <alignment horizontal="center"/>
      <protection locked="0"/>
    </xf>
    <xf numFmtId="2" fontId="7" fillId="0" borderId="14" xfId="0" applyNumberFormat="1" applyFont="1" applyFill="1" applyBorder="1" applyAlignment="1" applyProtection="1">
      <alignment horizontal="center"/>
      <protection locked="0"/>
    </xf>
    <xf numFmtId="0" fontId="164" fillId="0" borderId="14" xfId="0" applyFont="1" applyFill="1" applyBorder="1" applyAlignment="1" applyProtection="1">
      <alignment/>
      <protection locked="0"/>
    </xf>
    <xf numFmtId="0" fontId="13" fillId="52" borderId="14" xfId="0" applyFont="1" applyFill="1" applyBorder="1" applyAlignment="1" applyProtection="1">
      <alignment/>
      <protection/>
    </xf>
    <xf numFmtId="2" fontId="4" fillId="52" borderId="14" xfId="0" applyNumberFormat="1" applyFont="1" applyFill="1" applyBorder="1" applyAlignment="1" applyProtection="1">
      <alignment horizontal="right"/>
      <protection/>
    </xf>
    <xf numFmtId="2" fontId="0" fillId="41" borderId="0" xfId="0" applyNumberFormat="1" applyFont="1" applyFill="1" applyBorder="1" applyAlignment="1" applyProtection="1">
      <alignment horizontal="left"/>
      <protection/>
    </xf>
    <xf numFmtId="2" fontId="163" fillId="41" borderId="0" xfId="0" applyNumberFormat="1" applyFont="1" applyFill="1" applyBorder="1" applyAlignment="1" applyProtection="1">
      <alignment horizontal="left"/>
      <protection/>
    </xf>
    <xf numFmtId="197" fontId="0" fillId="41" borderId="0" xfId="0" applyNumberFormat="1" applyFont="1" applyFill="1" applyBorder="1" applyAlignment="1" applyProtection="1">
      <alignment/>
      <protection/>
    </xf>
    <xf numFmtId="0" fontId="178" fillId="51" borderId="123" xfId="0" applyFont="1" applyFill="1" applyBorder="1" applyAlignment="1" applyProtection="1">
      <alignment/>
      <protection locked="0"/>
    </xf>
    <xf numFmtId="0" fontId="178" fillId="51" borderId="0" xfId="0" applyFont="1" applyFill="1" applyBorder="1" applyAlignment="1" applyProtection="1">
      <alignment/>
      <protection/>
    </xf>
    <xf numFmtId="1" fontId="178" fillId="51" borderId="124" xfId="0" applyNumberFormat="1" applyFont="1" applyFill="1" applyBorder="1" applyAlignment="1" applyProtection="1">
      <alignment/>
      <protection/>
    </xf>
    <xf numFmtId="0" fontId="26" fillId="0" borderId="10" xfId="0" applyFont="1" applyBorder="1" applyAlignment="1" applyProtection="1">
      <alignment/>
      <protection/>
    </xf>
    <xf numFmtId="0" fontId="0" fillId="0" borderId="125" xfId="0" applyFill="1" applyBorder="1" applyAlignment="1" applyProtection="1">
      <alignment/>
      <protection/>
    </xf>
    <xf numFmtId="0" fontId="0" fillId="52" borderId="33" xfId="0" applyFill="1" applyBorder="1" applyAlignment="1" applyProtection="1">
      <alignment/>
      <protection/>
    </xf>
    <xf numFmtId="0" fontId="177" fillId="0" borderId="33" xfId="0" applyFont="1" applyFill="1" applyBorder="1" applyAlignment="1" applyProtection="1">
      <alignment/>
      <protection/>
    </xf>
    <xf numFmtId="0" fontId="0" fillId="52" borderId="33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9" fontId="0" fillId="52" borderId="33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9" fontId="25" fillId="0" borderId="33" xfId="0" applyNumberFormat="1" applyFont="1" applyFill="1" applyBorder="1" applyAlignment="1" applyProtection="1">
      <alignment/>
      <protection locked="0"/>
    </xf>
    <xf numFmtId="0" fontId="165" fillId="0" borderId="33" xfId="0" applyFont="1" applyFill="1" applyBorder="1" applyAlignment="1" applyProtection="1">
      <alignment horizontal="right"/>
      <protection locked="0"/>
    </xf>
    <xf numFmtId="0" fontId="25" fillId="0" borderId="33" xfId="49" applyNumberFormat="1" applyFont="1" applyFill="1" applyBorder="1" applyAlignment="1" applyProtection="1">
      <alignment/>
      <protection locked="0"/>
    </xf>
    <xf numFmtId="0" fontId="7" fillId="52" borderId="33" xfId="0" applyFont="1" applyFill="1" applyBorder="1" applyAlignment="1" applyProtection="1">
      <alignment horizontal="right"/>
      <protection locked="0"/>
    </xf>
    <xf numFmtId="0" fontId="1" fillId="52" borderId="33" xfId="0" applyFont="1" applyFill="1" applyBorder="1" applyAlignment="1" applyProtection="1">
      <alignment/>
      <protection/>
    </xf>
    <xf numFmtId="180" fontId="0" fillId="52" borderId="33" xfId="0" applyNumberFormat="1" applyFill="1" applyBorder="1" applyAlignment="1" applyProtection="1">
      <alignment/>
      <protection/>
    </xf>
    <xf numFmtId="180" fontId="0" fillId="0" borderId="33" xfId="0" applyNumberFormat="1" applyFill="1" applyBorder="1" applyAlignment="1" applyProtection="1">
      <alignment horizontal="right"/>
      <protection/>
    </xf>
    <xf numFmtId="180" fontId="0" fillId="0" borderId="33" xfId="0" applyNumberFormat="1" applyFill="1" applyBorder="1" applyAlignment="1" applyProtection="1">
      <alignment/>
      <protection/>
    </xf>
    <xf numFmtId="180" fontId="140" fillId="52" borderId="33" xfId="0" applyNumberFormat="1" applyFont="1" applyFill="1" applyBorder="1" applyAlignment="1" applyProtection="1">
      <alignment/>
      <protection locked="0"/>
    </xf>
    <xf numFmtId="0" fontId="25" fillId="0" borderId="33" xfId="0" applyNumberFormat="1" applyFont="1" applyFill="1" applyBorder="1" applyAlignment="1" applyProtection="1">
      <alignment/>
      <protection locked="0"/>
    </xf>
    <xf numFmtId="49" fontId="31" fillId="0" borderId="83" xfId="0" applyNumberFormat="1" applyFont="1" applyFill="1" applyBorder="1" applyAlignment="1" applyProtection="1">
      <alignment horizontal="left"/>
      <protection/>
    </xf>
    <xf numFmtId="49" fontId="31" fillId="52" borderId="126" xfId="0" applyNumberFormat="1" applyFont="1" applyFill="1" applyBorder="1" applyAlignment="1" applyProtection="1">
      <alignment horizontal="left"/>
      <protection/>
    </xf>
    <xf numFmtId="49" fontId="179" fillId="0" borderId="126" xfId="0" applyNumberFormat="1" applyFont="1" applyFill="1" applyBorder="1" applyAlignment="1" applyProtection="1">
      <alignment horizontal="left"/>
      <protection/>
    </xf>
    <xf numFmtId="0" fontId="0" fillId="0" borderId="126" xfId="0" applyFont="1" applyFill="1" applyBorder="1" applyAlignment="1" applyProtection="1">
      <alignment/>
      <protection/>
    </xf>
    <xf numFmtId="9" fontId="0" fillId="52" borderId="126" xfId="0" applyNumberFormat="1" applyFill="1" applyBorder="1" applyAlignment="1" applyProtection="1">
      <alignment/>
      <protection/>
    </xf>
    <xf numFmtId="9" fontId="0" fillId="0" borderId="126" xfId="0" applyNumberFormat="1" applyFill="1" applyBorder="1" applyAlignment="1" applyProtection="1">
      <alignment/>
      <protection/>
    </xf>
    <xf numFmtId="9" fontId="9" fillId="52" borderId="126" xfId="0" applyNumberFormat="1" applyFont="1" applyFill="1" applyBorder="1" applyAlignment="1" applyProtection="1">
      <alignment/>
      <protection/>
    </xf>
    <xf numFmtId="9" fontId="0" fillId="0" borderId="126" xfId="0" applyNumberFormat="1" applyFont="1" applyFill="1" applyBorder="1" applyAlignment="1" applyProtection="1">
      <alignment/>
      <protection/>
    </xf>
    <xf numFmtId="0" fontId="0" fillId="52" borderId="126" xfId="0" applyFill="1" applyBorder="1" applyAlignment="1" applyProtection="1">
      <alignment/>
      <protection/>
    </xf>
    <xf numFmtId="0" fontId="1" fillId="52" borderId="126" xfId="0" applyFont="1" applyFill="1" applyBorder="1" applyAlignment="1" applyProtection="1">
      <alignment/>
      <protection/>
    </xf>
    <xf numFmtId="0" fontId="0" fillId="0" borderId="126" xfId="0" applyFill="1" applyBorder="1" applyAlignment="1" applyProtection="1">
      <alignment/>
      <protection/>
    </xf>
    <xf numFmtId="0" fontId="7" fillId="52" borderId="126" xfId="0" applyFont="1" applyFill="1" applyBorder="1" applyAlignment="1" applyProtection="1">
      <alignment/>
      <protection/>
    </xf>
    <xf numFmtId="0" fontId="0" fillId="52" borderId="126" xfId="0" applyFill="1" applyBorder="1" applyAlignment="1" applyProtection="1">
      <alignment horizontal="left"/>
      <protection/>
    </xf>
    <xf numFmtId="0" fontId="0" fillId="0" borderId="126" xfId="0" applyFill="1" applyBorder="1" applyAlignment="1" applyProtection="1">
      <alignment horizontal="left"/>
      <protection/>
    </xf>
    <xf numFmtId="0" fontId="0" fillId="52" borderId="126" xfId="0" applyFont="1" applyFill="1" applyBorder="1" applyAlignment="1" applyProtection="1">
      <alignment horizontal="left"/>
      <protection/>
    </xf>
    <xf numFmtId="0" fontId="7" fillId="52" borderId="127" xfId="0" applyFont="1" applyFill="1" applyBorder="1" applyAlignment="1" applyProtection="1">
      <alignment/>
      <protection/>
    </xf>
    <xf numFmtId="2" fontId="0" fillId="0" borderId="23" xfId="0" applyNumberFormat="1" applyFill="1" applyBorder="1" applyAlignment="1" applyProtection="1">
      <alignment horizontal="left"/>
      <protection/>
    </xf>
    <xf numFmtId="2" fontId="0" fillId="0" borderId="21" xfId="0" applyNumberFormat="1" applyFill="1" applyBorder="1" applyAlignment="1" applyProtection="1">
      <alignment horizontal="left"/>
      <protection/>
    </xf>
    <xf numFmtId="2" fontId="0" fillId="52" borderId="15" xfId="0" applyNumberFormat="1" applyFill="1" applyBorder="1" applyAlignment="1" applyProtection="1">
      <alignment horizontal="left"/>
      <protection/>
    </xf>
    <xf numFmtId="212" fontId="0" fillId="52" borderId="22" xfId="0" applyNumberFormat="1" applyFill="1" applyBorder="1" applyAlignment="1" applyProtection="1">
      <alignment horizontal="left"/>
      <protection/>
    </xf>
    <xf numFmtId="2" fontId="177" fillId="0" borderId="15" xfId="0" applyNumberFormat="1" applyFont="1" applyFill="1" applyBorder="1" applyAlignment="1" applyProtection="1">
      <alignment horizontal="left"/>
      <protection/>
    </xf>
    <xf numFmtId="2" fontId="0" fillId="0" borderId="22" xfId="0" applyNumberFormat="1" applyFill="1" applyBorder="1" applyAlignment="1" applyProtection="1">
      <alignment horizontal="left"/>
      <protection/>
    </xf>
    <xf numFmtId="2" fontId="0" fillId="52" borderId="15" xfId="0" applyNumberFormat="1" applyFont="1" applyFill="1" applyBorder="1" applyAlignment="1" applyProtection="1">
      <alignment horizontal="left"/>
      <protection/>
    </xf>
    <xf numFmtId="2" fontId="0" fillId="52" borderId="22" xfId="0" applyNumberFormat="1" applyFill="1" applyBorder="1" applyAlignment="1" applyProtection="1">
      <alignment horizontal="left"/>
      <protection/>
    </xf>
    <xf numFmtId="2" fontId="0" fillId="0" borderId="15" xfId="0" applyNumberFormat="1" applyFill="1" applyBorder="1" applyAlignment="1" applyProtection="1">
      <alignment horizontal="left"/>
      <protection/>
    </xf>
    <xf numFmtId="2" fontId="1" fillId="52" borderId="15" xfId="0" applyNumberFormat="1" applyFont="1" applyFill="1" applyBorder="1" applyAlignment="1" applyProtection="1">
      <alignment horizontal="left"/>
      <protection/>
    </xf>
    <xf numFmtId="2" fontId="1" fillId="0" borderId="15" xfId="0" applyNumberFormat="1" applyFont="1" applyFill="1" applyBorder="1" applyAlignment="1" applyProtection="1">
      <alignment horizontal="left"/>
      <protection/>
    </xf>
    <xf numFmtId="2" fontId="9" fillId="52" borderId="15" xfId="0" applyNumberFormat="1" applyFont="1" applyFill="1" applyBorder="1" applyAlignment="1" applyProtection="1">
      <alignment horizontal="left"/>
      <protection/>
    </xf>
    <xf numFmtId="2" fontId="0" fillId="0" borderId="15" xfId="0" applyNumberFormat="1" applyFont="1" applyFill="1" applyBorder="1" applyAlignment="1" applyProtection="1">
      <alignment horizontal="left"/>
      <protection/>
    </xf>
    <xf numFmtId="0" fontId="25" fillId="52" borderId="15" xfId="49" applyNumberFormat="1" applyFont="1" applyFill="1" applyBorder="1" applyAlignment="1" applyProtection="1">
      <alignment horizontal="left"/>
      <protection locked="0"/>
    </xf>
    <xf numFmtId="0" fontId="20" fillId="52" borderId="22" xfId="0" applyFont="1" applyFill="1" applyBorder="1" applyAlignment="1" applyProtection="1">
      <alignment horizontal="left"/>
      <protection/>
    </xf>
    <xf numFmtId="0" fontId="37" fillId="0" borderId="15" xfId="0" applyFont="1" applyFill="1" applyBorder="1" applyAlignment="1" applyProtection="1">
      <alignment horizontal="left"/>
      <protection/>
    </xf>
    <xf numFmtId="0" fontId="20" fillId="0" borderId="22" xfId="0" applyFont="1" applyFill="1" applyBorder="1" applyAlignment="1" applyProtection="1">
      <alignment horizontal="left"/>
      <protection/>
    </xf>
    <xf numFmtId="2" fontId="4" fillId="52" borderId="15" xfId="0" applyNumberFormat="1" applyFont="1" applyFill="1" applyBorder="1" applyAlignment="1" applyProtection="1">
      <alignment horizontal="left"/>
      <protection/>
    </xf>
    <xf numFmtId="2" fontId="20" fillId="52" borderId="22" xfId="0" applyNumberFormat="1" applyFont="1" applyFill="1" applyBorder="1" applyAlignment="1" applyProtection="1">
      <alignment horizontal="left"/>
      <protection/>
    </xf>
    <xf numFmtId="0" fontId="25" fillId="52" borderId="15" xfId="49" applyNumberFormat="1" applyFont="1" applyFill="1" applyBorder="1" applyAlignment="1" applyProtection="1">
      <alignment/>
      <protection locked="0"/>
    </xf>
    <xf numFmtId="2" fontId="1" fillId="52" borderId="22" xfId="0" applyNumberFormat="1" applyFont="1" applyFill="1" applyBorder="1" applyAlignment="1" applyProtection="1">
      <alignment horizontal="left"/>
      <protection/>
    </xf>
    <xf numFmtId="0" fontId="25" fillId="0" borderId="15" xfId="49" applyNumberFormat="1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 horizontal="right"/>
      <protection/>
    </xf>
    <xf numFmtId="2" fontId="7" fillId="52" borderId="15" xfId="0" applyNumberFormat="1" applyFont="1" applyFill="1" applyBorder="1" applyAlignment="1" applyProtection="1">
      <alignment horizontal="center"/>
      <protection locked="0"/>
    </xf>
    <xf numFmtId="2" fontId="3" fillId="52" borderId="22" xfId="0" applyNumberFormat="1" applyFont="1" applyFill="1" applyBorder="1" applyAlignment="1" applyProtection="1">
      <alignment horizontal="right"/>
      <protection/>
    </xf>
    <xf numFmtId="2" fontId="7" fillId="0" borderId="15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right"/>
      <protection/>
    </xf>
    <xf numFmtId="0" fontId="164" fillId="0" borderId="15" xfId="0" applyFont="1" applyFill="1" applyBorder="1" applyAlignment="1" applyProtection="1">
      <alignment/>
      <protection locked="0"/>
    </xf>
    <xf numFmtId="0" fontId="13" fillId="52" borderId="16" xfId="0" applyFont="1" applyFill="1" applyBorder="1" applyAlignment="1" applyProtection="1">
      <alignment/>
      <protection/>
    </xf>
    <xf numFmtId="2" fontId="4" fillId="52" borderId="24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2" fontId="0" fillId="0" borderId="22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2" fontId="1" fillId="0" borderId="24" xfId="0" applyNumberFormat="1" applyFont="1" applyFill="1" applyBorder="1" applyAlignment="1" applyProtection="1">
      <alignment/>
      <protection/>
    </xf>
    <xf numFmtId="0" fontId="0" fillId="0" borderId="34" xfId="0" applyBorder="1" applyAlignment="1" applyProtection="1">
      <alignment horizontal="right"/>
      <protection/>
    </xf>
    <xf numFmtId="0" fontId="0" fillId="0" borderId="23" xfId="0" applyFill="1" applyBorder="1" applyAlignment="1" applyProtection="1" quotePrefix="1">
      <alignment horizontal="right"/>
      <protection/>
    </xf>
    <xf numFmtId="0" fontId="0" fillId="0" borderId="15" xfId="0" applyFill="1" applyBorder="1" applyAlignment="1" applyProtection="1" quotePrefix="1">
      <alignment horizontal="right"/>
      <protection/>
    </xf>
    <xf numFmtId="9" fontId="0" fillId="0" borderId="22" xfId="0" applyNumberFormat="1" applyFill="1" applyBorder="1" applyAlignment="1" applyProtection="1">
      <alignment/>
      <protection/>
    </xf>
    <xf numFmtId="0" fontId="0" fillId="0" borderId="15" xfId="0" applyFont="1" applyFill="1" applyBorder="1" applyAlignment="1" applyProtection="1" quotePrefix="1">
      <alignment horizontal="right"/>
      <protection/>
    </xf>
    <xf numFmtId="1" fontId="0" fillId="0" borderId="15" xfId="0" applyNumberFormat="1" applyFont="1" applyFill="1" applyBorder="1" applyAlignment="1" applyProtection="1" quotePrefix="1">
      <alignment horizontal="right"/>
      <protection/>
    </xf>
    <xf numFmtId="1" fontId="0" fillId="0" borderId="15" xfId="0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 horizontal="right"/>
      <protection/>
    </xf>
    <xf numFmtId="2" fontId="0" fillId="0" borderId="15" xfId="0" applyNumberFormat="1" applyFont="1" applyFill="1" applyBorder="1" applyAlignment="1" applyProtection="1" quotePrefix="1">
      <alignment horizontal="right"/>
      <protection/>
    </xf>
    <xf numFmtId="0" fontId="0" fillId="0" borderId="15" xfId="0" applyFont="1" applyFill="1" applyBorder="1" applyAlignment="1" applyProtection="1" quotePrefix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52" borderId="23" xfId="0" applyFill="1" applyBorder="1" applyAlignment="1" applyProtection="1" quotePrefix="1">
      <alignment horizontal="right"/>
      <protection/>
    </xf>
    <xf numFmtId="2" fontId="0" fillId="52" borderId="23" xfId="0" applyNumberFormat="1" applyFill="1" applyBorder="1" applyAlignment="1" applyProtection="1">
      <alignment horizontal="left"/>
      <protection/>
    </xf>
    <xf numFmtId="0" fontId="0" fillId="52" borderId="21" xfId="0" applyFill="1" applyBorder="1" applyAlignment="1" applyProtection="1">
      <alignment/>
      <protection/>
    </xf>
    <xf numFmtId="0" fontId="0" fillId="52" borderId="15" xfId="0" applyFill="1" applyBorder="1" applyAlignment="1" applyProtection="1" quotePrefix="1">
      <alignment horizontal="right"/>
      <protection/>
    </xf>
    <xf numFmtId="0" fontId="0" fillId="52" borderId="22" xfId="0" applyFill="1" applyBorder="1" applyAlignment="1" applyProtection="1">
      <alignment/>
      <protection/>
    </xf>
    <xf numFmtId="9" fontId="0" fillId="52" borderId="22" xfId="0" applyNumberFormat="1" applyFill="1" applyBorder="1" applyAlignment="1" applyProtection="1">
      <alignment/>
      <protection/>
    </xf>
    <xf numFmtId="1" fontId="0" fillId="52" borderId="15" xfId="0" applyNumberFormat="1" applyFont="1" applyFill="1" applyBorder="1" applyAlignment="1" applyProtection="1" quotePrefix="1">
      <alignment horizontal="right"/>
      <protection/>
    </xf>
    <xf numFmtId="1" fontId="0" fillId="52" borderId="15" xfId="0" applyNumberFormat="1" applyFont="1" applyFill="1" applyBorder="1" applyAlignment="1" applyProtection="1">
      <alignment horizontal="right"/>
      <protection/>
    </xf>
    <xf numFmtId="0" fontId="0" fillId="52" borderId="15" xfId="0" applyFill="1" applyBorder="1" applyAlignment="1" applyProtection="1">
      <alignment horizontal="right"/>
      <protection/>
    </xf>
    <xf numFmtId="0" fontId="0" fillId="52" borderId="15" xfId="0" applyFill="1" applyBorder="1" applyAlignment="1" applyProtection="1">
      <alignment/>
      <protection/>
    </xf>
    <xf numFmtId="0" fontId="0" fillId="52" borderId="15" xfId="0" applyFill="1" applyBorder="1" applyAlignment="1" applyProtection="1">
      <alignment horizontal="left"/>
      <protection/>
    </xf>
    <xf numFmtId="2" fontId="0" fillId="52" borderId="22" xfId="0" applyNumberFormat="1" applyFill="1" applyBorder="1" applyAlignment="1" applyProtection="1">
      <alignment/>
      <protection/>
    </xf>
    <xf numFmtId="0" fontId="0" fillId="52" borderId="15" xfId="0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/>
      <protection/>
    </xf>
    <xf numFmtId="0" fontId="19" fillId="0" borderId="122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204" fontId="7" fillId="0" borderId="14" xfId="0" applyNumberFormat="1" applyFont="1" applyFill="1" applyBorder="1" applyAlignment="1" applyProtection="1">
      <alignment/>
      <protection/>
    </xf>
    <xf numFmtId="9" fontId="0" fillId="0" borderId="22" xfId="0" applyNumberFormat="1" applyFont="1" applyFill="1" applyBorder="1" applyAlignment="1" applyProtection="1">
      <alignment/>
      <protection/>
    </xf>
    <xf numFmtId="9" fontId="1" fillId="0" borderId="22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19" fillId="52" borderId="122" xfId="0" applyFont="1" applyFill="1" applyBorder="1" applyAlignment="1" applyProtection="1">
      <alignment/>
      <protection/>
    </xf>
    <xf numFmtId="1" fontId="7" fillId="52" borderId="14" xfId="0" applyNumberFormat="1" applyFont="1" applyFill="1" applyBorder="1" applyAlignment="1" applyProtection="1">
      <alignment/>
      <protection/>
    </xf>
    <xf numFmtId="0" fontId="0" fillId="52" borderId="22" xfId="0" applyFont="1" applyFill="1" applyBorder="1" applyAlignment="1" applyProtection="1">
      <alignment/>
      <protection/>
    </xf>
    <xf numFmtId="0" fontId="0" fillId="52" borderId="22" xfId="0" applyFill="1" applyBorder="1" applyAlignment="1" applyProtection="1">
      <alignment horizontal="left"/>
      <protection/>
    </xf>
    <xf numFmtId="9" fontId="164" fillId="0" borderId="14" xfId="0" applyNumberFormat="1" applyFont="1" applyFill="1" applyBorder="1" applyAlignment="1" applyProtection="1">
      <alignment/>
      <protection locked="0"/>
    </xf>
    <xf numFmtId="0" fontId="35" fillId="52" borderId="14" xfId="0" applyFont="1" applyFill="1" applyBorder="1" applyAlignment="1" applyProtection="1">
      <alignment/>
      <protection/>
    </xf>
    <xf numFmtId="9" fontId="0" fillId="52" borderId="22" xfId="0" applyNumberFormat="1" applyFont="1" applyFill="1" applyBorder="1" applyAlignment="1" applyProtection="1">
      <alignment/>
      <protection/>
    </xf>
    <xf numFmtId="204" fontId="7" fillId="52" borderId="14" xfId="0" applyNumberFormat="1" applyFont="1" applyFill="1" applyBorder="1" applyAlignment="1" applyProtection="1">
      <alignment/>
      <protection/>
    </xf>
    <xf numFmtId="9" fontId="7" fillId="52" borderId="22" xfId="0" applyNumberFormat="1" applyFont="1" applyFill="1" applyBorder="1" applyAlignment="1" applyProtection="1">
      <alignment/>
      <protection/>
    </xf>
    <xf numFmtId="10" fontId="0" fillId="52" borderId="14" xfId="0" applyNumberFormat="1" applyFill="1" applyBorder="1" applyAlignment="1" applyProtection="1">
      <alignment/>
      <protection/>
    </xf>
    <xf numFmtId="9" fontId="25" fillId="52" borderId="14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52" borderId="15" xfId="0" applyFont="1" applyFill="1" applyBorder="1" applyAlignment="1" applyProtection="1">
      <alignment horizontal="right"/>
      <protection/>
    </xf>
    <xf numFmtId="2" fontId="0" fillId="52" borderId="15" xfId="0" applyNumberFormat="1" applyFont="1" applyFill="1" applyBorder="1" applyAlignment="1" applyProtection="1" quotePrefix="1">
      <alignment horizontal="right"/>
      <protection/>
    </xf>
    <xf numFmtId="2" fontId="0" fillId="52" borderId="22" xfId="0" applyNumberFormat="1" applyFont="1" applyFill="1" applyBorder="1" applyAlignment="1" applyProtection="1">
      <alignment horizontal="right"/>
      <protection/>
    </xf>
    <xf numFmtId="0" fontId="0" fillId="52" borderId="15" xfId="0" applyFont="1" applyFill="1" applyBorder="1" applyAlignment="1" applyProtection="1" quotePrefix="1">
      <alignment horizontal="center"/>
      <protection/>
    </xf>
    <xf numFmtId="0" fontId="0" fillId="52" borderId="22" xfId="0" applyFont="1" applyFill="1" applyBorder="1" applyAlignment="1" applyProtection="1">
      <alignment horizontal="left"/>
      <protection/>
    </xf>
    <xf numFmtId="0" fontId="1" fillId="52" borderId="16" xfId="0" applyFont="1" applyFill="1" applyBorder="1" applyAlignment="1" applyProtection="1">
      <alignment/>
      <protection/>
    </xf>
    <xf numFmtId="0" fontId="1" fillId="52" borderId="17" xfId="0" applyFont="1" applyFill="1" applyBorder="1" applyAlignment="1" applyProtection="1">
      <alignment/>
      <protection/>
    </xf>
    <xf numFmtId="0" fontId="7" fillId="52" borderId="24" xfId="0" applyFont="1" applyFill="1" applyBorder="1" applyAlignment="1" applyProtection="1">
      <alignment/>
      <protection/>
    </xf>
    <xf numFmtId="2" fontId="1" fillId="52" borderId="24" xfId="0" applyNumberFormat="1" applyFont="1" applyFill="1" applyBorder="1" applyAlignment="1" applyProtection="1">
      <alignment/>
      <protection/>
    </xf>
    <xf numFmtId="0" fontId="175" fillId="0" borderId="0" xfId="0" applyFont="1" applyFill="1" applyBorder="1" applyAlignment="1" applyProtection="1">
      <alignment/>
      <protection/>
    </xf>
    <xf numFmtId="0" fontId="176" fillId="0" borderId="0" xfId="0" applyFont="1" applyFill="1" applyBorder="1" applyAlignment="1" applyProtection="1">
      <alignment/>
      <protection/>
    </xf>
    <xf numFmtId="0" fontId="0" fillId="41" borderId="57" xfId="0" applyFill="1" applyBorder="1" applyAlignment="1" applyProtection="1">
      <alignment/>
      <protection/>
    </xf>
    <xf numFmtId="0" fontId="0" fillId="41" borderId="29" xfId="0" applyFill="1" applyBorder="1" applyAlignment="1" applyProtection="1">
      <alignment/>
      <protection/>
    </xf>
    <xf numFmtId="180" fontId="0" fillId="41" borderId="29" xfId="55" applyNumberFormat="1" applyFont="1" applyFill="1" applyBorder="1" applyAlignment="1" applyProtection="1">
      <alignment/>
      <protection/>
    </xf>
    <xf numFmtId="180" fontId="163" fillId="41" borderId="29" xfId="55" applyNumberFormat="1" applyFont="1" applyFill="1" applyBorder="1" applyAlignment="1" applyProtection="1">
      <alignment/>
      <protection/>
    </xf>
    <xf numFmtId="180" fontId="0" fillId="41" borderId="29" xfId="55" applyNumberFormat="1" applyFont="1" applyFill="1" applyBorder="1" applyAlignment="1" applyProtection="1">
      <alignment/>
      <protection/>
    </xf>
    <xf numFmtId="197" fontId="0" fillId="41" borderId="29" xfId="0" applyNumberFormat="1" applyFont="1" applyFill="1" applyBorder="1" applyAlignment="1" applyProtection="1">
      <alignment/>
      <protection/>
    </xf>
    <xf numFmtId="2" fontId="0" fillId="41" borderId="29" xfId="0" applyNumberFormat="1" applyFont="1" applyFill="1" applyBorder="1" applyAlignment="1" applyProtection="1">
      <alignment/>
      <protection hidden="1"/>
    </xf>
    <xf numFmtId="0" fontId="0" fillId="41" borderId="29" xfId="0" applyFont="1" applyFill="1" applyBorder="1" applyAlignment="1" applyProtection="1">
      <alignment/>
      <protection/>
    </xf>
    <xf numFmtId="0" fontId="1" fillId="41" borderId="29" xfId="0" applyFont="1" applyFill="1" applyBorder="1" applyAlignment="1" applyProtection="1">
      <alignment/>
      <protection/>
    </xf>
    <xf numFmtId="0" fontId="1" fillId="41" borderId="29" xfId="0" applyFont="1" applyFill="1" applyBorder="1" applyAlignment="1" applyProtection="1">
      <alignment/>
      <protection hidden="1"/>
    </xf>
    <xf numFmtId="2" fontId="0" fillId="41" borderId="29" xfId="0" applyNumberFormat="1" applyFont="1" applyFill="1" applyBorder="1" applyAlignment="1" applyProtection="1">
      <alignment horizontal="left"/>
      <protection/>
    </xf>
    <xf numFmtId="2" fontId="163" fillId="41" borderId="29" xfId="0" applyNumberFormat="1" applyFont="1" applyFill="1" applyBorder="1" applyAlignment="1" applyProtection="1">
      <alignment horizontal="left"/>
      <protection/>
    </xf>
    <xf numFmtId="0" fontId="163" fillId="41" borderId="29" xfId="0" applyFont="1" applyFill="1" applyBorder="1" applyAlignment="1" applyProtection="1">
      <alignment/>
      <protection/>
    </xf>
    <xf numFmtId="2" fontId="0" fillId="47" borderId="0" xfId="0" applyNumberFormat="1" applyFill="1" applyBorder="1" applyAlignment="1" applyProtection="1">
      <alignment/>
      <protection/>
    </xf>
    <xf numFmtId="17" fontId="167" fillId="46" borderId="0" xfId="0" applyNumberFormat="1" applyFont="1" applyFill="1" applyBorder="1" applyAlignment="1" applyProtection="1" quotePrefix="1">
      <alignment/>
      <protection/>
    </xf>
    <xf numFmtId="0" fontId="0" fillId="46" borderId="0" xfId="0" applyFill="1" applyAlignment="1" applyProtection="1">
      <alignment/>
      <protection/>
    </xf>
    <xf numFmtId="17" fontId="167" fillId="11" borderId="0" xfId="0" applyNumberFormat="1" applyFont="1" applyFill="1" applyBorder="1" applyAlignment="1" applyProtection="1" quotePrefix="1">
      <alignment/>
      <protection/>
    </xf>
    <xf numFmtId="0" fontId="0" fillId="11" borderId="0" xfId="0" applyFill="1" applyAlignment="1" applyProtection="1">
      <alignment/>
      <protection/>
    </xf>
    <xf numFmtId="0" fontId="146" fillId="48" borderId="0" xfId="0" applyFont="1" applyFill="1" applyBorder="1" applyAlignment="1" applyProtection="1">
      <alignment/>
      <protection/>
    </xf>
    <xf numFmtId="0" fontId="165" fillId="0" borderId="128" xfId="55" applyNumberFormat="1" applyFont="1" applyFill="1" applyBorder="1" applyAlignment="1" applyProtection="1">
      <alignment horizontal="center"/>
      <protection locked="0"/>
    </xf>
    <xf numFmtId="0" fontId="5" fillId="0" borderId="129" xfId="0" applyFont="1" applyFill="1" applyBorder="1" applyAlignment="1" applyProtection="1">
      <alignment horizontal="center"/>
      <protection locked="0"/>
    </xf>
    <xf numFmtId="0" fontId="0" fillId="40" borderId="19" xfId="0" applyFill="1" applyBorder="1" applyAlignment="1" applyProtection="1">
      <alignment/>
      <protection hidden="1"/>
    </xf>
    <xf numFmtId="17" fontId="167" fillId="49" borderId="0" xfId="0" applyNumberFormat="1" applyFont="1" applyFill="1" applyBorder="1" applyAlignment="1" applyProtection="1" quotePrefix="1">
      <alignment/>
      <protection/>
    </xf>
    <xf numFmtId="0" fontId="0" fillId="49" borderId="0" xfId="0" applyFill="1" applyAlignment="1" applyProtection="1">
      <alignment/>
      <protection/>
    </xf>
    <xf numFmtId="209" fontId="0" fillId="0" borderId="0" xfId="0" applyNumberFormat="1" applyAlignment="1" applyProtection="1">
      <alignment/>
      <protection/>
    </xf>
    <xf numFmtId="0" fontId="141" fillId="0" borderId="22" xfId="0" applyFont="1" applyFill="1" applyBorder="1" applyAlignment="1" applyProtection="1">
      <alignment/>
      <protection/>
    </xf>
    <xf numFmtId="17" fontId="180" fillId="49" borderId="0" xfId="0" applyNumberFormat="1" applyFont="1" applyFill="1" applyBorder="1" applyAlignment="1" applyProtection="1" quotePrefix="1">
      <alignment/>
      <protection/>
    </xf>
    <xf numFmtId="0" fontId="68" fillId="49" borderId="0" xfId="0" applyFont="1" applyFill="1" applyAlignment="1" applyProtection="1">
      <alignment/>
      <protection/>
    </xf>
    <xf numFmtId="0" fontId="68" fillId="41" borderId="0" xfId="0" applyFont="1" applyFill="1" applyAlignment="1" applyProtection="1">
      <alignment/>
      <protection/>
    </xf>
    <xf numFmtId="0" fontId="0" fillId="41" borderId="0" xfId="0" applyFill="1" applyAlignment="1">
      <alignment/>
    </xf>
    <xf numFmtId="0" fontId="181" fillId="53" borderId="0" xfId="0" applyFont="1" applyFill="1" applyAlignment="1" quotePrefix="1">
      <alignment/>
    </xf>
    <xf numFmtId="0" fontId="0" fillId="53" borderId="0" xfId="0" applyFill="1" applyAlignment="1">
      <alignment/>
    </xf>
    <xf numFmtId="0" fontId="182" fillId="53" borderId="0" xfId="0" applyFont="1" applyFill="1" applyAlignment="1" quotePrefix="1">
      <alignment/>
    </xf>
    <xf numFmtId="0" fontId="69" fillId="53" borderId="0" xfId="0" applyFont="1" applyFill="1" applyAlignment="1">
      <alignment/>
    </xf>
    <xf numFmtId="0" fontId="69" fillId="41" borderId="0" xfId="0" applyFont="1" applyFill="1" applyAlignment="1">
      <alignment/>
    </xf>
    <xf numFmtId="209" fontId="0" fillId="0" borderId="0" xfId="0" applyNumberFormat="1" applyFont="1" applyFill="1" applyBorder="1" applyAlignment="1">
      <alignment horizontal="right"/>
    </xf>
    <xf numFmtId="212" fontId="0" fillId="0" borderId="0" xfId="0" applyNumberFormat="1" applyFont="1" applyFill="1" applyBorder="1" applyAlignment="1">
      <alignment horizontal="right"/>
    </xf>
    <xf numFmtId="0" fontId="0" fillId="14" borderId="0" xfId="0" applyFont="1" applyFill="1" applyAlignment="1" applyProtection="1">
      <alignment/>
      <protection/>
    </xf>
    <xf numFmtId="0" fontId="19" fillId="14" borderId="0" xfId="0" applyFont="1" applyFill="1" applyAlignment="1" applyProtection="1">
      <alignment/>
      <protection/>
    </xf>
    <xf numFmtId="2" fontId="61" fillId="0" borderId="0" xfId="0" applyNumberFormat="1" applyFont="1" applyBorder="1" applyAlignment="1" applyProtection="1">
      <alignment horizontal="center" vertical="center"/>
      <protection locked="0"/>
    </xf>
    <xf numFmtId="0" fontId="7" fillId="0" borderId="94" xfId="0" applyFont="1" applyBorder="1" applyAlignment="1" applyProtection="1">
      <alignment/>
      <protection locked="0"/>
    </xf>
    <xf numFmtId="0" fontId="0" fillId="0" borderId="94" xfId="0" applyFill="1" applyBorder="1" applyAlignment="1" applyProtection="1">
      <alignment/>
      <protection locked="0"/>
    </xf>
    <xf numFmtId="0" fontId="39" fillId="0" borderId="94" xfId="0" applyFont="1" applyFill="1" applyBorder="1" applyAlignment="1" applyProtection="1">
      <alignment/>
      <protection locked="0"/>
    </xf>
    <xf numFmtId="1" fontId="178" fillId="51" borderId="124" xfId="0" applyNumberFormat="1" applyFont="1" applyFill="1" applyBorder="1" applyAlignment="1" applyProtection="1">
      <alignment/>
      <protection locked="0"/>
    </xf>
    <xf numFmtId="0" fontId="7" fillId="0" borderId="94" xfId="0" applyFont="1" applyFill="1" applyBorder="1" applyAlignment="1" applyProtection="1">
      <alignment/>
      <protection locked="0"/>
    </xf>
    <xf numFmtId="0" fontId="143" fillId="48" borderId="0" xfId="0" applyFont="1" applyFill="1" applyBorder="1" applyAlignment="1" applyProtection="1">
      <alignment/>
      <protection/>
    </xf>
    <xf numFmtId="0" fontId="141" fillId="48" borderId="0" xfId="0" applyFont="1" applyFill="1" applyBorder="1" applyAlignment="1" applyProtection="1">
      <alignment/>
      <protection/>
    </xf>
    <xf numFmtId="0" fontId="0" fillId="48" borderId="0" xfId="0" applyFont="1" applyFill="1" applyBorder="1" applyAlignment="1" applyProtection="1">
      <alignment/>
      <protection/>
    </xf>
    <xf numFmtId="0" fontId="0" fillId="48" borderId="0" xfId="0" applyFon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1" fillId="54" borderId="0" xfId="0" applyFont="1" applyFill="1" applyAlignment="1" quotePrefix="1">
      <alignment/>
    </xf>
    <xf numFmtId="0" fontId="183" fillId="41" borderId="0" xfId="0" applyFont="1" applyFill="1" applyAlignment="1" quotePrefix="1">
      <alignment/>
    </xf>
    <xf numFmtId="9" fontId="164" fillId="41" borderId="0" xfId="0" applyNumberFormat="1" applyFont="1" applyFill="1" applyBorder="1" applyAlignment="1" applyProtection="1" quotePrefix="1">
      <alignment horizontal="center" vertical="center"/>
      <protection locked="0"/>
    </xf>
    <xf numFmtId="0" fontId="70" fillId="0" borderId="0" xfId="0" applyFont="1" applyAlignment="1" applyProtection="1">
      <alignment/>
      <protection/>
    </xf>
    <xf numFmtId="0" fontId="165" fillId="42" borderId="67" xfId="55" applyNumberFormat="1" applyFont="1" applyFill="1" applyBorder="1" applyAlignment="1" applyProtection="1">
      <alignment horizontal="center"/>
      <protection locked="0"/>
    </xf>
    <xf numFmtId="0" fontId="7" fillId="40" borderId="130" xfId="0" applyFont="1" applyFill="1" applyBorder="1" applyAlignment="1" applyProtection="1">
      <alignment horizontal="right"/>
      <protection locked="0"/>
    </xf>
    <xf numFmtId="170" fontId="184" fillId="0" borderId="131" xfId="0" applyNumberFormat="1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37</xdr:row>
      <xdr:rowOff>104775</xdr:rowOff>
    </xdr:from>
    <xdr:to>
      <xdr:col>5</xdr:col>
      <xdr:colOff>638175</xdr:colOff>
      <xdr:row>39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447675" y="6800850"/>
          <a:ext cx="53435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AGMER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123825</xdr:rowOff>
    </xdr:from>
    <xdr:to>
      <xdr:col>6</xdr:col>
      <xdr:colOff>9525</xdr:colOff>
      <xdr:row>32</xdr:row>
      <xdr:rowOff>47625</xdr:rowOff>
    </xdr:to>
    <xdr:sp>
      <xdr:nvSpPr>
        <xdr:cNvPr id="1" name="WordArt 1027"/>
        <xdr:cNvSpPr>
          <a:spLocks/>
        </xdr:cNvSpPr>
      </xdr:nvSpPr>
      <xdr:spPr>
        <a:xfrm>
          <a:off x="514350" y="5276850"/>
          <a:ext cx="47815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AGMER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30</xdr:row>
      <xdr:rowOff>104775</xdr:rowOff>
    </xdr:from>
    <xdr:to>
      <xdr:col>5</xdr:col>
      <xdr:colOff>228600</xdr:colOff>
      <xdr:row>32</xdr:row>
      <xdr:rowOff>28575</xdr:rowOff>
    </xdr:to>
    <xdr:sp>
      <xdr:nvSpPr>
        <xdr:cNvPr id="1" name="WordArt 3"/>
        <xdr:cNvSpPr>
          <a:spLocks/>
        </xdr:cNvSpPr>
      </xdr:nvSpPr>
      <xdr:spPr>
        <a:xfrm>
          <a:off x="514350" y="5391150"/>
          <a:ext cx="42957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AGMER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Descargas\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hyperlink" Target="https://www.facebook.com/agmeruruguay-188015884570012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O436"/>
  <sheetViews>
    <sheetView showGridLines="0" tabSelected="1" zoomScale="85" zoomScaleNormal="85" zoomScaleSheetLayoutView="7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3.140625" style="1" customWidth="1"/>
    <col min="2" max="2" width="17.140625" style="1" customWidth="1"/>
    <col min="3" max="3" width="21.7109375" style="1" customWidth="1"/>
    <col min="4" max="4" width="32.421875" style="1" customWidth="1"/>
    <col min="5" max="5" width="22.57421875" style="1" customWidth="1"/>
    <col min="6" max="6" width="24.8515625" style="1" customWidth="1"/>
    <col min="7" max="7" width="11.00390625" style="1" customWidth="1"/>
    <col min="8" max="8" width="22.57421875" style="1" customWidth="1"/>
    <col min="9" max="9" width="25.00390625" style="1" customWidth="1"/>
    <col min="10" max="10" width="15.57421875" style="1" customWidth="1"/>
    <col min="11" max="12" width="22.57421875" style="1" customWidth="1"/>
    <col min="13" max="13" width="12.421875" style="1" customWidth="1"/>
    <col min="14" max="15" width="22.57421875" style="1" customWidth="1"/>
    <col min="16" max="16" width="15.140625" style="1" customWidth="1"/>
    <col min="17" max="18" width="22.57421875" style="1" customWidth="1"/>
    <col min="19" max="19" width="18.421875" style="1" customWidth="1"/>
    <col min="20" max="21" width="22.57421875" style="1" customWidth="1"/>
    <col min="22" max="22" width="12.421875" style="1" customWidth="1"/>
    <col min="23" max="23" width="27.57421875" style="1" customWidth="1"/>
    <col min="24" max="24" width="23.00390625" style="1" customWidth="1"/>
    <col min="25" max="25" width="15.8515625" style="1" customWidth="1"/>
    <col min="26" max="30" width="18.28125" style="1" customWidth="1"/>
    <col min="31" max="31" width="25.140625" style="1" bestFit="1" customWidth="1"/>
    <col min="32" max="33" width="18.28125" style="1" customWidth="1"/>
    <col min="34" max="34" width="13.140625" style="1" customWidth="1"/>
    <col min="35" max="35" width="10.7109375" style="1" customWidth="1"/>
    <col min="36" max="36" width="19.57421875" style="1" customWidth="1"/>
    <col min="37" max="37" width="16.140625" style="1" customWidth="1"/>
    <col min="38" max="38" width="14.140625" style="1" customWidth="1"/>
    <col min="39" max="39" width="19.140625" style="1" customWidth="1"/>
    <col min="40" max="40" width="15.28125" style="1" customWidth="1"/>
    <col min="41" max="41" width="14.00390625" style="1" customWidth="1"/>
    <col min="42" max="42" width="11.421875" style="1" customWidth="1"/>
    <col min="43" max="43" width="17.57421875" style="1" customWidth="1"/>
    <col min="44" max="46" width="11.421875" style="1" customWidth="1"/>
    <col min="47" max="47" width="14.57421875" style="1" customWidth="1"/>
    <col min="48" max="48" width="12.421875" style="1" bestFit="1" customWidth="1"/>
    <col min="49" max="49" width="11.421875" style="1" customWidth="1"/>
    <col min="50" max="50" width="14.00390625" style="1" bestFit="1" customWidth="1"/>
    <col min="51" max="16384" width="11.421875" style="1" customWidth="1"/>
  </cols>
  <sheetData>
    <row r="1" spans="1:36" s="508" customFormat="1" ht="21.75" customHeight="1" thickBot="1" thickTop="1">
      <c r="A1" s="507"/>
      <c r="B1" s="535"/>
      <c r="C1" s="531"/>
      <c r="D1" s="532"/>
      <c r="E1" s="795" t="s">
        <v>528</v>
      </c>
      <c r="F1" s="795"/>
      <c r="G1" s="797"/>
      <c r="H1" s="775" t="s">
        <v>516</v>
      </c>
      <c r="I1" s="776"/>
      <c r="J1" s="774"/>
      <c r="K1" s="771" t="s">
        <v>513</v>
      </c>
      <c r="L1" s="772"/>
      <c r="M1" s="773"/>
      <c r="N1" s="503">
        <v>43586</v>
      </c>
      <c r="O1" s="511"/>
      <c r="P1" s="577"/>
      <c r="Q1" s="502">
        <v>43525</v>
      </c>
      <c r="R1" s="510"/>
      <c r="S1" s="577"/>
      <c r="T1" s="501" t="s">
        <v>495</v>
      </c>
      <c r="U1" s="509"/>
      <c r="V1" s="577"/>
      <c r="W1" s="504">
        <v>43647</v>
      </c>
      <c r="X1" s="512"/>
      <c r="Y1" s="577"/>
      <c r="Z1" s="528">
        <v>43739</v>
      </c>
      <c r="AA1" s="509"/>
      <c r="AB1" s="577"/>
      <c r="AC1" s="529">
        <v>43831</v>
      </c>
      <c r="AD1" s="530"/>
      <c r="AE1" s="577"/>
      <c r="AF1" s="505"/>
      <c r="AG1" s="513"/>
      <c r="AI1" s="506"/>
      <c r="AJ1" s="514"/>
    </row>
    <row r="2" spans="1:11" ht="31.5" thickBot="1" thickTop="1">
      <c r="A2" s="411" t="s">
        <v>503</v>
      </c>
      <c r="B2" s="410"/>
      <c r="C2" s="410"/>
      <c r="D2" s="355"/>
      <c r="E2" s="357"/>
      <c r="F2" s="152"/>
      <c r="G2" s="152"/>
      <c r="H2" s="152"/>
      <c r="I2" s="152"/>
      <c r="J2" s="153"/>
      <c r="K2" s="402"/>
    </row>
    <row r="3" spans="1:3" s="534" customFormat="1" ht="18">
      <c r="A3" s="798" t="s">
        <v>531</v>
      </c>
      <c r="B3" s="533"/>
      <c r="C3" s="533"/>
    </row>
    <row r="4" spans="1:6" s="4" customFormat="1" ht="12.75">
      <c r="A4" s="790"/>
      <c r="B4" s="791"/>
      <c r="C4" s="791"/>
      <c r="D4" s="792"/>
      <c r="E4" s="793"/>
      <c r="F4" s="793"/>
    </row>
    <row r="5" spans="1:6" ht="30">
      <c r="A5" s="763" t="s">
        <v>532</v>
      </c>
      <c r="B5" s="491"/>
      <c r="C5" s="491"/>
      <c r="D5" s="492"/>
      <c r="E5" s="493"/>
      <c r="F5" s="493"/>
    </row>
    <row r="6" spans="1:17" ht="15.75">
      <c r="A6" s="165" t="s">
        <v>347</v>
      </c>
      <c r="B6" s="7"/>
      <c r="C6" s="7"/>
      <c r="D6" s="385">
        <v>1</v>
      </c>
      <c r="E6" s="385">
        <v>2</v>
      </c>
      <c r="F6" s="385">
        <v>3</v>
      </c>
      <c r="G6" s="385">
        <v>4</v>
      </c>
      <c r="H6" s="385">
        <v>5</v>
      </c>
      <c r="I6" s="385">
        <v>6</v>
      </c>
      <c r="J6" s="385">
        <v>7</v>
      </c>
      <c r="K6" s="385"/>
      <c r="L6" s="385">
        <v>8</v>
      </c>
      <c r="M6" s="385">
        <v>9</v>
      </c>
      <c r="N6" s="385">
        <v>10</v>
      </c>
      <c r="O6" s="385"/>
      <c r="P6" s="385">
        <v>11</v>
      </c>
      <c r="Q6" s="385">
        <v>12</v>
      </c>
    </row>
    <row r="7" spans="1:7" ht="30.75" customHeight="1">
      <c r="A7" s="371"/>
      <c r="B7" s="7"/>
      <c r="C7" s="7"/>
      <c r="D7" s="7"/>
      <c r="E7" s="7"/>
      <c r="F7" s="7"/>
      <c r="G7" s="7"/>
    </row>
    <row r="8" spans="1:7" ht="15">
      <c r="A8" s="379" t="s">
        <v>480</v>
      </c>
      <c r="B8" s="7"/>
      <c r="C8" s="7"/>
      <c r="D8" s="7"/>
      <c r="E8" s="7"/>
      <c r="F8" s="7"/>
      <c r="G8" s="7"/>
    </row>
    <row r="9" spans="1:12" ht="23.25">
      <c r="A9" s="116"/>
      <c r="B9" s="6"/>
      <c r="C9" s="6"/>
      <c r="D9" s="7"/>
      <c r="E9" s="7"/>
      <c r="F9" s="7"/>
      <c r="G9" s="7"/>
      <c r="L9" s="286"/>
    </row>
    <row r="10" spans="1:12" ht="23.25">
      <c r="A10" s="370" t="s">
        <v>382</v>
      </c>
      <c r="B10" s="6"/>
      <c r="C10" s="6"/>
      <c r="G10" s="7"/>
      <c r="L10" s="286"/>
    </row>
    <row r="11" spans="1:12" ht="23.25" hidden="1">
      <c r="A11" s="6"/>
      <c r="B11" s="6"/>
      <c r="C11" s="6"/>
      <c r="G11" s="7"/>
      <c r="L11" s="286"/>
    </row>
    <row r="12" spans="1:28" ht="24" customHeight="1" hidden="1">
      <c r="A12" s="13"/>
      <c r="J12" s="9"/>
      <c r="K12" s="9"/>
      <c r="L12" s="45"/>
      <c r="N12" s="286"/>
      <c r="O12" s="286"/>
      <c r="Z12" s="7"/>
      <c r="AA12" s="7"/>
      <c r="AB12" s="7"/>
    </row>
    <row r="13" spans="1:28" ht="12" customHeight="1" hidden="1">
      <c r="A13" s="13"/>
      <c r="I13" s="391"/>
      <c r="J13" s="9"/>
      <c r="K13" s="9"/>
      <c r="L13" s="45"/>
      <c r="N13" s="286"/>
      <c r="O13" s="286"/>
      <c r="Z13" s="7"/>
      <c r="AA13" s="7"/>
      <c r="AB13" s="7"/>
    </row>
    <row r="14" spans="1:26" ht="12" customHeight="1" hidden="1">
      <c r="A14" s="13"/>
      <c r="J14" s="9"/>
      <c r="K14" s="45"/>
      <c r="M14" s="286"/>
      <c r="X14" s="7"/>
      <c r="Y14" s="7"/>
      <c r="Z14" s="7"/>
    </row>
    <row r="15" spans="1:26" ht="12" customHeight="1" hidden="1" thickBot="1">
      <c r="A15" s="13"/>
      <c r="J15" s="9"/>
      <c r="K15" s="45"/>
      <c r="M15" s="286"/>
      <c r="X15" s="7"/>
      <c r="Y15" s="7"/>
      <c r="Z15" s="7"/>
    </row>
    <row r="16" spans="1:26" ht="18" customHeight="1" hidden="1" thickBot="1">
      <c r="A16" s="13"/>
      <c r="D16" s="56" t="s">
        <v>341</v>
      </c>
      <c r="E16" s="128"/>
      <c r="I16" s="392">
        <v>43435</v>
      </c>
      <c r="J16" s="9"/>
      <c r="K16" s="45"/>
      <c r="L16" s="392">
        <v>43435</v>
      </c>
      <c r="M16" s="286"/>
      <c r="S16" s="97"/>
      <c r="T16" s="97"/>
      <c r="U16" s="97"/>
      <c r="V16" s="97"/>
      <c r="W16" s="97"/>
      <c r="X16" s="7"/>
      <c r="Y16" s="7"/>
      <c r="Z16" s="7"/>
    </row>
    <row r="17" spans="1:26" ht="12" customHeight="1" hidden="1" thickBot="1" thickTop="1">
      <c r="A17" s="13"/>
      <c r="D17" s="58" t="s">
        <v>342</v>
      </c>
      <c r="E17" s="57" t="s">
        <v>343</v>
      </c>
      <c r="I17" s="273" t="s">
        <v>366</v>
      </c>
      <c r="J17" s="46" t="s">
        <v>361</v>
      </c>
      <c r="K17" s="46" t="s">
        <v>362</v>
      </c>
      <c r="L17" s="275" t="s">
        <v>352</v>
      </c>
      <c r="M17" s="314" t="s">
        <v>353</v>
      </c>
      <c r="N17" s="275" t="s">
        <v>355</v>
      </c>
      <c r="O17" s="275" t="s">
        <v>354</v>
      </c>
      <c r="P17" s="275" t="s">
        <v>363</v>
      </c>
      <c r="Q17" s="275" t="s">
        <v>364</v>
      </c>
      <c r="R17" s="129" t="s">
        <v>365</v>
      </c>
      <c r="S17" s="480">
        <v>1</v>
      </c>
      <c r="T17" s="480">
        <v>2</v>
      </c>
      <c r="U17" s="480">
        <v>3</v>
      </c>
      <c r="V17" s="480">
        <v>4</v>
      </c>
      <c r="W17" s="480">
        <v>5</v>
      </c>
      <c r="X17" s="7"/>
      <c r="Y17" s="7"/>
      <c r="Z17" s="7"/>
    </row>
    <row r="18" spans="1:26" ht="12" customHeight="1" hidden="1">
      <c r="A18" s="13"/>
      <c r="D18" s="52">
        <v>0</v>
      </c>
      <c r="E18" s="50">
        <v>0</v>
      </c>
      <c r="H18" s="138">
        <v>0</v>
      </c>
      <c r="I18" s="315">
        <f aca="true" t="shared" si="0" ref="I18:I29">IF(OR(puntosproljor&lt;620,nina=1),W18,R18)</f>
        <v>2733</v>
      </c>
      <c r="J18" s="500">
        <v>2733</v>
      </c>
      <c r="K18" s="500">
        <v>1164</v>
      </c>
      <c r="L18" s="500">
        <v>0</v>
      </c>
      <c r="M18" s="500">
        <v>0</v>
      </c>
      <c r="N18" s="500">
        <v>0</v>
      </c>
      <c r="O18" s="500">
        <v>0</v>
      </c>
      <c r="P18" s="500">
        <v>1973</v>
      </c>
      <c r="Q18" s="500">
        <v>1473</v>
      </c>
      <c r="R18" s="274">
        <f aca="true" t="shared" si="1" ref="R18:R29">IF(PUNTOSbasicos&gt;971,Q18,P18)</f>
        <v>1973</v>
      </c>
      <c r="S18" s="479">
        <f aca="true" t="shared" si="2" ref="S18:S29">IF(PUNTOSbasicos&lt;972,J18,K18)</f>
        <v>2733</v>
      </c>
      <c r="T18" s="479">
        <f aca="true" t="shared" si="3" ref="T18:T29">IF(PUNTOSbasicos&lt;1170,S18,L18)</f>
        <v>2733</v>
      </c>
      <c r="U18" s="479">
        <f aca="true" t="shared" si="4" ref="U18:U29">IF(PUNTOSbasicos&lt;1401,T18,M18)</f>
        <v>2733</v>
      </c>
      <c r="V18" s="479">
        <f aca="true" t="shared" si="5" ref="V18:V29">IF(PUNTOSbasicos&lt;1943,U18,N18)</f>
        <v>2733</v>
      </c>
      <c r="W18" s="479">
        <f aca="true" t="shared" si="6" ref="W18:W29">IF(PUNTOSbasicos&lt;=2220,V18,O18)</f>
        <v>2733</v>
      </c>
      <c r="X18" s="7"/>
      <c r="Y18" s="7"/>
      <c r="Z18" s="7"/>
    </row>
    <row r="19" spans="1:26" ht="12" customHeight="1" hidden="1">
      <c r="A19" s="13"/>
      <c r="D19" s="53">
        <v>1</v>
      </c>
      <c r="E19" s="51">
        <v>0.1</v>
      </c>
      <c r="H19" s="139">
        <v>0.1</v>
      </c>
      <c r="I19" s="315">
        <f t="shared" si="0"/>
        <v>3961</v>
      </c>
      <c r="J19" s="500">
        <v>3961</v>
      </c>
      <c r="K19" s="500">
        <v>1259</v>
      </c>
      <c r="L19" s="500">
        <v>0</v>
      </c>
      <c r="M19" s="500">
        <v>0</v>
      </c>
      <c r="N19" s="500">
        <v>0</v>
      </c>
      <c r="O19" s="500">
        <v>0</v>
      </c>
      <c r="P19" s="500">
        <v>2068</v>
      </c>
      <c r="Q19" s="500">
        <v>1568</v>
      </c>
      <c r="R19" s="274">
        <f t="shared" si="1"/>
        <v>2068</v>
      </c>
      <c r="S19" s="479">
        <f t="shared" si="2"/>
        <v>3961</v>
      </c>
      <c r="T19" s="479">
        <f t="shared" si="3"/>
        <v>3961</v>
      </c>
      <c r="U19" s="479">
        <f t="shared" si="4"/>
        <v>3961</v>
      </c>
      <c r="V19" s="479">
        <f t="shared" si="5"/>
        <v>3961</v>
      </c>
      <c r="W19" s="479">
        <f t="shared" si="6"/>
        <v>3961</v>
      </c>
      <c r="X19" s="7"/>
      <c r="Y19" s="7"/>
      <c r="Z19" s="7"/>
    </row>
    <row r="20" spans="1:26" ht="12" customHeight="1" hidden="1">
      <c r="A20" s="13"/>
      <c r="D20" s="53">
        <v>2</v>
      </c>
      <c r="E20" s="51">
        <v>0.15</v>
      </c>
      <c r="H20" s="140">
        <v>0.15</v>
      </c>
      <c r="I20" s="315">
        <f t="shared" si="0"/>
        <v>4729</v>
      </c>
      <c r="J20" s="500">
        <v>4729</v>
      </c>
      <c r="K20" s="500">
        <v>2106</v>
      </c>
      <c r="L20" s="500">
        <v>2663</v>
      </c>
      <c r="M20" s="500">
        <v>2221</v>
      </c>
      <c r="N20" s="500">
        <v>2409</v>
      </c>
      <c r="O20" s="500">
        <v>0</v>
      </c>
      <c r="P20" s="500">
        <v>3295</v>
      </c>
      <c r="Q20" s="500">
        <v>2796</v>
      </c>
      <c r="R20" s="274">
        <f t="shared" si="1"/>
        <v>3295</v>
      </c>
      <c r="S20" s="479">
        <f t="shared" si="2"/>
        <v>4729</v>
      </c>
      <c r="T20" s="479">
        <f t="shared" si="3"/>
        <v>4729</v>
      </c>
      <c r="U20" s="479">
        <f t="shared" si="4"/>
        <v>4729</v>
      </c>
      <c r="V20" s="479">
        <f t="shared" si="5"/>
        <v>4729</v>
      </c>
      <c r="W20" s="479">
        <f t="shared" si="6"/>
        <v>4729</v>
      </c>
      <c r="X20" s="7"/>
      <c r="Y20" s="7"/>
      <c r="Z20" s="7"/>
    </row>
    <row r="21" spans="1:26" ht="12" customHeight="1" hidden="1">
      <c r="A21" s="13"/>
      <c r="D21" s="53">
        <v>5</v>
      </c>
      <c r="E21" s="51">
        <v>0.3</v>
      </c>
      <c r="H21" s="140">
        <v>0.3</v>
      </c>
      <c r="I21" s="315">
        <f t="shared" si="0"/>
        <v>5047</v>
      </c>
      <c r="J21" s="500">
        <v>5047</v>
      </c>
      <c r="K21" s="500">
        <v>2241</v>
      </c>
      <c r="L21" s="500">
        <v>2663</v>
      </c>
      <c r="M21" s="500">
        <v>2221</v>
      </c>
      <c r="N21" s="500">
        <v>2409</v>
      </c>
      <c r="O21" s="500">
        <v>0</v>
      </c>
      <c r="P21" s="500">
        <v>4806</v>
      </c>
      <c r="Q21" s="500">
        <v>4023</v>
      </c>
      <c r="R21" s="274">
        <f t="shared" si="1"/>
        <v>4806</v>
      </c>
      <c r="S21" s="479">
        <f t="shared" si="2"/>
        <v>5047</v>
      </c>
      <c r="T21" s="479">
        <f t="shared" si="3"/>
        <v>5047</v>
      </c>
      <c r="U21" s="479">
        <f t="shared" si="4"/>
        <v>5047</v>
      </c>
      <c r="V21" s="479">
        <f t="shared" si="5"/>
        <v>5047</v>
      </c>
      <c r="W21" s="479">
        <f t="shared" si="6"/>
        <v>5047</v>
      </c>
      <c r="X21" s="7"/>
      <c r="Y21" s="7"/>
      <c r="Z21" s="7"/>
    </row>
    <row r="22" spans="1:26" ht="12" customHeight="1" hidden="1">
      <c r="A22" s="13"/>
      <c r="D22" s="53">
        <v>7</v>
      </c>
      <c r="E22" s="51">
        <v>0.4</v>
      </c>
      <c r="H22" s="140">
        <v>0.4</v>
      </c>
      <c r="I22" s="315">
        <f t="shared" si="0"/>
        <v>4533</v>
      </c>
      <c r="J22" s="500">
        <v>4533</v>
      </c>
      <c r="K22" s="500">
        <v>2386</v>
      </c>
      <c r="L22" s="500">
        <v>2761</v>
      </c>
      <c r="M22" s="500">
        <v>2287</v>
      </c>
      <c r="N22" s="500">
        <v>2409</v>
      </c>
      <c r="O22" s="500">
        <v>2033</v>
      </c>
      <c r="P22" s="500">
        <v>5375</v>
      </c>
      <c r="Q22" s="500">
        <v>4497</v>
      </c>
      <c r="R22" s="274">
        <f t="shared" si="1"/>
        <v>5375</v>
      </c>
      <c r="S22" s="479">
        <f t="shared" si="2"/>
        <v>4533</v>
      </c>
      <c r="T22" s="479">
        <f t="shared" si="3"/>
        <v>4533</v>
      </c>
      <c r="U22" s="479">
        <f t="shared" si="4"/>
        <v>4533</v>
      </c>
      <c r="V22" s="479">
        <f t="shared" si="5"/>
        <v>4533</v>
      </c>
      <c r="W22" s="479">
        <f t="shared" si="6"/>
        <v>4533</v>
      </c>
      <c r="X22" s="7"/>
      <c r="Y22" s="7"/>
      <c r="Z22" s="7"/>
    </row>
    <row r="23" spans="1:26" ht="12" customHeight="1" hidden="1">
      <c r="A23" s="13"/>
      <c r="D23" s="53">
        <v>10</v>
      </c>
      <c r="E23" s="51">
        <v>0.5</v>
      </c>
      <c r="H23" s="140">
        <v>0.5</v>
      </c>
      <c r="I23" s="315">
        <f t="shared" si="0"/>
        <v>3918</v>
      </c>
      <c r="J23" s="500">
        <v>3918</v>
      </c>
      <c r="K23" s="500">
        <v>2573</v>
      </c>
      <c r="L23" s="500">
        <v>2761</v>
      </c>
      <c r="M23" s="500">
        <v>2287</v>
      </c>
      <c r="N23" s="500">
        <v>2409</v>
      </c>
      <c r="O23" s="500">
        <v>2033</v>
      </c>
      <c r="P23" s="500">
        <v>5704</v>
      </c>
      <c r="Q23" s="500">
        <v>4823</v>
      </c>
      <c r="R23" s="274">
        <f t="shared" si="1"/>
        <v>5704</v>
      </c>
      <c r="S23" s="479">
        <f t="shared" si="2"/>
        <v>3918</v>
      </c>
      <c r="T23" s="479">
        <f t="shared" si="3"/>
        <v>3918</v>
      </c>
      <c r="U23" s="479">
        <f t="shared" si="4"/>
        <v>3918</v>
      </c>
      <c r="V23" s="479">
        <f t="shared" si="5"/>
        <v>3918</v>
      </c>
      <c r="W23" s="479">
        <f t="shared" si="6"/>
        <v>3918</v>
      </c>
      <c r="X23" s="7"/>
      <c r="Y23" s="7"/>
      <c r="Z23" s="7"/>
    </row>
    <row r="24" spans="1:26" ht="12" customHeight="1" hidden="1">
      <c r="A24" s="13"/>
      <c r="D24" s="53">
        <v>12</v>
      </c>
      <c r="E24" s="51">
        <v>0.6</v>
      </c>
      <c r="H24" s="140">
        <v>0.6</v>
      </c>
      <c r="I24" s="315">
        <f t="shared" si="0"/>
        <v>3941</v>
      </c>
      <c r="J24" s="500">
        <v>3941</v>
      </c>
      <c r="K24" s="500">
        <v>2851</v>
      </c>
      <c r="L24" s="500">
        <v>2851</v>
      </c>
      <c r="M24" s="500">
        <v>2319</v>
      </c>
      <c r="N24" s="500">
        <v>2501</v>
      </c>
      <c r="O24" s="500">
        <v>2215</v>
      </c>
      <c r="P24" s="500">
        <v>6034</v>
      </c>
      <c r="Q24" s="500">
        <v>4968</v>
      </c>
      <c r="R24" s="274">
        <f t="shared" si="1"/>
        <v>6034</v>
      </c>
      <c r="S24" s="479">
        <f t="shared" si="2"/>
        <v>3941</v>
      </c>
      <c r="T24" s="479">
        <f t="shared" si="3"/>
        <v>3941</v>
      </c>
      <c r="U24" s="479">
        <f t="shared" si="4"/>
        <v>3941</v>
      </c>
      <c r="V24" s="479">
        <f t="shared" si="5"/>
        <v>3941</v>
      </c>
      <c r="W24" s="479">
        <f t="shared" si="6"/>
        <v>3941</v>
      </c>
      <c r="X24" s="7"/>
      <c r="Y24" s="7"/>
      <c r="Z24" s="7"/>
    </row>
    <row r="25" spans="1:26" ht="16.5" customHeight="1" hidden="1">
      <c r="A25" s="13"/>
      <c r="D25" s="53">
        <v>15</v>
      </c>
      <c r="E25" s="51">
        <v>0.7</v>
      </c>
      <c r="H25" s="140">
        <v>0.7</v>
      </c>
      <c r="I25" s="315">
        <f t="shared" si="0"/>
        <v>3759</v>
      </c>
      <c r="J25" s="500">
        <v>3759</v>
      </c>
      <c r="K25" s="500">
        <v>3085</v>
      </c>
      <c r="L25" s="500">
        <v>3830</v>
      </c>
      <c r="M25" s="500">
        <v>2573</v>
      </c>
      <c r="N25" s="500">
        <v>2501</v>
      </c>
      <c r="O25" s="500">
        <v>2215</v>
      </c>
      <c r="P25" s="500">
        <v>6178</v>
      </c>
      <c r="Q25" s="500">
        <v>5112</v>
      </c>
      <c r="R25" s="274">
        <f t="shared" si="1"/>
        <v>6178</v>
      </c>
      <c r="S25" s="479">
        <f t="shared" si="2"/>
        <v>3759</v>
      </c>
      <c r="T25" s="479">
        <f t="shared" si="3"/>
        <v>3759</v>
      </c>
      <c r="U25" s="479">
        <f t="shared" si="4"/>
        <v>3759</v>
      </c>
      <c r="V25" s="479">
        <f t="shared" si="5"/>
        <v>3759</v>
      </c>
      <c r="W25" s="479">
        <f t="shared" si="6"/>
        <v>3759</v>
      </c>
      <c r="X25" s="7"/>
      <c r="Y25" s="7"/>
      <c r="Z25" s="7"/>
    </row>
    <row r="26" spans="1:28" ht="12" customHeight="1" hidden="1">
      <c r="A26" s="6"/>
      <c r="D26" s="53">
        <v>17</v>
      </c>
      <c r="E26" s="51">
        <v>0.8</v>
      </c>
      <c r="H26" s="140">
        <v>0.8</v>
      </c>
      <c r="I26" s="315">
        <f t="shared" si="0"/>
        <v>4559</v>
      </c>
      <c r="J26" s="500">
        <v>4559</v>
      </c>
      <c r="K26" s="500">
        <v>3648</v>
      </c>
      <c r="L26" s="500">
        <v>4119</v>
      </c>
      <c r="M26" s="500">
        <v>3599</v>
      </c>
      <c r="N26" s="500">
        <v>3339</v>
      </c>
      <c r="O26" s="500">
        <v>2409</v>
      </c>
      <c r="P26" s="500">
        <v>6455</v>
      </c>
      <c r="Q26" s="500">
        <v>5205</v>
      </c>
      <c r="R26" s="274">
        <f t="shared" si="1"/>
        <v>6455</v>
      </c>
      <c r="S26" s="479">
        <f t="shared" si="2"/>
        <v>4559</v>
      </c>
      <c r="T26" s="479">
        <f t="shared" si="3"/>
        <v>4559</v>
      </c>
      <c r="U26" s="479">
        <f t="shared" si="4"/>
        <v>4559</v>
      </c>
      <c r="V26" s="479">
        <f t="shared" si="5"/>
        <v>4559</v>
      </c>
      <c r="W26" s="479">
        <f t="shared" si="6"/>
        <v>4559</v>
      </c>
      <c r="Z26" s="7"/>
      <c r="AA26" s="7"/>
      <c r="AB26" s="7"/>
    </row>
    <row r="27" spans="1:35" ht="12" customHeight="1" hidden="1">
      <c r="A27" s="6"/>
      <c r="D27" s="53">
        <v>20</v>
      </c>
      <c r="E27" s="51">
        <v>1</v>
      </c>
      <c r="H27" s="140">
        <v>1</v>
      </c>
      <c r="I27" s="315">
        <f t="shared" si="0"/>
        <v>5711</v>
      </c>
      <c r="J27" s="500">
        <v>5711</v>
      </c>
      <c r="K27" s="500">
        <v>4485</v>
      </c>
      <c r="L27" s="500">
        <v>4254</v>
      </c>
      <c r="M27" s="500">
        <v>3506</v>
      </c>
      <c r="N27" s="500">
        <v>3622</v>
      </c>
      <c r="O27" s="500">
        <v>2409</v>
      </c>
      <c r="P27" s="500">
        <v>6790</v>
      </c>
      <c r="Q27" s="500">
        <v>5343</v>
      </c>
      <c r="R27" s="274">
        <f t="shared" si="1"/>
        <v>6790</v>
      </c>
      <c r="S27" s="479">
        <f t="shared" si="2"/>
        <v>5711</v>
      </c>
      <c r="T27" s="479">
        <f t="shared" si="3"/>
        <v>5711</v>
      </c>
      <c r="U27" s="479">
        <f t="shared" si="4"/>
        <v>5711</v>
      </c>
      <c r="V27" s="479">
        <f t="shared" si="5"/>
        <v>5711</v>
      </c>
      <c r="W27" s="479">
        <f t="shared" si="6"/>
        <v>5711</v>
      </c>
      <c r="AG27" s="7"/>
      <c r="AH27" s="7"/>
      <c r="AI27" s="7"/>
    </row>
    <row r="28" spans="1:23" ht="12" customHeight="1" hidden="1">
      <c r="A28" s="6"/>
      <c r="D28" s="53">
        <v>22</v>
      </c>
      <c r="E28" s="51">
        <v>1.1</v>
      </c>
      <c r="H28" s="140">
        <v>1.1</v>
      </c>
      <c r="I28" s="315">
        <f t="shared" si="0"/>
        <v>6419</v>
      </c>
      <c r="J28" s="500">
        <v>6419</v>
      </c>
      <c r="K28" s="500">
        <v>5052</v>
      </c>
      <c r="L28" s="500">
        <v>4445</v>
      </c>
      <c r="M28" s="500">
        <v>3506</v>
      </c>
      <c r="N28" s="500">
        <v>3717</v>
      </c>
      <c r="O28" s="500">
        <v>2501</v>
      </c>
      <c r="P28" s="500">
        <v>7024</v>
      </c>
      <c r="Q28" s="500">
        <v>5485</v>
      </c>
      <c r="R28" s="274">
        <f t="shared" si="1"/>
        <v>7024</v>
      </c>
      <c r="S28" s="479">
        <f t="shared" si="2"/>
        <v>6419</v>
      </c>
      <c r="T28" s="479">
        <f t="shared" si="3"/>
        <v>6419</v>
      </c>
      <c r="U28" s="479">
        <f t="shared" si="4"/>
        <v>6419</v>
      </c>
      <c r="V28" s="479">
        <f t="shared" si="5"/>
        <v>6419</v>
      </c>
      <c r="W28" s="479">
        <f t="shared" si="6"/>
        <v>6419</v>
      </c>
    </row>
    <row r="29" spans="1:23" ht="12" customHeight="1" hidden="1" thickBot="1">
      <c r="A29" s="6"/>
      <c r="D29" s="54">
        <v>24</v>
      </c>
      <c r="E29" s="55">
        <v>1.2</v>
      </c>
      <c r="H29" s="141">
        <v>1.2</v>
      </c>
      <c r="I29" s="315">
        <f t="shared" si="0"/>
        <v>6644</v>
      </c>
      <c r="J29" s="500">
        <v>6644</v>
      </c>
      <c r="K29" s="500">
        <v>5190</v>
      </c>
      <c r="L29" s="500">
        <v>4907</v>
      </c>
      <c r="M29" s="500">
        <v>3553</v>
      </c>
      <c r="N29" s="500">
        <v>3810</v>
      </c>
      <c r="O29" s="500">
        <v>2501</v>
      </c>
      <c r="P29" s="500">
        <v>7070</v>
      </c>
      <c r="Q29" s="500">
        <v>5537</v>
      </c>
      <c r="R29" s="274">
        <f t="shared" si="1"/>
        <v>7070</v>
      </c>
      <c r="S29" s="479">
        <f t="shared" si="2"/>
        <v>6644</v>
      </c>
      <c r="T29" s="479">
        <f t="shared" si="3"/>
        <v>6644</v>
      </c>
      <c r="U29" s="479">
        <f t="shared" si="4"/>
        <v>6644</v>
      </c>
      <c r="V29" s="479">
        <f t="shared" si="5"/>
        <v>6644</v>
      </c>
      <c r="W29" s="479">
        <f t="shared" si="6"/>
        <v>6644</v>
      </c>
    </row>
    <row r="30" spans="1:23" s="7" customFormat="1" ht="12" customHeight="1" hidden="1">
      <c r="A30" s="9"/>
      <c r="D30" s="9"/>
      <c r="E30" s="45"/>
      <c r="H30" s="200"/>
      <c r="I30" s="497"/>
      <c r="J30" s="499"/>
      <c r="K30" s="499"/>
      <c r="L30" s="499"/>
      <c r="M30" s="499"/>
      <c r="N30" s="499"/>
      <c r="O30" s="499"/>
      <c r="P30" s="499"/>
      <c r="Q30" s="499"/>
      <c r="R30" s="498"/>
      <c r="S30" s="498"/>
      <c r="T30" s="498"/>
      <c r="U30" s="498"/>
      <c r="V30" s="498"/>
      <c r="W30" s="498"/>
    </row>
    <row r="31" spans="1:23" s="7" customFormat="1" ht="12" customHeight="1" hidden="1">
      <c r="A31" s="9"/>
      <c r="D31" s="9"/>
      <c r="E31" s="45"/>
      <c r="H31" s="200"/>
      <c r="I31" s="497"/>
      <c r="J31" s="499"/>
      <c r="K31" s="499"/>
      <c r="L31" s="499"/>
      <c r="M31" s="499"/>
      <c r="N31" s="499"/>
      <c r="O31" s="499"/>
      <c r="P31" s="499"/>
      <c r="Q31" s="499"/>
      <c r="R31" s="498"/>
      <c r="S31" s="498"/>
      <c r="T31" s="498"/>
      <c r="U31" s="498"/>
      <c r="V31" s="498"/>
      <c r="W31" s="498"/>
    </row>
    <row r="32" spans="1:23" s="7" customFormat="1" ht="12" customHeight="1" hidden="1">
      <c r="A32" s="9"/>
      <c r="D32" s="9"/>
      <c r="E32" s="45"/>
      <c r="H32" s="200"/>
      <c r="I32" s="497"/>
      <c r="J32" s="499"/>
      <c r="K32" s="499"/>
      <c r="L32" s="499"/>
      <c r="M32" s="499"/>
      <c r="N32" s="499"/>
      <c r="O32" s="499"/>
      <c r="P32" s="499"/>
      <c r="Q32" s="499"/>
      <c r="R32" s="498"/>
      <c r="S32" s="498"/>
      <c r="T32" s="498"/>
      <c r="U32" s="498"/>
      <c r="V32" s="498"/>
      <c r="W32" s="498"/>
    </row>
    <row r="33" spans="1:23" s="7" customFormat="1" ht="23.25" customHeight="1" hidden="1" thickBot="1">
      <c r="A33" s="9"/>
      <c r="D33" s="9"/>
      <c r="E33" s="45"/>
      <c r="H33" s="1"/>
      <c r="I33" s="392">
        <v>43525</v>
      </c>
      <c r="J33" s="9"/>
      <c r="K33" s="45"/>
      <c r="L33" s="392">
        <v>43525</v>
      </c>
      <c r="M33" s="286"/>
      <c r="N33" s="1"/>
      <c r="O33" s="1"/>
      <c r="P33" s="1"/>
      <c r="Q33" s="1"/>
      <c r="R33" s="1"/>
      <c r="S33" s="97"/>
      <c r="T33" s="97"/>
      <c r="U33" s="97"/>
      <c r="V33" s="97"/>
      <c r="W33" s="97"/>
    </row>
    <row r="34" spans="1:23" s="7" customFormat="1" ht="12" customHeight="1" hidden="1" thickBot="1" thickTop="1">
      <c r="A34" s="9"/>
      <c r="D34" s="9"/>
      <c r="E34" s="45"/>
      <c r="H34" s="1"/>
      <c r="I34" s="273" t="s">
        <v>366</v>
      </c>
      <c r="J34" s="46" t="s">
        <v>361</v>
      </c>
      <c r="K34" s="46" t="s">
        <v>362</v>
      </c>
      <c r="L34" s="275" t="s">
        <v>352</v>
      </c>
      <c r="M34" s="314" t="s">
        <v>353</v>
      </c>
      <c r="N34" s="275" t="s">
        <v>355</v>
      </c>
      <c r="O34" s="275" t="s">
        <v>354</v>
      </c>
      <c r="P34" s="275" t="s">
        <v>363</v>
      </c>
      <c r="Q34" s="275" t="s">
        <v>364</v>
      </c>
      <c r="R34" s="129" t="s">
        <v>365</v>
      </c>
      <c r="S34" s="480">
        <v>1</v>
      </c>
      <c r="T34" s="480">
        <v>2</v>
      </c>
      <c r="U34" s="480">
        <v>3</v>
      </c>
      <c r="V34" s="480">
        <v>4</v>
      </c>
      <c r="W34" s="480">
        <v>5</v>
      </c>
    </row>
    <row r="35" spans="1:23" s="7" customFormat="1" ht="12" customHeight="1" hidden="1">
      <c r="A35" s="9"/>
      <c r="D35" s="9"/>
      <c r="E35" s="45"/>
      <c r="H35" s="138">
        <v>0</v>
      </c>
      <c r="I35" s="315">
        <f aca="true" t="shared" si="7" ref="I35:I46">IF(OR(puntosproljor&lt;620,nina=1),W35,R35)</f>
        <v>3007</v>
      </c>
      <c r="J35" s="500">
        <v>3007</v>
      </c>
      <c r="K35" s="500">
        <v>1280</v>
      </c>
      <c r="L35" s="500">
        <v>0</v>
      </c>
      <c r="M35" s="500">
        <v>0</v>
      </c>
      <c r="N35" s="500">
        <v>0</v>
      </c>
      <c r="O35" s="500">
        <v>0</v>
      </c>
      <c r="P35" s="500">
        <v>2170</v>
      </c>
      <c r="Q35" s="500">
        <v>1620</v>
      </c>
      <c r="R35" s="274">
        <f aca="true" t="shared" si="8" ref="R35:R46">IF(PUNTOSbasicos&gt;971,Q35,P35)</f>
        <v>2170</v>
      </c>
      <c r="S35" s="479">
        <f aca="true" t="shared" si="9" ref="S35:S46">IF(PUNTOSbasicos&lt;972,J35,K35)</f>
        <v>3007</v>
      </c>
      <c r="T35" s="479">
        <f aca="true" t="shared" si="10" ref="T35:T46">IF(PUNTOSbasicos&lt;1170,S35,L35)</f>
        <v>3007</v>
      </c>
      <c r="U35" s="479">
        <f aca="true" t="shared" si="11" ref="U35:U46">IF(PUNTOSbasicos&lt;1401,T35,M35)</f>
        <v>3007</v>
      </c>
      <c r="V35" s="479">
        <f aca="true" t="shared" si="12" ref="V35:V46">IF(PUNTOSbasicos&lt;1943,U35,N35)</f>
        <v>3007</v>
      </c>
      <c r="W35" s="479">
        <f aca="true" t="shared" si="13" ref="W35:W46">IF(PUNTOSbasicos&lt;=2220,V35,O35)</f>
        <v>3007</v>
      </c>
    </row>
    <row r="36" spans="1:23" s="7" customFormat="1" ht="12" customHeight="1" hidden="1">
      <c r="A36" s="9"/>
      <c r="D36" s="9"/>
      <c r="E36" s="45"/>
      <c r="H36" s="139">
        <v>0.1</v>
      </c>
      <c r="I36" s="315">
        <f t="shared" si="7"/>
        <v>4357</v>
      </c>
      <c r="J36" s="500">
        <v>4357</v>
      </c>
      <c r="K36" s="500">
        <v>1385</v>
      </c>
      <c r="L36" s="500">
        <v>0</v>
      </c>
      <c r="M36" s="500">
        <v>0</v>
      </c>
      <c r="N36" s="500">
        <v>0</v>
      </c>
      <c r="O36" s="500">
        <v>0</v>
      </c>
      <c r="P36" s="500">
        <v>2275</v>
      </c>
      <c r="Q36" s="500">
        <v>1725</v>
      </c>
      <c r="R36" s="274">
        <f t="shared" si="8"/>
        <v>2275</v>
      </c>
      <c r="S36" s="479">
        <f t="shared" si="9"/>
        <v>4357</v>
      </c>
      <c r="T36" s="479">
        <f t="shared" si="10"/>
        <v>4357</v>
      </c>
      <c r="U36" s="479">
        <f t="shared" si="11"/>
        <v>4357</v>
      </c>
      <c r="V36" s="479">
        <f t="shared" si="12"/>
        <v>4357</v>
      </c>
      <c r="W36" s="479">
        <f t="shared" si="13"/>
        <v>4357</v>
      </c>
    </row>
    <row r="37" spans="1:23" s="7" customFormat="1" ht="12" customHeight="1" hidden="1">
      <c r="A37" s="9"/>
      <c r="D37" s="9"/>
      <c r="E37" s="45"/>
      <c r="H37" s="140">
        <v>0.15</v>
      </c>
      <c r="I37" s="315">
        <f t="shared" si="7"/>
        <v>5202</v>
      </c>
      <c r="J37" s="500">
        <v>5202</v>
      </c>
      <c r="K37" s="500">
        <v>2316</v>
      </c>
      <c r="L37" s="500">
        <v>2929</v>
      </c>
      <c r="M37" s="500">
        <v>2423</v>
      </c>
      <c r="N37" s="500">
        <v>2650</v>
      </c>
      <c r="O37" s="500">
        <v>0</v>
      </c>
      <c r="P37" s="500">
        <v>3625</v>
      </c>
      <c r="Q37" s="500">
        <v>3075</v>
      </c>
      <c r="R37" s="274">
        <f t="shared" si="8"/>
        <v>3625</v>
      </c>
      <c r="S37" s="479">
        <f t="shared" si="9"/>
        <v>5202</v>
      </c>
      <c r="T37" s="479">
        <f t="shared" si="10"/>
        <v>5202</v>
      </c>
      <c r="U37" s="479">
        <f t="shared" si="11"/>
        <v>5202</v>
      </c>
      <c r="V37" s="479">
        <f t="shared" si="12"/>
        <v>5202</v>
      </c>
      <c r="W37" s="479">
        <f t="shared" si="13"/>
        <v>5202</v>
      </c>
    </row>
    <row r="38" spans="1:23" s="7" customFormat="1" ht="12" customHeight="1" hidden="1">
      <c r="A38" s="9"/>
      <c r="D38" s="9"/>
      <c r="E38" s="45"/>
      <c r="H38" s="140">
        <v>0.3</v>
      </c>
      <c r="I38" s="315">
        <f t="shared" si="7"/>
        <v>5552</v>
      </c>
      <c r="J38" s="500">
        <v>5552</v>
      </c>
      <c r="K38" s="500">
        <v>2465</v>
      </c>
      <c r="L38" s="500">
        <v>2929</v>
      </c>
      <c r="M38" s="500">
        <v>2423</v>
      </c>
      <c r="N38" s="500">
        <v>2650</v>
      </c>
      <c r="O38" s="500">
        <v>0</v>
      </c>
      <c r="P38" s="500">
        <v>5287</v>
      </c>
      <c r="Q38" s="500">
        <v>4426</v>
      </c>
      <c r="R38" s="274">
        <f t="shared" si="8"/>
        <v>5287</v>
      </c>
      <c r="S38" s="479">
        <f t="shared" si="9"/>
        <v>5552</v>
      </c>
      <c r="T38" s="479">
        <f t="shared" si="10"/>
        <v>5552</v>
      </c>
      <c r="U38" s="479">
        <f t="shared" si="11"/>
        <v>5552</v>
      </c>
      <c r="V38" s="479">
        <f t="shared" si="12"/>
        <v>5552</v>
      </c>
      <c r="W38" s="479">
        <f t="shared" si="13"/>
        <v>5552</v>
      </c>
    </row>
    <row r="39" spans="1:23" s="7" customFormat="1" ht="12" customHeight="1" hidden="1">
      <c r="A39" s="9"/>
      <c r="D39" s="9"/>
      <c r="E39" s="45"/>
      <c r="H39" s="140">
        <v>0.4</v>
      </c>
      <c r="I39" s="315">
        <f t="shared" si="7"/>
        <v>4986</v>
      </c>
      <c r="J39" s="500">
        <v>4986</v>
      </c>
      <c r="K39" s="500">
        <v>2624</v>
      </c>
      <c r="L39" s="500">
        <v>3037</v>
      </c>
      <c r="M39" s="500">
        <v>2516</v>
      </c>
      <c r="N39" s="500">
        <v>2650</v>
      </c>
      <c r="O39" s="500">
        <v>2237</v>
      </c>
      <c r="P39" s="500">
        <v>5912</v>
      </c>
      <c r="Q39" s="500">
        <v>4947</v>
      </c>
      <c r="R39" s="274">
        <f t="shared" si="8"/>
        <v>5912</v>
      </c>
      <c r="S39" s="479">
        <f t="shared" si="9"/>
        <v>4986</v>
      </c>
      <c r="T39" s="479">
        <f t="shared" si="10"/>
        <v>4986</v>
      </c>
      <c r="U39" s="479">
        <f t="shared" si="11"/>
        <v>4986</v>
      </c>
      <c r="V39" s="479">
        <f t="shared" si="12"/>
        <v>4986</v>
      </c>
      <c r="W39" s="479">
        <f t="shared" si="13"/>
        <v>4986</v>
      </c>
    </row>
    <row r="40" spans="1:23" s="7" customFormat="1" ht="12" customHeight="1" hidden="1">
      <c r="A40" s="9"/>
      <c r="D40" s="9"/>
      <c r="E40" s="45"/>
      <c r="H40" s="140">
        <v>0.5</v>
      </c>
      <c r="I40" s="315">
        <f t="shared" si="7"/>
        <v>4309</v>
      </c>
      <c r="J40" s="500">
        <v>4309</v>
      </c>
      <c r="K40" s="500">
        <v>2831</v>
      </c>
      <c r="L40" s="500">
        <v>3037</v>
      </c>
      <c r="M40" s="500">
        <v>2516</v>
      </c>
      <c r="N40" s="500">
        <v>2650</v>
      </c>
      <c r="O40" s="500">
        <v>2237</v>
      </c>
      <c r="P40" s="500">
        <v>6275</v>
      </c>
      <c r="Q40" s="500">
        <v>5306</v>
      </c>
      <c r="R40" s="274">
        <f t="shared" si="8"/>
        <v>6275</v>
      </c>
      <c r="S40" s="479">
        <f t="shared" si="9"/>
        <v>4309</v>
      </c>
      <c r="T40" s="479">
        <f t="shared" si="10"/>
        <v>4309</v>
      </c>
      <c r="U40" s="479">
        <f t="shared" si="11"/>
        <v>4309</v>
      </c>
      <c r="V40" s="479">
        <f t="shared" si="12"/>
        <v>4309</v>
      </c>
      <c r="W40" s="479">
        <f t="shared" si="13"/>
        <v>4309</v>
      </c>
    </row>
    <row r="41" spans="1:23" s="7" customFormat="1" ht="12" customHeight="1" hidden="1">
      <c r="A41" s="9"/>
      <c r="D41" s="9"/>
      <c r="E41" s="45"/>
      <c r="H41" s="140">
        <v>0.6</v>
      </c>
      <c r="I41" s="315">
        <f t="shared" si="7"/>
        <v>4335</v>
      </c>
      <c r="J41" s="500">
        <v>4335</v>
      </c>
      <c r="K41" s="500">
        <v>3136</v>
      </c>
      <c r="L41" s="500">
        <v>3136</v>
      </c>
      <c r="M41" s="500">
        <v>2551</v>
      </c>
      <c r="N41" s="500">
        <v>2751</v>
      </c>
      <c r="O41" s="500">
        <v>2437</v>
      </c>
      <c r="P41" s="500">
        <v>6637</v>
      </c>
      <c r="Q41" s="500">
        <v>5465</v>
      </c>
      <c r="R41" s="274">
        <f t="shared" si="8"/>
        <v>6637</v>
      </c>
      <c r="S41" s="479">
        <f t="shared" si="9"/>
        <v>4335</v>
      </c>
      <c r="T41" s="479">
        <f t="shared" si="10"/>
        <v>4335</v>
      </c>
      <c r="U41" s="479">
        <f t="shared" si="11"/>
        <v>4335</v>
      </c>
      <c r="V41" s="479">
        <f t="shared" si="12"/>
        <v>4335</v>
      </c>
      <c r="W41" s="479">
        <f t="shared" si="13"/>
        <v>4335</v>
      </c>
    </row>
    <row r="42" spans="1:23" s="7" customFormat="1" ht="12" customHeight="1" hidden="1">
      <c r="A42" s="9"/>
      <c r="D42" s="9"/>
      <c r="E42" s="45"/>
      <c r="H42" s="140">
        <v>0.7</v>
      </c>
      <c r="I42" s="315">
        <f t="shared" si="7"/>
        <v>4135</v>
      </c>
      <c r="J42" s="500">
        <v>4135</v>
      </c>
      <c r="K42" s="500">
        <v>3393</v>
      </c>
      <c r="L42" s="500">
        <v>4213</v>
      </c>
      <c r="M42" s="500">
        <v>2831</v>
      </c>
      <c r="N42" s="500">
        <v>2751</v>
      </c>
      <c r="O42" s="500">
        <v>2437</v>
      </c>
      <c r="P42" s="500">
        <v>6796</v>
      </c>
      <c r="Q42" s="500">
        <v>5623</v>
      </c>
      <c r="R42" s="274">
        <f t="shared" si="8"/>
        <v>6796</v>
      </c>
      <c r="S42" s="479">
        <f t="shared" si="9"/>
        <v>4135</v>
      </c>
      <c r="T42" s="479">
        <f t="shared" si="10"/>
        <v>4135</v>
      </c>
      <c r="U42" s="479">
        <f t="shared" si="11"/>
        <v>4135</v>
      </c>
      <c r="V42" s="479">
        <f t="shared" si="12"/>
        <v>4135</v>
      </c>
      <c r="W42" s="479">
        <f t="shared" si="13"/>
        <v>4135</v>
      </c>
    </row>
    <row r="43" spans="1:23" s="7" customFormat="1" ht="12" customHeight="1" hidden="1">
      <c r="A43" s="9"/>
      <c r="D43" s="9"/>
      <c r="E43" s="45"/>
      <c r="H43" s="140">
        <v>0.8</v>
      </c>
      <c r="I43" s="315">
        <f t="shared" si="7"/>
        <v>5015</v>
      </c>
      <c r="J43" s="500">
        <v>5015</v>
      </c>
      <c r="K43" s="500">
        <v>4013</v>
      </c>
      <c r="L43" s="500">
        <v>4530</v>
      </c>
      <c r="M43" s="500">
        <v>3959</v>
      </c>
      <c r="N43" s="500">
        <v>3673</v>
      </c>
      <c r="O43" s="500">
        <v>2650</v>
      </c>
      <c r="P43" s="500">
        <v>7101</v>
      </c>
      <c r="Q43" s="500">
        <v>5725</v>
      </c>
      <c r="R43" s="274">
        <f t="shared" si="8"/>
        <v>7101</v>
      </c>
      <c r="S43" s="479">
        <f t="shared" si="9"/>
        <v>5015</v>
      </c>
      <c r="T43" s="479">
        <f t="shared" si="10"/>
        <v>5015</v>
      </c>
      <c r="U43" s="479">
        <f t="shared" si="11"/>
        <v>5015</v>
      </c>
      <c r="V43" s="479">
        <f t="shared" si="12"/>
        <v>5015</v>
      </c>
      <c r="W43" s="479">
        <f t="shared" si="13"/>
        <v>5015</v>
      </c>
    </row>
    <row r="44" spans="1:23" s="7" customFormat="1" ht="12" customHeight="1" hidden="1">
      <c r="A44" s="9"/>
      <c r="D44" s="9"/>
      <c r="E44" s="45"/>
      <c r="H44" s="140">
        <v>1</v>
      </c>
      <c r="I44" s="315">
        <f t="shared" si="7"/>
        <v>6282</v>
      </c>
      <c r="J44" s="500">
        <v>6282</v>
      </c>
      <c r="K44" s="500">
        <v>4934</v>
      </c>
      <c r="L44" s="500">
        <v>4680</v>
      </c>
      <c r="M44" s="500">
        <v>3857</v>
      </c>
      <c r="N44" s="500">
        <v>3984</v>
      </c>
      <c r="O44" s="500">
        <v>2650</v>
      </c>
      <c r="P44" s="500">
        <v>7469</v>
      </c>
      <c r="Q44" s="500">
        <v>5878</v>
      </c>
      <c r="R44" s="274">
        <f t="shared" si="8"/>
        <v>7469</v>
      </c>
      <c r="S44" s="479">
        <f t="shared" si="9"/>
        <v>6282</v>
      </c>
      <c r="T44" s="479">
        <f t="shared" si="10"/>
        <v>6282</v>
      </c>
      <c r="U44" s="479">
        <f t="shared" si="11"/>
        <v>6282</v>
      </c>
      <c r="V44" s="479">
        <f t="shared" si="12"/>
        <v>6282</v>
      </c>
      <c r="W44" s="479">
        <f t="shared" si="13"/>
        <v>6282</v>
      </c>
    </row>
    <row r="45" spans="1:23" s="7" customFormat="1" ht="12" customHeight="1" hidden="1">
      <c r="A45" s="9"/>
      <c r="D45" s="9"/>
      <c r="E45" s="45"/>
      <c r="H45" s="140">
        <v>1.1</v>
      </c>
      <c r="I45" s="315">
        <f t="shared" si="7"/>
        <v>7061</v>
      </c>
      <c r="J45" s="500">
        <v>7061</v>
      </c>
      <c r="K45" s="500">
        <v>5557</v>
      </c>
      <c r="L45" s="500">
        <v>4889</v>
      </c>
      <c r="M45" s="500">
        <v>3857</v>
      </c>
      <c r="N45" s="500">
        <v>4089</v>
      </c>
      <c r="O45" s="500">
        <v>2751</v>
      </c>
      <c r="P45" s="500">
        <v>7727</v>
      </c>
      <c r="Q45" s="500">
        <v>6033</v>
      </c>
      <c r="R45" s="274">
        <f t="shared" si="8"/>
        <v>7727</v>
      </c>
      <c r="S45" s="479">
        <f t="shared" si="9"/>
        <v>7061</v>
      </c>
      <c r="T45" s="479">
        <f t="shared" si="10"/>
        <v>7061</v>
      </c>
      <c r="U45" s="479">
        <f t="shared" si="11"/>
        <v>7061</v>
      </c>
      <c r="V45" s="479">
        <f t="shared" si="12"/>
        <v>7061</v>
      </c>
      <c r="W45" s="479">
        <f t="shared" si="13"/>
        <v>7061</v>
      </c>
    </row>
    <row r="46" spans="1:23" s="7" customFormat="1" ht="12" customHeight="1" hidden="1" thickBot="1">
      <c r="A46" s="9"/>
      <c r="D46" s="9"/>
      <c r="E46" s="45"/>
      <c r="H46" s="141">
        <v>1.2</v>
      </c>
      <c r="I46" s="315">
        <f t="shared" si="7"/>
        <v>7308</v>
      </c>
      <c r="J46" s="500">
        <v>7308</v>
      </c>
      <c r="K46" s="500">
        <v>5709</v>
      </c>
      <c r="L46" s="500">
        <v>5398</v>
      </c>
      <c r="M46" s="500">
        <v>3908</v>
      </c>
      <c r="N46" s="500">
        <v>4191</v>
      </c>
      <c r="O46" s="500">
        <v>2751</v>
      </c>
      <c r="P46" s="500">
        <v>7777</v>
      </c>
      <c r="Q46" s="500">
        <v>6090</v>
      </c>
      <c r="R46" s="274">
        <f t="shared" si="8"/>
        <v>7777</v>
      </c>
      <c r="S46" s="479">
        <f t="shared" si="9"/>
        <v>7308</v>
      </c>
      <c r="T46" s="479">
        <f t="shared" si="10"/>
        <v>7308</v>
      </c>
      <c r="U46" s="479">
        <f t="shared" si="11"/>
        <v>7308</v>
      </c>
      <c r="V46" s="479">
        <f t="shared" si="12"/>
        <v>7308</v>
      </c>
      <c r="W46" s="479">
        <f t="shared" si="13"/>
        <v>7308</v>
      </c>
    </row>
    <row r="47" spans="1:23" s="7" customFormat="1" ht="12" customHeight="1" hidden="1">
      <c r="A47" s="9"/>
      <c r="D47" s="9"/>
      <c r="E47" s="45"/>
      <c r="H47" s="200"/>
      <c r="I47" s="497"/>
      <c r="J47" s="499"/>
      <c r="K47" s="499"/>
      <c r="L47" s="499"/>
      <c r="M47" s="499"/>
      <c r="N47" s="499"/>
      <c r="O47" s="499"/>
      <c r="P47" s="499"/>
      <c r="Q47" s="499"/>
      <c r="R47" s="498"/>
      <c r="S47" s="498"/>
      <c r="T47" s="498"/>
      <c r="U47" s="498"/>
      <c r="V47" s="498"/>
      <c r="W47" s="498"/>
    </row>
    <row r="48" spans="1:23" s="7" customFormat="1" ht="12" customHeight="1" hidden="1">
      <c r="A48" s="9"/>
      <c r="D48" s="9"/>
      <c r="E48" s="45"/>
      <c r="H48" s="200"/>
      <c r="I48" s="497"/>
      <c r="J48" s="499"/>
      <c r="K48" s="499"/>
      <c r="L48" s="499"/>
      <c r="M48" s="499"/>
      <c r="N48" s="499"/>
      <c r="O48" s="499"/>
      <c r="P48" s="499"/>
      <c r="Q48" s="499"/>
      <c r="R48" s="498"/>
      <c r="S48" s="498"/>
      <c r="T48" s="498"/>
      <c r="U48" s="498"/>
      <c r="V48" s="498"/>
      <c r="W48" s="498"/>
    </row>
    <row r="49" spans="1:23" s="7" customFormat="1" ht="20.25" customHeight="1" hidden="1" thickBot="1">
      <c r="A49" s="9"/>
      <c r="D49" s="9"/>
      <c r="E49" s="45"/>
      <c r="H49" s="1"/>
      <c r="I49" s="392">
        <v>43586</v>
      </c>
      <c r="J49" s="9"/>
      <c r="K49" s="45"/>
      <c r="L49" s="392">
        <v>43586</v>
      </c>
      <c r="M49" s="286"/>
      <c r="N49" s="1"/>
      <c r="O49" s="1"/>
      <c r="P49" s="1"/>
      <c r="Q49" s="1"/>
      <c r="R49" s="1"/>
      <c r="S49" s="97"/>
      <c r="T49" s="97"/>
      <c r="U49" s="97"/>
      <c r="V49" s="97"/>
      <c r="W49" s="97"/>
    </row>
    <row r="50" spans="1:23" s="7" customFormat="1" ht="12" customHeight="1" hidden="1" thickBot="1" thickTop="1">
      <c r="A50" s="9"/>
      <c r="D50" s="9"/>
      <c r="E50" s="45"/>
      <c r="H50" s="1"/>
      <c r="I50" s="273" t="s">
        <v>366</v>
      </c>
      <c r="J50" s="46" t="s">
        <v>361</v>
      </c>
      <c r="K50" s="46" t="s">
        <v>362</v>
      </c>
      <c r="L50" s="275" t="s">
        <v>352</v>
      </c>
      <c r="M50" s="314" t="s">
        <v>353</v>
      </c>
      <c r="N50" s="275" t="s">
        <v>355</v>
      </c>
      <c r="O50" s="275" t="s">
        <v>354</v>
      </c>
      <c r="P50" s="275" t="s">
        <v>363</v>
      </c>
      <c r="Q50" s="275" t="s">
        <v>364</v>
      </c>
      <c r="R50" s="129" t="s">
        <v>365</v>
      </c>
      <c r="S50" s="480">
        <v>1</v>
      </c>
      <c r="T50" s="480">
        <v>2</v>
      </c>
      <c r="U50" s="480">
        <v>3</v>
      </c>
      <c r="V50" s="480">
        <v>4</v>
      </c>
      <c r="W50" s="480">
        <v>5</v>
      </c>
    </row>
    <row r="51" spans="1:23" s="7" customFormat="1" ht="12" customHeight="1" hidden="1">
      <c r="A51" s="9"/>
      <c r="D51" s="9"/>
      <c r="E51" s="45"/>
      <c r="H51" s="138">
        <v>0</v>
      </c>
      <c r="I51" s="315">
        <f aca="true" t="shared" si="14" ref="I51:I62">IF(OR(puntosproljor&lt;620,nina=1),W51,R51)</f>
        <v>3335</v>
      </c>
      <c r="J51" s="500">
        <v>3335</v>
      </c>
      <c r="K51" s="500">
        <v>1420</v>
      </c>
      <c r="L51" s="500">
        <v>0</v>
      </c>
      <c r="M51" s="500">
        <v>0</v>
      </c>
      <c r="N51" s="500">
        <v>0</v>
      </c>
      <c r="O51" s="500">
        <v>0</v>
      </c>
      <c r="P51" s="500">
        <v>2407</v>
      </c>
      <c r="Q51" s="500">
        <v>1797</v>
      </c>
      <c r="R51" s="274">
        <f aca="true" t="shared" si="15" ref="R51:R62">IF(PUNTOSbasicos&gt;971,Q51,P51)</f>
        <v>2407</v>
      </c>
      <c r="S51" s="479">
        <f aca="true" t="shared" si="16" ref="S51:S62">IF(PUNTOSbasicos&lt;972,J51,K51)</f>
        <v>3335</v>
      </c>
      <c r="T51" s="479">
        <f aca="true" t="shared" si="17" ref="T51:T62">IF(PUNTOSbasicos&lt;1170,S51,L51)</f>
        <v>3335</v>
      </c>
      <c r="U51" s="479">
        <f aca="true" t="shared" si="18" ref="U51:U62">IF(PUNTOSbasicos&lt;1401,T51,M51)</f>
        <v>3335</v>
      </c>
      <c r="V51" s="479">
        <f aca="true" t="shared" si="19" ref="V51:V62">IF(PUNTOSbasicos&lt;1943,U51,N51)</f>
        <v>3335</v>
      </c>
      <c r="W51" s="479">
        <f aca="true" t="shared" si="20" ref="W51:W62">IF(PUNTOSbasicos&lt;=2220,V51,O51)</f>
        <v>3335</v>
      </c>
    </row>
    <row r="52" spans="1:23" s="7" customFormat="1" ht="12" customHeight="1" hidden="1">
      <c r="A52" s="9"/>
      <c r="D52" s="9"/>
      <c r="E52" s="45"/>
      <c r="H52" s="139">
        <v>0.1</v>
      </c>
      <c r="I52" s="315">
        <f t="shared" si="14"/>
        <v>4832</v>
      </c>
      <c r="J52" s="500">
        <v>4832</v>
      </c>
      <c r="K52" s="500">
        <v>1536</v>
      </c>
      <c r="L52" s="500">
        <v>0</v>
      </c>
      <c r="M52" s="500">
        <v>0</v>
      </c>
      <c r="N52" s="500">
        <v>0</v>
      </c>
      <c r="O52" s="500">
        <v>0</v>
      </c>
      <c r="P52" s="500">
        <v>2523</v>
      </c>
      <c r="Q52" s="500">
        <v>1913</v>
      </c>
      <c r="R52" s="274">
        <f t="shared" si="15"/>
        <v>2523</v>
      </c>
      <c r="S52" s="479">
        <f t="shared" si="16"/>
        <v>4832</v>
      </c>
      <c r="T52" s="479">
        <f t="shared" si="17"/>
        <v>4832</v>
      </c>
      <c r="U52" s="479">
        <f t="shared" si="18"/>
        <v>4832</v>
      </c>
      <c r="V52" s="479">
        <f t="shared" si="19"/>
        <v>4832</v>
      </c>
      <c r="W52" s="479">
        <f t="shared" si="20"/>
        <v>4832</v>
      </c>
    </row>
    <row r="53" spans="1:23" s="7" customFormat="1" ht="12" customHeight="1" hidden="1">
      <c r="A53" s="9"/>
      <c r="D53" s="9"/>
      <c r="E53" s="45"/>
      <c r="H53" s="140">
        <v>0.15</v>
      </c>
      <c r="I53" s="315">
        <f t="shared" si="14"/>
        <v>5770</v>
      </c>
      <c r="J53" s="500">
        <v>5770</v>
      </c>
      <c r="K53" s="500">
        <v>2569</v>
      </c>
      <c r="L53" s="500">
        <v>3249</v>
      </c>
      <c r="M53" s="500">
        <v>2710</v>
      </c>
      <c r="N53" s="500">
        <v>2939</v>
      </c>
      <c r="O53" s="500">
        <v>0</v>
      </c>
      <c r="P53" s="500">
        <v>4020</v>
      </c>
      <c r="Q53" s="500">
        <v>3411</v>
      </c>
      <c r="R53" s="274">
        <f t="shared" si="15"/>
        <v>4020</v>
      </c>
      <c r="S53" s="479">
        <f t="shared" si="16"/>
        <v>5770</v>
      </c>
      <c r="T53" s="479">
        <f t="shared" si="17"/>
        <v>5770</v>
      </c>
      <c r="U53" s="479">
        <f t="shared" si="18"/>
        <v>5770</v>
      </c>
      <c r="V53" s="479">
        <f t="shared" si="19"/>
        <v>5770</v>
      </c>
      <c r="W53" s="479">
        <f t="shared" si="20"/>
        <v>5770</v>
      </c>
    </row>
    <row r="54" spans="1:23" s="7" customFormat="1" ht="12" customHeight="1" hidden="1">
      <c r="A54" s="9"/>
      <c r="D54" s="9"/>
      <c r="E54" s="45"/>
      <c r="H54" s="140">
        <v>0.3</v>
      </c>
      <c r="I54" s="315">
        <f t="shared" si="14"/>
        <v>6157</v>
      </c>
      <c r="J54" s="500">
        <v>6157</v>
      </c>
      <c r="K54" s="500">
        <v>2734</v>
      </c>
      <c r="L54" s="500">
        <v>3249</v>
      </c>
      <c r="M54" s="500">
        <v>2710</v>
      </c>
      <c r="N54" s="500">
        <v>2939</v>
      </c>
      <c r="O54" s="500">
        <v>0</v>
      </c>
      <c r="P54" s="500">
        <v>5863</v>
      </c>
      <c r="Q54" s="500">
        <v>4908</v>
      </c>
      <c r="R54" s="274">
        <f t="shared" si="15"/>
        <v>5863</v>
      </c>
      <c r="S54" s="479">
        <f t="shared" si="16"/>
        <v>6157</v>
      </c>
      <c r="T54" s="479">
        <f t="shared" si="17"/>
        <v>6157</v>
      </c>
      <c r="U54" s="479">
        <f t="shared" si="18"/>
        <v>6157</v>
      </c>
      <c r="V54" s="479">
        <f t="shared" si="19"/>
        <v>6157</v>
      </c>
      <c r="W54" s="479">
        <f t="shared" si="20"/>
        <v>6157</v>
      </c>
    </row>
    <row r="55" spans="1:23" s="7" customFormat="1" ht="12" customHeight="1" hidden="1">
      <c r="A55" s="9"/>
      <c r="D55" s="9"/>
      <c r="E55" s="45"/>
      <c r="H55" s="140">
        <v>0.4</v>
      </c>
      <c r="I55" s="315">
        <f t="shared" si="14"/>
        <v>5530</v>
      </c>
      <c r="J55" s="500">
        <v>5530</v>
      </c>
      <c r="K55" s="500">
        <v>2911</v>
      </c>
      <c r="L55" s="500">
        <v>3369</v>
      </c>
      <c r="M55" s="500">
        <v>2791</v>
      </c>
      <c r="N55" s="500">
        <v>2939</v>
      </c>
      <c r="O55" s="500">
        <v>2481</v>
      </c>
      <c r="P55" s="500">
        <v>6557</v>
      </c>
      <c r="Q55" s="500">
        <v>5486</v>
      </c>
      <c r="R55" s="274">
        <f t="shared" si="15"/>
        <v>6557</v>
      </c>
      <c r="S55" s="479">
        <f t="shared" si="16"/>
        <v>5530</v>
      </c>
      <c r="T55" s="479">
        <f t="shared" si="17"/>
        <v>5530</v>
      </c>
      <c r="U55" s="479">
        <f t="shared" si="18"/>
        <v>5530</v>
      </c>
      <c r="V55" s="479">
        <f t="shared" si="19"/>
        <v>5530</v>
      </c>
      <c r="W55" s="479">
        <f t="shared" si="20"/>
        <v>5530</v>
      </c>
    </row>
    <row r="56" spans="1:23" s="7" customFormat="1" ht="12" customHeight="1" hidden="1">
      <c r="A56" s="9"/>
      <c r="D56" s="9"/>
      <c r="E56" s="45"/>
      <c r="H56" s="140">
        <v>0.5</v>
      </c>
      <c r="I56" s="315">
        <f t="shared" si="14"/>
        <v>4779</v>
      </c>
      <c r="J56" s="500">
        <v>4779</v>
      </c>
      <c r="K56" s="500">
        <v>3140</v>
      </c>
      <c r="L56" s="500">
        <v>3369</v>
      </c>
      <c r="M56" s="500">
        <v>2791</v>
      </c>
      <c r="N56" s="500">
        <v>2939</v>
      </c>
      <c r="O56" s="500">
        <v>2481</v>
      </c>
      <c r="P56" s="500">
        <v>6959</v>
      </c>
      <c r="Q56" s="500">
        <v>5884</v>
      </c>
      <c r="R56" s="274">
        <f t="shared" si="15"/>
        <v>6959</v>
      </c>
      <c r="S56" s="479">
        <f t="shared" si="16"/>
        <v>4779</v>
      </c>
      <c r="T56" s="479">
        <f t="shared" si="17"/>
        <v>4779</v>
      </c>
      <c r="U56" s="479">
        <f t="shared" si="18"/>
        <v>4779</v>
      </c>
      <c r="V56" s="479">
        <f t="shared" si="19"/>
        <v>4779</v>
      </c>
      <c r="W56" s="479">
        <f t="shared" si="20"/>
        <v>4779</v>
      </c>
    </row>
    <row r="57" spans="1:23" s="7" customFormat="1" ht="12" customHeight="1" hidden="1">
      <c r="A57" s="9"/>
      <c r="D57" s="9"/>
      <c r="E57" s="45"/>
      <c r="H57" s="140">
        <v>0.6</v>
      </c>
      <c r="I57" s="315">
        <f t="shared" si="14"/>
        <v>4808</v>
      </c>
      <c r="J57" s="500">
        <v>4808</v>
      </c>
      <c r="K57" s="500">
        <v>3478</v>
      </c>
      <c r="L57" s="500">
        <v>3478</v>
      </c>
      <c r="M57" s="500">
        <v>2829</v>
      </c>
      <c r="N57" s="500">
        <v>3051</v>
      </c>
      <c r="O57" s="500">
        <v>2703</v>
      </c>
      <c r="P57" s="500">
        <v>7361</v>
      </c>
      <c r="Q57" s="500">
        <v>6061</v>
      </c>
      <c r="R57" s="274">
        <f t="shared" si="15"/>
        <v>7361</v>
      </c>
      <c r="S57" s="479">
        <f t="shared" si="16"/>
        <v>4808</v>
      </c>
      <c r="T57" s="479">
        <f t="shared" si="17"/>
        <v>4808</v>
      </c>
      <c r="U57" s="479">
        <f t="shared" si="18"/>
        <v>4808</v>
      </c>
      <c r="V57" s="479">
        <f t="shared" si="19"/>
        <v>4808</v>
      </c>
      <c r="W57" s="479">
        <f t="shared" si="20"/>
        <v>4808</v>
      </c>
    </row>
    <row r="58" spans="1:23" s="7" customFormat="1" ht="12" customHeight="1" hidden="1">
      <c r="A58" s="9"/>
      <c r="D58" s="9"/>
      <c r="E58" s="45"/>
      <c r="H58" s="140">
        <v>0.7</v>
      </c>
      <c r="I58" s="315">
        <f t="shared" si="14"/>
        <v>4586</v>
      </c>
      <c r="J58" s="500">
        <v>4586</v>
      </c>
      <c r="K58" s="500">
        <v>3763</v>
      </c>
      <c r="L58" s="500">
        <v>4672</v>
      </c>
      <c r="M58" s="500">
        <v>3140</v>
      </c>
      <c r="N58" s="500">
        <v>3051</v>
      </c>
      <c r="O58" s="500">
        <v>2703</v>
      </c>
      <c r="P58" s="500">
        <v>7537</v>
      </c>
      <c r="Q58" s="500">
        <v>6237</v>
      </c>
      <c r="R58" s="274">
        <f t="shared" si="15"/>
        <v>7537</v>
      </c>
      <c r="S58" s="479">
        <f t="shared" si="16"/>
        <v>4586</v>
      </c>
      <c r="T58" s="479">
        <f t="shared" si="17"/>
        <v>4586</v>
      </c>
      <c r="U58" s="479">
        <f t="shared" si="18"/>
        <v>4586</v>
      </c>
      <c r="V58" s="479">
        <f t="shared" si="19"/>
        <v>4586</v>
      </c>
      <c r="W58" s="479">
        <f t="shared" si="20"/>
        <v>4586</v>
      </c>
    </row>
    <row r="59" spans="1:23" s="7" customFormat="1" ht="12" customHeight="1" hidden="1">
      <c r="A59" s="9"/>
      <c r="D59" s="9"/>
      <c r="E59" s="45"/>
      <c r="H59" s="140">
        <v>0.8</v>
      </c>
      <c r="I59" s="315">
        <f t="shared" si="14"/>
        <v>5562</v>
      </c>
      <c r="J59" s="500">
        <v>5562</v>
      </c>
      <c r="K59" s="500">
        <v>4450</v>
      </c>
      <c r="L59" s="500">
        <v>5025</v>
      </c>
      <c r="M59" s="500">
        <v>4390</v>
      </c>
      <c r="N59" s="500">
        <v>4073</v>
      </c>
      <c r="O59" s="500">
        <v>2939</v>
      </c>
      <c r="P59" s="500">
        <v>7875</v>
      </c>
      <c r="Q59" s="500">
        <v>6350</v>
      </c>
      <c r="R59" s="274">
        <f t="shared" si="15"/>
        <v>7875</v>
      </c>
      <c r="S59" s="479">
        <f t="shared" si="16"/>
        <v>5562</v>
      </c>
      <c r="T59" s="479">
        <f t="shared" si="17"/>
        <v>5562</v>
      </c>
      <c r="U59" s="479">
        <f t="shared" si="18"/>
        <v>5562</v>
      </c>
      <c r="V59" s="479">
        <f t="shared" si="19"/>
        <v>5562</v>
      </c>
      <c r="W59" s="479">
        <f t="shared" si="20"/>
        <v>5562</v>
      </c>
    </row>
    <row r="60" spans="1:23" s="7" customFormat="1" ht="12" customHeight="1" hidden="1">
      <c r="A60" s="9"/>
      <c r="D60" s="9"/>
      <c r="E60" s="45"/>
      <c r="H60" s="140">
        <v>1</v>
      </c>
      <c r="I60" s="315">
        <f t="shared" si="14"/>
        <v>6968</v>
      </c>
      <c r="J60" s="500">
        <v>6968</v>
      </c>
      <c r="K60" s="500">
        <v>5472</v>
      </c>
      <c r="L60" s="500">
        <v>5190</v>
      </c>
      <c r="M60" s="500">
        <v>4278</v>
      </c>
      <c r="N60" s="500">
        <v>4419</v>
      </c>
      <c r="O60" s="500">
        <v>2939</v>
      </c>
      <c r="P60" s="500">
        <v>8284</v>
      </c>
      <c r="Q60" s="500">
        <v>6519</v>
      </c>
      <c r="R60" s="274">
        <f t="shared" si="15"/>
        <v>8284</v>
      </c>
      <c r="S60" s="479">
        <f t="shared" si="16"/>
        <v>6968</v>
      </c>
      <c r="T60" s="479">
        <f t="shared" si="17"/>
        <v>6968</v>
      </c>
      <c r="U60" s="479">
        <f t="shared" si="18"/>
        <v>6968</v>
      </c>
      <c r="V60" s="479">
        <f t="shared" si="19"/>
        <v>6968</v>
      </c>
      <c r="W60" s="479">
        <f t="shared" si="20"/>
        <v>6968</v>
      </c>
    </row>
    <row r="61" spans="1:23" s="7" customFormat="1" ht="12" customHeight="1" hidden="1">
      <c r="A61" s="9"/>
      <c r="D61" s="9"/>
      <c r="E61" s="45"/>
      <c r="H61" s="140">
        <v>1.1</v>
      </c>
      <c r="I61" s="315">
        <f t="shared" si="14"/>
        <v>7831</v>
      </c>
      <c r="J61" s="500">
        <v>7831</v>
      </c>
      <c r="K61" s="500">
        <v>6163</v>
      </c>
      <c r="L61" s="500">
        <v>5423</v>
      </c>
      <c r="M61" s="500">
        <v>4278</v>
      </c>
      <c r="N61" s="500">
        <v>4535</v>
      </c>
      <c r="O61" s="500">
        <v>3051</v>
      </c>
      <c r="P61" s="500">
        <v>8569</v>
      </c>
      <c r="Q61" s="500">
        <v>6691</v>
      </c>
      <c r="R61" s="274">
        <f t="shared" si="15"/>
        <v>8569</v>
      </c>
      <c r="S61" s="479">
        <f t="shared" si="16"/>
        <v>7831</v>
      </c>
      <c r="T61" s="479">
        <f t="shared" si="17"/>
        <v>7831</v>
      </c>
      <c r="U61" s="479">
        <f t="shared" si="18"/>
        <v>7831</v>
      </c>
      <c r="V61" s="479">
        <f t="shared" si="19"/>
        <v>7831</v>
      </c>
      <c r="W61" s="479">
        <f t="shared" si="20"/>
        <v>7831</v>
      </c>
    </row>
    <row r="62" spans="1:23" s="7" customFormat="1" ht="12" customHeight="1" hidden="1" thickBot="1">
      <c r="A62" s="9"/>
      <c r="D62" s="9"/>
      <c r="E62" s="45"/>
      <c r="H62" s="141">
        <v>1.2</v>
      </c>
      <c r="I62" s="315">
        <f t="shared" si="14"/>
        <v>8106</v>
      </c>
      <c r="J62" s="500">
        <v>8106</v>
      </c>
      <c r="K62" s="500">
        <v>6332</v>
      </c>
      <c r="L62" s="500">
        <v>5987</v>
      </c>
      <c r="M62" s="500">
        <v>4334</v>
      </c>
      <c r="N62" s="500">
        <v>4648</v>
      </c>
      <c r="O62" s="500">
        <v>3051</v>
      </c>
      <c r="P62" s="500">
        <v>8626</v>
      </c>
      <c r="Q62" s="500">
        <v>6755</v>
      </c>
      <c r="R62" s="274">
        <f t="shared" si="15"/>
        <v>8626</v>
      </c>
      <c r="S62" s="479">
        <f t="shared" si="16"/>
        <v>8106</v>
      </c>
      <c r="T62" s="479">
        <f t="shared" si="17"/>
        <v>8106</v>
      </c>
      <c r="U62" s="479">
        <f t="shared" si="18"/>
        <v>8106</v>
      </c>
      <c r="V62" s="479">
        <f t="shared" si="19"/>
        <v>8106</v>
      </c>
      <c r="W62" s="479">
        <f t="shared" si="20"/>
        <v>8106</v>
      </c>
    </row>
    <row r="63" spans="1:23" s="7" customFormat="1" ht="12" customHeight="1" hidden="1">
      <c r="A63" s="9"/>
      <c r="D63" s="9"/>
      <c r="E63" s="45"/>
      <c r="H63" s="200"/>
      <c r="I63" s="497"/>
      <c r="J63" s="499"/>
      <c r="K63" s="499"/>
      <c r="L63" s="499"/>
      <c r="M63" s="499"/>
      <c r="N63" s="499"/>
      <c r="O63" s="499"/>
      <c r="P63" s="499"/>
      <c r="Q63" s="499"/>
      <c r="R63" s="498"/>
      <c r="S63" s="498"/>
      <c r="T63" s="498"/>
      <c r="U63" s="498"/>
      <c r="V63" s="498"/>
      <c r="W63" s="498"/>
    </row>
    <row r="64" spans="1:23" s="7" customFormat="1" ht="12" customHeight="1" hidden="1">
      <c r="A64" s="9"/>
      <c r="D64" s="9"/>
      <c r="E64" s="45"/>
      <c r="H64" s="200"/>
      <c r="I64" s="497"/>
      <c r="J64" s="499"/>
      <c r="K64" s="499"/>
      <c r="L64" s="499"/>
      <c r="M64" s="499"/>
      <c r="N64" s="499"/>
      <c r="O64" s="499"/>
      <c r="P64" s="499"/>
      <c r="Q64" s="499"/>
      <c r="R64" s="498"/>
      <c r="S64" s="498"/>
      <c r="T64" s="498"/>
      <c r="U64" s="498"/>
      <c r="V64" s="498"/>
      <c r="W64" s="498"/>
    </row>
    <row r="65" spans="1:23" s="7" customFormat="1" ht="22.5" customHeight="1" hidden="1">
      <c r="A65" s="9"/>
      <c r="D65" s="9"/>
      <c r="E65" s="45"/>
      <c r="H65" s="200"/>
      <c r="I65" s="497"/>
      <c r="J65" s="499"/>
      <c r="K65" s="499"/>
      <c r="L65" s="499"/>
      <c r="M65" s="499"/>
      <c r="N65" s="499"/>
      <c r="O65" s="499"/>
      <c r="P65" s="499"/>
      <c r="Q65" s="499"/>
      <c r="R65" s="498"/>
      <c r="S65" s="498"/>
      <c r="T65" s="498"/>
      <c r="U65" s="498"/>
      <c r="V65" s="498"/>
      <c r="W65" s="498"/>
    </row>
    <row r="66" spans="1:23" s="7" customFormat="1" ht="20.25" customHeight="1" hidden="1" thickBot="1">
      <c r="A66" s="9"/>
      <c r="D66" s="9"/>
      <c r="E66" s="45"/>
      <c r="H66" s="1"/>
      <c r="I66" s="392">
        <v>43647</v>
      </c>
      <c r="J66" s="9"/>
      <c r="K66" s="45"/>
      <c r="L66" s="392">
        <v>43647</v>
      </c>
      <c r="M66" s="286"/>
      <c r="N66" s="1"/>
      <c r="O66" s="1"/>
      <c r="P66" s="1"/>
      <c r="Q66" s="1"/>
      <c r="R66" s="1"/>
      <c r="S66" s="97"/>
      <c r="T66" s="97"/>
      <c r="U66" s="97"/>
      <c r="V66" s="97"/>
      <c r="W66" s="97"/>
    </row>
    <row r="67" spans="1:23" s="7" customFormat="1" ht="12" customHeight="1" hidden="1" thickBot="1" thickTop="1">
      <c r="A67" s="9"/>
      <c r="D67" s="9"/>
      <c r="E67" s="45"/>
      <c r="H67" s="1"/>
      <c r="I67" s="273" t="s">
        <v>366</v>
      </c>
      <c r="J67" s="46" t="s">
        <v>361</v>
      </c>
      <c r="K67" s="46" t="s">
        <v>362</v>
      </c>
      <c r="L67" s="275" t="s">
        <v>352</v>
      </c>
      <c r="M67" s="314" t="s">
        <v>353</v>
      </c>
      <c r="N67" s="275" t="s">
        <v>355</v>
      </c>
      <c r="O67" s="275" t="s">
        <v>354</v>
      </c>
      <c r="P67" s="275" t="s">
        <v>363</v>
      </c>
      <c r="Q67" s="275" t="s">
        <v>364</v>
      </c>
      <c r="R67" s="129" t="s">
        <v>365</v>
      </c>
      <c r="S67" s="480">
        <v>1</v>
      </c>
      <c r="T67" s="480">
        <v>2</v>
      </c>
      <c r="U67" s="480">
        <v>3</v>
      </c>
      <c r="V67" s="480">
        <v>4</v>
      </c>
      <c r="W67" s="480">
        <v>5</v>
      </c>
    </row>
    <row r="68" spans="1:23" s="7" customFormat="1" ht="12" customHeight="1" hidden="1">
      <c r="A68" s="9"/>
      <c r="D68" s="9"/>
      <c r="E68" s="45"/>
      <c r="H68" s="138">
        <v>0</v>
      </c>
      <c r="I68" s="315">
        <f aca="true" t="shared" si="21" ref="I68:I79">IF(OR(puntosproljor&lt;620,nina=1),W68,R68)</f>
        <v>3646.631147540984</v>
      </c>
      <c r="J68" s="500">
        <f>J51*1.334/1.22</f>
        <v>3646.631147540984</v>
      </c>
      <c r="K68" s="500">
        <f aca="true" t="shared" si="22" ref="K68:Q68">K51*1.334/1.22</f>
        <v>1552.6885245901642</v>
      </c>
      <c r="L68" s="500">
        <f t="shared" si="22"/>
        <v>0</v>
      </c>
      <c r="M68" s="500">
        <f t="shared" si="22"/>
        <v>0</v>
      </c>
      <c r="N68" s="500">
        <f t="shared" si="22"/>
        <v>0</v>
      </c>
      <c r="O68" s="500">
        <f t="shared" si="22"/>
        <v>0</v>
      </c>
      <c r="P68" s="500">
        <f t="shared" si="22"/>
        <v>2631.9163934426233</v>
      </c>
      <c r="Q68" s="500">
        <f t="shared" si="22"/>
        <v>1964.9163934426233</v>
      </c>
      <c r="R68" s="274">
        <f aca="true" t="shared" si="23" ref="R68:R79">IF(PUNTOSbasicos&gt;971,Q68,P68)</f>
        <v>2631.9163934426233</v>
      </c>
      <c r="S68" s="479">
        <f aca="true" t="shared" si="24" ref="S68:S79">IF(PUNTOSbasicos&lt;972,J68,K68)</f>
        <v>3646.631147540984</v>
      </c>
      <c r="T68" s="479">
        <f aca="true" t="shared" si="25" ref="T68:T79">IF(PUNTOSbasicos&lt;1170,S68,L68)</f>
        <v>3646.631147540984</v>
      </c>
      <c r="U68" s="479">
        <f aca="true" t="shared" si="26" ref="U68:U79">IF(PUNTOSbasicos&lt;1401,T68,M68)</f>
        <v>3646.631147540984</v>
      </c>
      <c r="V68" s="479">
        <f aca="true" t="shared" si="27" ref="V68:V79">IF(PUNTOSbasicos&lt;1943,U68,N68)</f>
        <v>3646.631147540984</v>
      </c>
      <c r="W68" s="479">
        <f aca="true" t="shared" si="28" ref="W68:W79">IF(PUNTOSbasicos&lt;=2220,V68,O68)</f>
        <v>3646.631147540984</v>
      </c>
    </row>
    <row r="69" spans="1:23" s="7" customFormat="1" ht="12" customHeight="1" hidden="1">
      <c r="A69" s="9"/>
      <c r="D69" s="9"/>
      <c r="E69" s="45"/>
      <c r="H69" s="139">
        <v>0.1</v>
      </c>
      <c r="I69" s="315">
        <f t="shared" si="21"/>
        <v>5283.514754098361</v>
      </c>
      <c r="J69" s="500">
        <f aca="true" t="shared" si="29" ref="J69:Q79">J52*1.334/1.22</f>
        <v>5283.514754098361</v>
      </c>
      <c r="K69" s="500">
        <f t="shared" si="29"/>
        <v>1679.5278688524593</v>
      </c>
      <c r="L69" s="500">
        <f t="shared" si="29"/>
        <v>0</v>
      </c>
      <c r="M69" s="500">
        <f t="shared" si="29"/>
        <v>0</v>
      </c>
      <c r="N69" s="500">
        <f t="shared" si="29"/>
        <v>0</v>
      </c>
      <c r="O69" s="500">
        <f t="shared" si="29"/>
        <v>0</v>
      </c>
      <c r="P69" s="500">
        <f t="shared" si="29"/>
        <v>2758.7557377049184</v>
      </c>
      <c r="Q69" s="500">
        <f t="shared" si="29"/>
        <v>2091.755737704918</v>
      </c>
      <c r="R69" s="274">
        <f t="shared" si="23"/>
        <v>2758.7557377049184</v>
      </c>
      <c r="S69" s="479">
        <f t="shared" si="24"/>
        <v>5283.514754098361</v>
      </c>
      <c r="T69" s="479">
        <f t="shared" si="25"/>
        <v>5283.514754098361</v>
      </c>
      <c r="U69" s="479">
        <f t="shared" si="26"/>
        <v>5283.514754098361</v>
      </c>
      <c r="V69" s="479">
        <f t="shared" si="27"/>
        <v>5283.514754098361</v>
      </c>
      <c r="W69" s="479">
        <f t="shared" si="28"/>
        <v>5283.514754098361</v>
      </c>
    </row>
    <row r="70" spans="1:23" s="7" customFormat="1" ht="12" customHeight="1" hidden="1">
      <c r="A70" s="9"/>
      <c r="D70" s="9"/>
      <c r="E70" s="45"/>
      <c r="H70" s="140">
        <v>0.15</v>
      </c>
      <c r="I70" s="315">
        <f t="shared" si="21"/>
        <v>6309.16393442623</v>
      </c>
      <c r="J70" s="500">
        <f t="shared" si="29"/>
        <v>6309.16393442623</v>
      </c>
      <c r="K70" s="500">
        <f t="shared" si="29"/>
        <v>2809.054098360656</v>
      </c>
      <c r="L70" s="500">
        <f t="shared" si="29"/>
        <v>3552.5950819672134</v>
      </c>
      <c r="M70" s="500">
        <f t="shared" si="29"/>
        <v>2963.229508196722</v>
      </c>
      <c r="N70" s="500">
        <f t="shared" si="29"/>
        <v>3213.6278688524594</v>
      </c>
      <c r="O70" s="500">
        <f t="shared" si="29"/>
        <v>0</v>
      </c>
      <c r="P70" s="500">
        <f t="shared" si="29"/>
        <v>4395.639344262296</v>
      </c>
      <c r="Q70" s="500">
        <f t="shared" si="29"/>
        <v>3729.7327868852462</v>
      </c>
      <c r="R70" s="274">
        <f t="shared" si="23"/>
        <v>4395.639344262296</v>
      </c>
      <c r="S70" s="479">
        <f t="shared" si="24"/>
        <v>6309.16393442623</v>
      </c>
      <c r="T70" s="479">
        <f t="shared" si="25"/>
        <v>6309.16393442623</v>
      </c>
      <c r="U70" s="479">
        <f t="shared" si="26"/>
        <v>6309.16393442623</v>
      </c>
      <c r="V70" s="479">
        <f t="shared" si="27"/>
        <v>6309.16393442623</v>
      </c>
      <c r="W70" s="479">
        <f t="shared" si="28"/>
        <v>6309.16393442623</v>
      </c>
    </row>
    <row r="71" spans="1:23" s="7" customFormat="1" ht="12" customHeight="1" hidden="1">
      <c r="A71" s="9"/>
      <c r="D71" s="9"/>
      <c r="E71" s="45"/>
      <c r="H71" s="140">
        <v>0.3</v>
      </c>
      <c r="I71" s="315">
        <f t="shared" si="21"/>
        <v>6732.326229508197</v>
      </c>
      <c r="J71" s="500">
        <f t="shared" si="29"/>
        <v>6732.326229508197</v>
      </c>
      <c r="K71" s="500">
        <f t="shared" si="29"/>
        <v>2989.4721311475414</v>
      </c>
      <c r="L71" s="500">
        <f t="shared" si="29"/>
        <v>3552.5950819672134</v>
      </c>
      <c r="M71" s="500">
        <f t="shared" si="29"/>
        <v>2963.229508196722</v>
      </c>
      <c r="N71" s="500">
        <f t="shared" si="29"/>
        <v>3213.6278688524594</v>
      </c>
      <c r="O71" s="500">
        <f t="shared" si="29"/>
        <v>0</v>
      </c>
      <c r="P71" s="500">
        <f t="shared" si="29"/>
        <v>6410.854098360656</v>
      </c>
      <c r="Q71" s="500">
        <f t="shared" si="29"/>
        <v>5366.616393442623</v>
      </c>
      <c r="R71" s="274">
        <f t="shared" si="23"/>
        <v>6410.854098360656</v>
      </c>
      <c r="S71" s="479">
        <f t="shared" si="24"/>
        <v>6732.326229508197</v>
      </c>
      <c r="T71" s="479">
        <f t="shared" si="25"/>
        <v>6732.326229508197</v>
      </c>
      <c r="U71" s="479">
        <f t="shared" si="26"/>
        <v>6732.326229508197</v>
      </c>
      <c r="V71" s="479">
        <f t="shared" si="27"/>
        <v>6732.326229508197</v>
      </c>
      <c r="W71" s="479">
        <f t="shared" si="28"/>
        <v>6732.326229508197</v>
      </c>
    </row>
    <row r="72" spans="1:23" s="7" customFormat="1" ht="12" customHeight="1" hidden="1">
      <c r="A72" s="9"/>
      <c r="D72" s="9"/>
      <c r="E72" s="45"/>
      <c r="H72" s="140">
        <v>0.4</v>
      </c>
      <c r="I72" s="315">
        <f t="shared" si="21"/>
        <v>6046.737704918033</v>
      </c>
      <c r="J72" s="500">
        <f t="shared" si="29"/>
        <v>6046.737704918033</v>
      </c>
      <c r="K72" s="500">
        <f t="shared" si="29"/>
        <v>3183.0114754098363</v>
      </c>
      <c r="L72" s="500">
        <f t="shared" si="29"/>
        <v>3683.8081967213116</v>
      </c>
      <c r="M72" s="500">
        <f t="shared" si="29"/>
        <v>3051.798360655738</v>
      </c>
      <c r="N72" s="500">
        <f t="shared" si="29"/>
        <v>3213.6278688524594</v>
      </c>
      <c r="O72" s="500">
        <f t="shared" si="29"/>
        <v>2712.8311475409837</v>
      </c>
      <c r="P72" s="500">
        <f t="shared" si="29"/>
        <v>7169.703278688525</v>
      </c>
      <c r="Q72" s="500">
        <f t="shared" si="29"/>
        <v>5998.626229508197</v>
      </c>
      <c r="R72" s="274">
        <f t="shared" si="23"/>
        <v>7169.703278688525</v>
      </c>
      <c r="S72" s="479">
        <f t="shared" si="24"/>
        <v>6046.737704918033</v>
      </c>
      <c r="T72" s="479">
        <f t="shared" si="25"/>
        <v>6046.737704918033</v>
      </c>
      <c r="U72" s="479">
        <f t="shared" si="26"/>
        <v>6046.737704918033</v>
      </c>
      <c r="V72" s="479">
        <f t="shared" si="27"/>
        <v>6046.737704918033</v>
      </c>
      <c r="W72" s="479">
        <f t="shared" si="28"/>
        <v>6046.737704918033</v>
      </c>
    </row>
    <row r="73" spans="1:23" s="7" customFormat="1" ht="12" customHeight="1" hidden="1">
      <c r="A73" s="9"/>
      <c r="D73" s="9"/>
      <c r="E73" s="45"/>
      <c r="H73" s="140">
        <v>0.5</v>
      </c>
      <c r="I73" s="315">
        <f t="shared" si="21"/>
        <v>5225.562295081968</v>
      </c>
      <c r="J73" s="500">
        <f t="shared" si="29"/>
        <v>5225.562295081968</v>
      </c>
      <c r="K73" s="500">
        <f t="shared" si="29"/>
        <v>3433.409836065574</v>
      </c>
      <c r="L73" s="500">
        <f t="shared" si="29"/>
        <v>3683.8081967213116</v>
      </c>
      <c r="M73" s="500">
        <f t="shared" si="29"/>
        <v>3051.798360655738</v>
      </c>
      <c r="N73" s="500">
        <f t="shared" si="29"/>
        <v>3213.6278688524594</v>
      </c>
      <c r="O73" s="500">
        <f t="shared" si="29"/>
        <v>2712.8311475409837</v>
      </c>
      <c r="P73" s="500">
        <f t="shared" si="29"/>
        <v>7609.267213114755</v>
      </c>
      <c r="Q73" s="500">
        <f t="shared" si="29"/>
        <v>6433.816393442623</v>
      </c>
      <c r="R73" s="274">
        <f t="shared" si="23"/>
        <v>7609.267213114755</v>
      </c>
      <c r="S73" s="479">
        <f t="shared" si="24"/>
        <v>5225.562295081968</v>
      </c>
      <c r="T73" s="479">
        <f t="shared" si="25"/>
        <v>5225.562295081968</v>
      </c>
      <c r="U73" s="479">
        <f t="shared" si="26"/>
        <v>5225.562295081968</v>
      </c>
      <c r="V73" s="479">
        <f t="shared" si="27"/>
        <v>5225.562295081968</v>
      </c>
      <c r="W73" s="479">
        <f t="shared" si="28"/>
        <v>5225.562295081968</v>
      </c>
    </row>
    <row r="74" spans="1:23" s="7" customFormat="1" ht="12" customHeight="1" hidden="1">
      <c r="A74" s="9"/>
      <c r="D74" s="9"/>
      <c r="E74" s="45"/>
      <c r="H74" s="140">
        <v>0.6</v>
      </c>
      <c r="I74" s="315">
        <f t="shared" si="21"/>
        <v>5257.272131147542</v>
      </c>
      <c r="J74" s="500">
        <f t="shared" si="29"/>
        <v>5257.272131147542</v>
      </c>
      <c r="K74" s="500">
        <f t="shared" si="29"/>
        <v>3802.993442622951</v>
      </c>
      <c r="L74" s="500">
        <f t="shared" si="29"/>
        <v>3802.993442622951</v>
      </c>
      <c r="M74" s="500">
        <f t="shared" si="29"/>
        <v>3093.3491803278694</v>
      </c>
      <c r="N74" s="500">
        <f t="shared" si="29"/>
        <v>3336.093442622951</v>
      </c>
      <c r="O74" s="500">
        <f t="shared" si="29"/>
        <v>2955.575409836066</v>
      </c>
      <c r="P74" s="500">
        <f t="shared" si="29"/>
        <v>8048.831147540985</v>
      </c>
      <c r="Q74" s="500">
        <f t="shared" si="29"/>
        <v>6627.355737704919</v>
      </c>
      <c r="R74" s="274">
        <f t="shared" si="23"/>
        <v>8048.831147540985</v>
      </c>
      <c r="S74" s="479">
        <f t="shared" si="24"/>
        <v>5257.272131147542</v>
      </c>
      <c r="T74" s="479">
        <f t="shared" si="25"/>
        <v>5257.272131147542</v>
      </c>
      <c r="U74" s="479">
        <f t="shared" si="26"/>
        <v>5257.272131147542</v>
      </c>
      <c r="V74" s="479">
        <f t="shared" si="27"/>
        <v>5257.272131147542</v>
      </c>
      <c r="W74" s="479">
        <f t="shared" si="28"/>
        <v>5257.272131147542</v>
      </c>
    </row>
    <row r="75" spans="1:23" s="7" customFormat="1" ht="12" customHeight="1" hidden="1">
      <c r="A75" s="9"/>
      <c r="D75" s="9"/>
      <c r="E75" s="45"/>
      <c r="H75" s="140">
        <v>0.7</v>
      </c>
      <c r="I75" s="315">
        <f t="shared" si="21"/>
        <v>5014.5278688524595</v>
      </c>
      <c r="J75" s="500">
        <f t="shared" si="29"/>
        <v>5014.5278688524595</v>
      </c>
      <c r="K75" s="500">
        <f t="shared" si="29"/>
        <v>4114.624590163935</v>
      </c>
      <c r="L75" s="500">
        <f t="shared" si="29"/>
        <v>5108.56393442623</v>
      </c>
      <c r="M75" s="500">
        <f t="shared" si="29"/>
        <v>3433.409836065574</v>
      </c>
      <c r="N75" s="500">
        <f t="shared" si="29"/>
        <v>3336.093442622951</v>
      </c>
      <c r="O75" s="500">
        <f t="shared" si="29"/>
        <v>2955.575409836066</v>
      </c>
      <c r="P75" s="500">
        <f t="shared" si="29"/>
        <v>8241.277049180328</v>
      </c>
      <c r="Q75" s="500">
        <f t="shared" si="29"/>
        <v>6819.801639344263</v>
      </c>
      <c r="R75" s="274">
        <f t="shared" si="23"/>
        <v>8241.277049180328</v>
      </c>
      <c r="S75" s="479">
        <f t="shared" si="24"/>
        <v>5014.5278688524595</v>
      </c>
      <c r="T75" s="479">
        <f t="shared" si="25"/>
        <v>5014.5278688524595</v>
      </c>
      <c r="U75" s="479">
        <f t="shared" si="26"/>
        <v>5014.5278688524595</v>
      </c>
      <c r="V75" s="479">
        <f t="shared" si="27"/>
        <v>5014.5278688524595</v>
      </c>
      <c r="W75" s="479">
        <f t="shared" si="28"/>
        <v>5014.5278688524595</v>
      </c>
    </row>
    <row r="76" spans="1:23" s="7" customFormat="1" ht="12" customHeight="1" hidden="1">
      <c r="A76" s="9"/>
      <c r="D76" s="9"/>
      <c r="E76" s="45"/>
      <c r="H76" s="140">
        <v>0.8</v>
      </c>
      <c r="I76" s="315">
        <f t="shared" si="21"/>
        <v>6081.727868852459</v>
      </c>
      <c r="J76" s="500">
        <f t="shared" si="29"/>
        <v>6081.727868852459</v>
      </c>
      <c r="K76" s="500">
        <f t="shared" si="29"/>
        <v>4865.819672131148</v>
      </c>
      <c r="L76" s="500">
        <f t="shared" si="29"/>
        <v>5494.549180327869</v>
      </c>
      <c r="M76" s="500">
        <f t="shared" si="29"/>
        <v>4800.213114754099</v>
      </c>
      <c r="N76" s="500">
        <f t="shared" si="29"/>
        <v>4453.591803278689</v>
      </c>
      <c r="O76" s="500">
        <f t="shared" si="29"/>
        <v>3213.6278688524594</v>
      </c>
      <c r="P76" s="500">
        <f t="shared" si="29"/>
        <v>8610.860655737704</v>
      </c>
      <c r="Q76" s="500">
        <f t="shared" si="29"/>
        <v>6943.360655737705</v>
      </c>
      <c r="R76" s="274">
        <f t="shared" si="23"/>
        <v>8610.860655737704</v>
      </c>
      <c r="S76" s="479">
        <f t="shared" si="24"/>
        <v>6081.727868852459</v>
      </c>
      <c r="T76" s="479">
        <f t="shared" si="25"/>
        <v>6081.727868852459</v>
      </c>
      <c r="U76" s="479">
        <f t="shared" si="26"/>
        <v>6081.727868852459</v>
      </c>
      <c r="V76" s="479">
        <f t="shared" si="27"/>
        <v>6081.727868852459</v>
      </c>
      <c r="W76" s="479">
        <f t="shared" si="28"/>
        <v>6081.727868852459</v>
      </c>
    </row>
    <row r="77" spans="1:23" s="7" customFormat="1" ht="12" customHeight="1" hidden="1">
      <c r="A77" s="9"/>
      <c r="D77" s="9"/>
      <c r="E77" s="45"/>
      <c r="H77" s="140">
        <v>1</v>
      </c>
      <c r="I77" s="315">
        <f t="shared" si="21"/>
        <v>7619.108196721311</v>
      </c>
      <c r="J77" s="500">
        <f t="shared" si="29"/>
        <v>7619.108196721311</v>
      </c>
      <c r="K77" s="500">
        <f t="shared" si="29"/>
        <v>5983.318032786886</v>
      </c>
      <c r="L77" s="500">
        <f t="shared" si="29"/>
        <v>5674.9672131147545</v>
      </c>
      <c r="M77" s="500">
        <f t="shared" si="29"/>
        <v>4677.747540983607</v>
      </c>
      <c r="N77" s="500">
        <f t="shared" si="29"/>
        <v>4831.922950819672</v>
      </c>
      <c r="O77" s="500">
        <f t="shared" si="29"/>
        <v>3213.6278688524594</v>
      </c>
      <c r="P77" s="500">
        <f t="shared" si="29"/>
        <v>9058.07868852459</v>
      </c>
      <c r="Q77" s="500">
        <f t="shared" si="29"/>
        <v>7128.1524590163945</v>
      </c>
      <c r="R77" s="274">
        <f t="shared" si="23"/>
        <v>9058.07868852459</v>
      </c>
      <c r="S77" s="479">
        <f t="shared" si="24"/>
        <v>7619.108196721311</v>
      </c>
      <c r="T77" s="479">
        <f t="shared" si="25"/>
        <v>7619.108196721311</v>
      </c>
      <c r="U77" s="479">
        <f t="shared" si="26"/>
        <v>7619.108196721311</v>
      </c>
      <c r="V77" s="479">
        <f t="shared" si="27"/>
        <v>7619.108196721311</v>
      </c>
      <c r="W77" s="479">
        <f t="shared" si="28"/>
        <v>7619.108196721311</v>
      </c>
    </row>
    <row r="78" spans="1:23" s="7" customFormat="1" ht="12" customHeight="1" hidden="1">
      <c r="A78" s="9"/>
      <c r="D78" s="9"/>
      <c r="E78" s="45"/>
      <c r="H78" s="140">
        <v>1.1</v>
      </c>
      <c r="I78" s="315">
        <f t="shared" si="21"/>
        <v>8562.74918032787</v>
      </c>
      <c r="J78" s="500">
        <f t="shared" si="29"/>
        <v>8562.74918032787</v>
      </c>
      <c r="K78" s="500">
        <f t="shared" si="29"/>
        <v>6738.886885245903</v>
      </c>
      <c r="L78" s="500">
        <f t="shared" si="29"/>
        <v>5929.739344262295</v>
      </c>
      <c r="M78" s="500">
        <f t="shared" si="29"/>
        <v>4677.747540983607</v>
      </c>
      <c r="N78" s="500">
        <f t="shared" si="29"/>
        <v>4958.762295081968</v>
      </c>
      <c r="O78" s="500">
        <f t="shared" si="29"/>
        <v>3336.093442622951</v>
      </c>
      <c r="P78" s="500">
        <f t="shared" si="29"/>
        <v>9369.709836065575</v>
      </c>
      <c r="Q78" s="500">
        <f t="shared" si="29"/>
        <v>7316.224590163934</v>
      </c>
      <c r="R78" s="274">
        <f t="shared" si="23"/>
        <v>9369.709836065575</v>
      </c>
      <c r="S78" s="479">
        <f t="shared" si="24"/>
        <v>8562.74918032787</v>
      </c>
      <c r="T78" s="479">
        <f t="shared" si="25"/>
        <v>8562.74918032787</v>
      </c>
      <c r="U78" s="479">
        <f t="shared" si="26"/>
        <v>8562.74918032787</v>
      </c>
      <c r="V78" s="479">
        <f t="shared" si="27"/>
        <v>8562.74918032787</v>
      </c>
      <c r="W78" s="479">
        <f t="shared" si="28"/>
        <v>8562.74918032787</v>
      </c>
    </row>
    <row r="79" spans="1:23" s="7" customFormat="1" ht="12" customHeight="1" hidden="1" thickBot="1">
      <c r="A79" s="9"/>
      <c r="D79" s="9"/>
      <c r="E79" s="45"/>
      <c r="H79" s="141">
        <v>1.2</v>
      </c>
      <c r="I79" s="315">
        <f t="shared" si="21"/>
        <v>8863.445901639345</v>
      </c>
      <c r="J79" s="500">
        <f t="shared" si="29"/>
        <v>8863.445901639345</v>
      </c>
      <c r="K79" s="500">
        <f t="shared" si="29"/>
        <v>6923.678688524591</v>
      </c>
      <c r="L79" s="500">
        <f t="shared" si="29"/>
        <v>6546.440983606558</v>
      </c>
      <c r="M79" s="500">
        <f t="shared" si="29"/>
        <v>4738.980327868853</v>
      </c>
      <c r="N79" s="500">
        <f t="shared" si="29"/>
        <v>5082.321311475411</v>
      </c>
      <c r="O79" s="500">
        <f t="shared" si="29"/>
        <v>3336.093442622951</v>
      </c>
      <c r="P79" s="500">
        <f t="shared" si="29"/>
        <v>9432.036065573771</v>
      </c>
      <c r="Q79" s="500">
        <f t="shared" si="29"/>
        <v>7386.204918032787</v>
      </c>
      <c r="R79" s="274">
        <f t="shared" si="23"/>
        <v>9432.036065573771</v>
      </c>
      <c r="S79" s="479">
        <f t="shared" si="24"/>
        <v>8863.445901639345</v>
      </c>
      <c r="T79" s="479">
        <f t="shared" si="25"/>
        <v>8863.445901639345</v>
      </c>
      <c r="U79" s="479">
        <f t="shared" si="26"/>
        <v>8863.445901639345</v>
      </c>
      <c r="V79" s="479">
        <f t="shared" si="27"/>
        <v>8863.445901639345</v>
      </c>
      <c r="W79" s="479">
        <f t="shared" si="28"/>
        <v>8863.445901639345</v>
      </c>
    </row>
    <row r="80" spans="1:23" s="7" customFormat="1" ht="12" customHeight="1" hidden="1">
      <c r="A80" s="9"/>
      <c r="D80" s="9"/>
      <c r="E80" s="45"/>
      <c r="H80" s="200"/>
      <c r="I80" s="497"/>
      <c r="J80" s="499"/>
      <c r="K80" s="499"/>
      <c r="L80" s="499"/>
      <c r="M80" s="499"/>
      <c r="N80" s="499"/>
      <c r="O80" s="499"/>
      <c r="P80" s="499"/>
      <c r="Q80" s="499"/>
      <c r="R80" s="498"/>
      <c r="S80" s="498"/>
      <c r="T80" s="498"/>
      <c r="U80" s="498"/>
      <c r="V80" s="498"/>
      <c r="W80" s="498"/>
    </row>
    <row r="81" spans="1:23" s="7" customFormat="1" ht="12" customHeight="1" hidden="1">
      <c r="A81" s="9"/>
      <c r="D81" s="9"/>
      <c r="E81" s="45"/>
      <c r="H81" s="200"/>
      <c r="I81" s="497"/>
      <c r="J81" s="499"/>
      <c r="K81" s="499"/>
      <c r="L81" s="499"/>
      <c r="M81" s="499"/>
      <c r="N81" s="499"/>
      <c r="O81" s="499"/>
      <c r="P81" s="499"/>
      <c r="Q81" s="499"/>
      <c r="R81" s="498"/>
      <c r="S81" s="498"/>
      <c r="T81" s="498"/>
      <c r="U81" s="498"/>
      <c r="V81" s="498"/>
      <c r="W81" s="498"/>
    </row>
    <row r="82" spans="1:23" s="7" customFormat="1" ht="12" customHeight="1" hidden="1">
      <c r="A82" s="9"/>
      <c r="D82" s="9"/>
      <c r="E82" s="45"/>
      <c r="H82" s="200"/>
      <c r="I82" s="497"/>
      <c r="J82" s="499">
        <f>J68/1.334*1.459</f>
        <v>3988.331967213115</v>
      </c>
      <c r="K82" s="499">
        <f aca="true" t="shared" si="30" ref="K82:Q82">K68/1.334*1.459</f>
        <v>1698.1803278688526</v>
      </c>
      <c r="L82" s="499">
        <f t="shared" si="30"/>
        <v>0</v>
      </c>
      <c r="M82" s="499">
        <f t="shared" si="30"/>
        <v>0</v>
      </c>
      <c r="N82" s="499">
        <f t="shared" si="30"/>
        <v>0</v>
      </c>
      <c r="O82" s="499">
        <f t="shared" si="30"/>
        <v>0</v>
      </c>
      <c r="P82" s="499">
        <f t="shared" si="30"/>
        <v>2878.53524590164</v>
      </c>
      <c r="Q82" s="499">
        <f t="shared" si="30"/>
        <v>2149.0352459016394</v>
      </c>
      <c r="R82" s="498"/>
      <c r="S82" s="498"/>
      <c r="T82" s="498"/>
      <c r="U82" s="498"/>
      <c r="V82" s="498"/>
      <c r="W82" s="498"/>
    </row>
    <row r="83" spans="1:23" s="7" customFormat="1" ht="12" customHeight="1" hidden="1">
      <c r="A83" s="9"/>
      <c r="D83" s="9"/>
      <c r="E83" s="45"/>
      <c r="H83" s="200"/>
      <c r="I83" s="497"/>
      <c r="J83" s="499">
        <f aca="true" t="shared" si="31" ref="J83:Q93">J69/1.334*1.459</f>
        <v>5778.596721311475</v>
      </c>
      <c r="K83" s="499">
        <f t="shared" si="31"/>
        <v>1836.904918032787</v>
      </c>
      <c r="L83" s="499">
        <f t="shared" si="31"/>
        <v>0</v>
      </c>
      <c r="M83" s="499">
        <f t="shared" si="31"/>
        <v>0</v>
      </c>
      <c r="N83" s="499">
        <f t="shared" si="31"/>
        <v>0</v>
      </c>
      <c r="O83" s="499">
        <f t="shared" si="31"/>
        <v>0</v>
      </c>
      <c r="P83" s="499">
        <f t="shared" si="31"/>
        <v>3017.259836065574</v>
      </c>
      <c r="Q83" s="499">
        <f t="shared" si="31"/>
        <v>2287.759836065574</v>
      </c>
      <c r="R83" s="498"/>
      <c r="S83" s="498"/>
      <c r="T83" s="498"/>
      <c r="U83" s="498"/>
      <c r="V83" s="498"/>
      <c r="W83" s="498"/>
    </row>
    <row r="84" spans="1:23" s="7" customFormat="1" ht="18.75" customHeight="1" hidden="1">
      <c r="A84" s="9"/>
      <c r="D84" s="9"/>
      <c r="E84" s="794">
        <f>1.459+0.117</f>
        <v>1.576</v>
      </c>
      <c r="H84" s="200"/>
      <c r="I84" s="497"/>
      <c r="J84" s="499">
        <f t="shared" si="31"/>
        <v>6900.352459016394</v>
      </c>
      <c r="K84" s="499">
        <f t="shared" si="31"/>
        <v>3072.2713114754106</v>
      </c>
      <c r="L84" s="499">
        <f t="shared" si="31"/>
        <v>3885.4844262295082</v>
      </c>
      <c r="M84" s="499">
        <f t="shared" si="31"/>
        <v>3240.8934426229516</v>
      </c>
      <c r="N84" s="499">
        <f t="shared" si="31"/>
        <v>3514.7549180327874</v>
      </c>
      <c r="O84" s="499">
        <f t="shared" si="31"/>
        <v>0</v>
      </c>
      <c r="P84" s="499">
        <f t="shared" si="31"/>
        <v>4807.5245901639355</v>
      </c>
      <c r="Q84" s="499">
        <f t="shared" si="31"/>
        <v>4079.2204918032794</v>
      </c>
      <c r="R84" s="498"/>
      <c r="S84" s="498"/>
      <c r="T84" s="498"/>
      <c r="U84" s="498"/>
      <c r="V84" s="498"/>
      <c r="W84" s="498"/>
    </row>
    <row r="85" spans="1:23" s="7" customFormat="1" ht="12" customHeight="1" hidden="1">
      <c r="A85" s="9"/>
      <c r="D85" s="9"/>
      <c r="E85" s="45"/>
      <c r="H85" s="200"/>
      <c r="I85" s="497"/>
      <c r="J85" s="499">
        <f t="shared" si="31"/>
        <v>7363.166393442622</v>
      </c>
      <c r="K85" s="499">
        <f t="shared" si="31"/>
        <v>3269.5950819672134</v>
      </c>
      <c r="L85" s="499">
        <f t="shared" si="31"/>
        <v>3885.4844262295082</v>
      </c>
      <c r="M85" s="499">
        <f t="shared" si="31"/>
        <v>3240.8934426229516</v>
      </c>
      <c r="N85" s="499">
        <f t="shared" si="31"/>
        <v>3514.7549180327874</v>
      </c>
      <c r="O85" s="499">
        <f t="shared" si="31"/>
        <v>0</v>
      </c>
      <c r="P85" s="499">
        <f t="shared" si="31"/>
        <v>7011.571311475411</v>
      </c>
      <c r="Q85" s="499">
        <f t="shared" si="31"/>
        <v>5869.48524590164</v>
      </c>
      <c r="R85" s="498"/>
      <c r="S85" s="498"/>
      <c r="T85" s="498"/>
      <c r="U85" s="498"/>
      <c r="V85" s="498"/>
      <c r="W85" s="498"/>
    </row>
    <row r="86" spans="1:23" s="7" customFormat="1" ht="12" customHeight="1" hidden="1">
      <c r="A86" s="9"/>
      <c r="D86" s="9"/>
      <c r="E86" s="45"/>
      <c r="H86" s="200"/>
      <c r="I86" s="497"/>
      <c r="J86" s="499">
        <f t="shared" si="31"/>
        <v>6613.336065573771</v>
      </c>
      <c r="K86" s="499">
        <f t="shared" si="31"/>
        <v>3481.269672131148</v>
      </c>
      <c r="L86" s="499">
        <f t="shared" si="31"/>
        <v>4028.9926229508196</v>
      </c>
      <c r="M86" s="499">
        <f t="shared" si="31"/>
        <v>3337.7614754098367</v>
      </c>
      <c r="N86" s="499">
        <f t="shared" si="31"/>
        <v>3514.7549180327874</v>
      </c>
      <c r="O86" s="499">
        <f t="shared" si="31"/>
        <v>2967.0319672131145</v>
      </c>
      <c r="P86" s="499">
        <f t="shared" si="31"/>
        <v>7841.527049180328</v>
      </c>
      <c r="Q86" s="499">
        <f t="shared" si="31"/>
        <v>6560.716393442623</v>
      </c>
      <c r="R86" s="498"/>
      <c r="S86" s="498"/>
      <c r="T86" s="498"/>
      <c r="U86" s="498"/>
      <c r="V86" s="498"/>
      <c r="W86" s="498"/>
    </row>
    <row r="87" spans="1:23" s="7" customFormat="1" ht="12" customHeight="1" hidden="1">
      <c r="A87" s="9"/>
      <c r="D87" s="9"/>
      <c r="E87" s="45"/>
      <c r="H87" s="200"/>
      <c r="I87" s="497"/>
      <c r="J87" s="499">
        <f t="shared" si="31"/>
        <v>5715.2139344262305</v>
      </c>
      <c r="K87" s="499">
        <f t="shared" si="31"/>
        <v>3755.131147540984</v>
      </c>
      <c r="L87" s="499">
        <f t="shared" si="31"/>
        <v>4028.9926229508196</v>
      </c>
      <c r="M87" s="499">
        <f t="shared" si="31"/>
        <v>3337.7614754098367</v>
      </c>
      <c r="N87" s="499">
        <f t="shared" si="31"/>
        <v>3514.7549180327874</v>
      </c>
      <c r="O87" s="499">
        <f t="shared" si="31"/>
        <v>2967.0319672131145</v>
      </c>
      <c r="P87" s="499">
        <f t="shared" si="31"/>
        <v>8322.279508196722</v>
      </c>
      <c r="Q87" s="499">
        <f t="shared" si="31"/>
        <v>7036.685245901639</v>
      </c>
      <c r="R87" s="498"/>
      <c r="S87" s="498"/>
      <c r="T87" s="498"/>
      <c r="U87" s="498"/>
      <c r="V87" s="498"/>
      <c r="W87" s="498"/>
    </row>
    <row r="88" spans="1:23" s="7" customFormat="1" ht="12" customHeight="1" hidden="1">
      <c r="A88" s="9"/>
      <c r="D88" s="9"/>
      <c r="E88" s="45"/>
      <c r="H88" s="200"/>
      <c r="I88" s="497"/>
      <c r="J88" s="499">
        <f t="shared" si="31"/>
        <v>5749.895081967214</v>
      </c>
      <c r="K88" s="499">
        <f t="shared" si="31"/>
        <v>4159.345901639344</v>
      </c>
      <c r="L88" s="499">
        <f t="shared" si="31"/>
        <v>4159.345901639344</v>
      </c>
      <c r="M88" s="499">
        <f t="shared" si="31"/>
        <v>3383.2057377049186</v>
      </c>
      <c r="N88" s="499">
        <f t="shared" si="31"/>
        <v>3648.6959016393444</v>
      </c>
      <c r="O88" s="499">
        <f t="shared" si="31"/>
        <v>3232.522131147541</v>
      </c>
      <c r="P88" s="499">
        <f t="shared" si="31"/>
        <v>8803.031967213115</v>
      </c>
      <c r="Q88" s="499">
        <f t="shared" si="31"/>
        <v>7248.359836065575</v>
      </c>
      <c r="R88" s="498"/>
      <c r="S88" s="498"/>
      <c r="T88" s="498"/>
      <c r="U88" s="498"/>
      <c r="V88" s="498"/>
      <c r="W88" s="498"/>
    </row>
    <row r="89" spans="1:23" s="7" customFormat="1" ht="15" customHeight="1" hidden="1">
      <c r="A89" s="9"/>
      <c r="D89" s="9"/>
      <c r="E89" s="45"/>
      <c r="H89" s="200"/>
      <c r="I89" s="497"/>
      <c r="J89" s="499">
        <f t="shared" si="31"/>
        <v>5484.4049180327875</v>
      </c>
      <c r="K89" s="499">
        <f t="shared" si="31"/>
        <v>4500.17786885246</v>
      </c>
      <c r="L89" s="499">
        <f t="shared" si="31"/>
        <v>5587.252459016394</v>
      </c>
      <c r="M89" s="499">
        <f t="shared" si="31"/>
        <v>3755.131147540984</v>
      </c>
      <c r="N89" s="499">
        <f t="shared" si="31"/>
        <v>3648.6959016393444</v>
      </c>
      <c r="O89" s="499">
        <f t="shared" si="31"/>
        <v>3232.522131147541</v>
      </c>
      <c r="P89" s="499">
        <f t="shared" si="31"/>
        <v>9013.510655737706</v>
      </c>
      <c r="Q89" s="499">
        <f t="shared" si="31"/>
        <v>7458.8385245901645</v>
      </c>
      <c r="R89" s="498"/>
      <c r="S89" s="498"/>
      <c r="T89" s="498"/>
      <c r="U89" s="498"/>
      <c r="V89" s="498"/>
      <c r="W89" s="498"/>
    </row>
    <row r="90" spans="1:23" s="7" customFormat="1" ht="18.75" customHeight="1" hidden="1">
      <c r="A90" s="9"/>
      <c r="D90" s="9"/>
      <c r="E90" s="45"/>
      <c r="H90" s="200"/>
      <c r="I90" s="497"/>
      <c r="J90" s="499">
        <f t="shared" si="31"/>
        <v>6651.604918032787</v>
      </c>
      <c r="K90" s="499">
        <f t="shared" si="31"/>
        <v>5321.762295081968</v>
      </c>
      <c r="L90" s="499">
        <f t="shared" si="31"/>
        <v>6009.4057377049185</v>
      </c>
      <c r="M90" s="499">
        <f t="shared" si="31"/>
        <v>5250.008196721312</v>
      </c>
      <c r="N90" s="499">
        <f t="shared" si="31"/>
        <v>4870.907377049181</v>
      </c>
      <c r="O90" s="499">
        <f t="shared" si="31"/>
        <v>3514.7549180327874</v>
      </c>
      <c r="P90" s="499">
        <f t="shared" si="31"/>
        <v>9417.725409836065</v>
      </c>
      <c r="Q90" s="499">
        <f t="shared" si="31"/>
        <v>7593.975409836066</v>
      </c>
      <c r="R90" s="498"/>
      <c r="S90" s="498">
        <f>7386*1.093703155</f>
        <v>8078.0915028300005</v>
      </c>
      <c r="T90" s="498"/>
      <c r="U90" s="498"/>
      <c r="V90" s="498"/>
      <c r="W90" s="498"/>
    </row>
    <row r="91" spans="1:23" s="7" customFormat="1" ht="12" customHeight="1" hidden="1">
      <c r="A91" s="9"/>
      <c r="D91" s="9"/>
      <c r="E91" s="45"/>
      <c r="H91" s="200"/>
      <c r="I91" s="497"/>
      <c r="J91" s="499">
        <f t="shared" si="31"/>
        <v>8333.04262295082</v>
      </c>
      <c r="K91" s="499">
        <f t="shared" si="31"/>
        <v>6543.973770491803</v>
      </c>
      <c r="L91" s="499">
        <f t="shared" si="31"/>
        <v>6206.729508196721</v>
      </c>
      <c r="M91" s="499">
        <f t="shared" si="31"/>
        <v>5116.067213114755</v>
      </c>
      <c r="N91" s="499">
        <f t="shared" si="31"/>
        <v>5284.689344262295</v>
      </c>
      <c r="O91" s="499">
        <f t="shared" si="31"/>
        <v>3514.7549180327874</v>
      </c>
      <c r="P91" s="499">
        <f t="shared" si="31"/>
        <v>9906.849180327868</v>
      </c>
      <c r="Q91" s="499">
        <f t="shared" si="31"/>
        <v>7796.082786885247</v>
      </c>
      <c r="R91" s="498"/>
      <c r="S91" s="498"/>
      <c r="T91" s="498"/>
      <c r="U91" s="498"/>
      <c r="V91" s="498"/>
      <c r="W91" s="498"/>
    </row>
    <row r="92" spans="1:23" s="7" customFormat="1" ht="12" customHeight="1" hidden="1">
      <c r="A92" s="9"/>
      <c r="D92" s="9"/>
      <c r="E92" s="45"/>
      <c r="H92" s="200"/>
      <c r="I92" s="497"/>
      <c r="J92" s="499">
        <f t="shared" si="31"/>
        <v>9365.10573770492</v>
      </c>
      <c r="K92" s="499">
        <f t="shared" si="31"/>
        <v>7370.341803278689</v>
      </c>
      <c r="L92" s="499">
        <f t="shared" si="31"/>
        <v>6485.374590163935</v>
      </c>
      <c r="M92" s="499">
        <f t="shared" si="31"/>
        <v>5116.067213114755</v>
      </c>
      <c r="N92" s="499">
        <f t="shared" si="31"/>
        <v>5423.41393442623</v>
      </c>
      <c r="O92" s="499">
        <f t="shared" si="31"/>
        <v>3648.6959016393444</v>
      </c>
      <c r="P92" s="499">
        <f t="shared" si="31"/>
        <v>10247.681147540985</v>
      </c>
      <c r="Q92" s="499">
        <f t="shared" si="31"/>
        <v>8001.777868852459</v>
      </c>
      <c r="R92" s="498"/>
      <c r="S92" s="498"/>
      <c r="T92" s="498"/>
      <c r="U92" s="498"/>
      <c r="V92" s="498"/>
      <c r="W92" s="498"/>
    </row>
    <row r="93" spans="1:23" s="7" customFormat="1" ht="12" customHeight="1" hidden="1">
      <c r="A93" s="9"/>
      <c r="D93" s="9"/>
      <c r="E93" s="45"/>
      <c r="H93" s="200"/>
      <c r="I93" s="497"/>
      <c r="J93" s="499">
        <f t="shared" si="31"/>
        <v>9693.97868852459</v>
      </c>
      <c r="K93" s="499">
        <f t="shared" si="31"/>
        <v>7572.449180327871</v>
      </c>
      <c r="L93" s="499">
        <f t="shared" si="31"/>
        <v>7159.863114754099</v>
      </c>
      <c r="M93" s="499">
        <f t="shared" si="31"/>
        <v>5183.037704918033</v>
      </c>
      <c r="N93" s="499">
        <f t="shared" si="31"/>
        <v>5558.550819672132</v>
      </c>
      <c r="O93" s="499">
        <f t="shared" si="31"/>
        <v>3648.6959016393444</v>
      </c>
      <c r="P93" s="499">
        <f t="shared" si="31"/>
        <v>10315.847540983608</v>
      </c>
      <c r="Q93" s="499">
        <f t="shared" si="31"/>
        <v>8078.315573770492</v>
      </c>
      <c r="R93" s="498"/>
      <c r="S93" s="498"/>
      <c r="T93" s="498"/>
      <c r="U93" s="498"/>
      <c r="V93" s="498"/>
      <c r="W93" s="498"/>
    </row>
    <row r="94" spans="1:23" s="7" customFormat="1" ht="12" customHeight="1" hidden="1">
      <c r="A94" s="9"/>
      <c r="D94" s="9"/>
      <c r="E94" s="45"/>
      <c r="H94" s="200"/>
      <c r="I94" s="497"/>
      <c r="J94" s="499"/>
      <c r="K94" s="499"/>
      <c r="L94" s="499"/>
      <c r="M94" s="499"/>
      <c r="N94" s="499"/>
      <c r="O94" s="499"/>
      <c r="P94" s="499"/>
      <c r="Q94" s="499"/>
      <c r="R94" s="498"/>
      <c r="S94" s="498"/>
      <c r="T94" s="498"/>
      <c r="U94" s="498"/>
      <c r="V94" s="498"/>
      <c r="W94" s="498"/>
    </row>
    <row r="95" spans="1:23" s="7" customFormat="1" ht="21.75" customHeight="1" hidden="1" thickBot="1">
      <c r="A95" s="9"/>
      <c r="D95" s="9"/>
      <c r="E95" s="45"/>
      <c r="H95" s="1"/>
      <c r="I95" s="392">
        <v>43739</v>
      </c>
      <c r="J95" s="9"/>
      <c r="K95" s="45"/>
      <c r="L95" s="392">
        <v>43739</v>
      </c>
      <c r="M95" s="286"/>
      <c r="N95" s="1"/>
      <c r="O95" s="1"/>
      <c r="P95" s="1"/>
      <c r="Q95" s="1"/>
      <c r="R95" s="1"/>
      <c r="S95" s="97"/>
      <c r="T95" s="97"/>
      <c r="U95" s="97"/>
      <c r="V95" s="97"/>
      <c r="W95" s="97"/>
    </row>
    <row r="96" spans="1:23" s="7" customFormat="1" ht="12" customHeight="1" hidden="1" thickBot="1" thickTop="1">
      <c r="A96" s="9"/>
      <c r="D96" s="9"/>
      <c r="E96" s="45"/>
      <c r="H96" s="1"/>
      <c r="I96" s="273" t="s">
        <v>366</v>
      </c>
      <c r="J96" s="46" t="s">
        <v>361</v>
      </c>
      <c r="K96" s="46" t="s">
        <v>362</v>
      </c>
      <c r="L96" s="275" t="s">
        <v>352</v>
      </c>
      <c r="M96" s="314" t="s">
        <v>353</v>
      </c>
      <c r="N96" s="275" t="s">
        <v>355</v>
      </c>
      <c r="O96" s="275" t="s">
        <v>354</v>
      </c>
      <c r="P96" s="275" t="s">
        <v>363</v>
      </c>
      <c r="Q96" s="275" t="s">
        <v>364</v>
      </c>
      <c r="R96" s="129" t="s">
        <v>365</v>
      </c>
      <c r="S96" s="480">
        <v>1</v>
      </c>
      <c r="T96" s="480">
        <v>2</v>
      </c>
      <c r="U96" s="480">
        <v>3</v>
      </c>
      <c r="V96" s="480">
        <v>4</v>
      </c>
      <c r="W96" s="480">
        <v>5</v>
      </c>
    </row>
    <row r="97" spans="1:23" s="7" customFormat="1" ht="12" customHeight="1" hidden="1">
      <c r="A97" s="9"/>
      <c r="D97" s="9"/>
      <c r="E97" s="45"/>
      <c r="H97" s="138">
        <v>0</v>
      </c>
      <c r="I97" s="315">
        <f aca="true" t="shared" si="32" ref="I97:I108">IF(OR(puntosproljor&lt;620,nina=1),W97,R97)</f>
        <v>3988.331967213115</v>
      </c>
      <c r="J97" s="500">
        <v>3988.331967213115</v>
      </c>
      <c r="K97" s="500">
        <v>1698.1803278688526</v>
      </c>
      <c r="L97" s="500">
        <v>0</v>
      </c>
      <c r="M97" s="500">
        <v>0</v>
      </c>
      <c r="N97" s="500">
        <v>0</v>
      </c>
      <c r="O97" s="500">
        <v>0</v>
      </c>
      <c r="P97" s="500">
        <v>2878.53524590164</v>
      </c>
      <c r="Q97" s="500">
        <v>2149.0352459016394</v>
      </c>
      <c r="R97" s="274">
        <f aca="true" t="shared" si="33" ref="R97:R108">IF(PUNTOSbasicos&gt;971,Q97,P97)</f>
        <v>2878.53524590164</v>
      </c>
      <c r="S97" s="479">
        <f aca="true" t="shared" si="34" ref="S97:S108">IF(PUNTOSbasicos&lt;972,J97,K97)</f>
        <v>3988.331967213115</v>
      </c>
      <c r="T97" s="479">
        <f aca="true" t="shared" si="35" ref="T97:T108">IF(PUNTOSbasicos&lt;1170,S97,L97)</f>
        <v>3988.331967213115</v>
      </c>
      <c r="U97" s="479">
        <f aca="true" t="shared" si="36" ref="U97:U108">IF(PUNTOSbasicos&lt;1401,T97,M97)</f>
        <v>3988.331967213115</v>
      </c>
      <c r="V97" s="479">
        <f aca="true" t="shared" si="37" ref="V97:V108">IF(PUNTOSbasicos&lt;1943,U97,N97)</f>
        <v>3988.331967213115</v>
      </c>
      <c r="W97" s="479">
        <f aca="true" t="shared" si="38" ref="W97:W108">IF(PUNTOSbasicos&lt;=2220,V97,O97)</f>
        <v>3988.331967213115</v>
      </c>
    </row>
    <row r="98" spans="1:23" s="7" customFormat="1" ht="12" customHeight="1" hidden="1">
      <c r="A98" s="9"/>
      <c r="D98" s="9"/>
      <c r="E98" s="45"/>
      <c r="H98" s="139">
        <v>0.1</v>
      </c>
      <c r="I98" s="315">
        <f t="shared" si="32"/>
        <v>5778.596721311475</v>
      </c>
      <c r="J98" s="500">
        <v>5778.596721311475</v>
      </c>
      <c r="K98" s="500">
        <v>1836.904918032787</v>
      </c>
      <c r="L98" s="500">
        <v>0</v>
      </c>
      <c r="M98" s="500">
        <v>0</v>
      </c>
      <c r="N98" s="500">
        <v>0</v>
      </c>
      <c r="O98" s="500">
        <v>0</v>
      </c>
      <c r="P98" s="500">
        <v>3017.259836065574</v>
      </c>
      <c r="Q98" s="500">
        <v>2287.759836065574</v>
      </c>
      <c r="R98" s="274">
        <f t="shared" si="33"/>
        <v>3017.259836065574</v>
      </c>
      <c r="S98" s="479">
        <f t="shared" si="34"/>
        <v>5778.596721311475</v>
      </c>
      <c r="T98" s="479">
        <f t="shared" si="35"/>
        <v>5778.596721311475</v>
      </c>
      <c r="U98" s="479">
        <f t="shared" si="36"/>
        <v>5778.596721311475</v>
      </c>
      <c r="V98" s="479">
        <f t="shared" si="37"/>
        <v>5778.596721311475</v>
      </c>
      <c r="W98" s="479">
        <f t="shared" si="38"/>
        <v>5778.596721311475</v>
      </c>
    </row>
    <row r="99" spans="1:23" s="7" customFormat="1" ht="12" customHeight="1" hidden="1">
      <c r="A99" s="9"/>
      <c r="D99" s="9"/>
      <c r="E99" s="45"/>
      <c r="H99" s="140">
        <v>0.15</v>
      </c>
      <c r="I99" s="315">
        <f t="shared" si="32"/>
        <v>6900.352459016394</v>
      </c>
      <c r="J99" s="500">
        <v>6900.352459016394</v>
      </c>
      <c r="K99" s="500">
        <v>3072.2713114754106</v>
      </c>
      <c r="L99" s="500">
        <v>3885.4844262295082</v>
      </c>
      <c r="M99" s="500">
        <v>3240.8934426229516</v>
      </c>
      <c r="N99" s="500">
        <v>3514.7549180327874</v>
      </c>
      <c r="O99" s="500">
        <v>0</v>
      </c>
      <c r="P99" s="500">
        <v>4807.5245901639355</v>
      </c>
      <c r="Q99" s="500">
        <v>4079.2204918032794</v>
      </c>
      <c r="R99" s="274">
        <f t="shared" si="33"/>
        <v>4807.5245901639355</v>
      </c>
      <c r="S99" s="479">
        <f t="shared" si="34"/>
        <v>6900.352459016394</v>
      </c>
      <c r="T99" s="479">
        <f t="shared" si="35"/>
        <v>6900.352459016394</v>
      </c>
      <c r="U99" s="479">
        <f t="shared" si="36"/>
        <v>6900.352459016394</v>
      </c>
      <c r="V99" s="479">
        <f t="shared" si="37"/>
        <v>6900.352459016394</v>
      </c>
      <c r="W99" s="479">
        <f t="shared" si="38"/>
        <v>6900.352459016394</v>
      </c>
    </row>
    <row r="100" spans="1:23" s="7" customFormat="1" ht="12" customHeight="1" hidden="1">
      <c r="A100" s="9"/>
      <c r="D100" s="9"/>
      <c r="E100" s="45"/>
      <c r="H100" s="140">
        <v>0.3</v>
      </c>
      <c r="I100" s="315">
        <f t="shared" si="32"/>
        <v>7363.166393442622</v>
      </c>
      <c r="J100" s="500">
        <v>7363.166393442622</v>
      </c>
      <c r="K100" s="500">
        <v>3269.5950819672134</v>
      </c>
      <c r="L100" s="500">
        <v>3885.4844262295082</v>
      </c>
      <c r="M100" s="500">
        <v>3240.8934426229516</v>
      </c>
      <c r="N100" s="500">
        <v>3514.7549180327874</v>
      </c>
      <c r="O100" s="500">
        <v>0</v>
      </c>
      <c r="P100" s="500">
        <v>7011.571311475411</v>
      </c>
      <c r="Q100" s="500">
        <v>5869.48524590164</v>
      </c>
      <c r="R100" s="274">
        <f t="shared" si="33"/>
        <v>7011.571311475411</v>
      </c>
      <c r="S100" s="479">
        <f t="shared" si="34"/>
        <v>7363.166393442622</v>
      </c>
      <c r="T100" s="479">
        <f t="shared" si="35"/>
        <v>7363.166393442622</v>
      </c>
      <c r="U100" s="479">
        <f t="shared" si="36"/>
        <v>7363.166393442622</v>
      </c>
      <c r="V100" s="479">
        <f t="shared" si="37"/>
        <v>7363.166393442622</v>
      </c>
      <c r="W100" s="479">
        <f t="shared" si="38"/>
        <v>7363.166393442622</v>
      </c>
    </row>
    <row r="101" spans="1:23" s="7" customFormat="1" ht="12" customHeight="1" hidden="1">
      <c r="A101" s="9"/>
      <c r="D101" s="9"/>
      <c r="E101" s="45"/>
      <c r="H101" s="140">
        <v>0.4</v>
      </c>
      <c r="I101" s="315">
        <f t="shared" si="32"/>
        <v>6613.336065573771</v>
      </c>
      <c r="J101" s="500">
        <v>6613.336065573771</v>
      </c>
      <c r="K101" s="500">
        <v>3481.269672131148</v>
      </c>
      <c r="L101" s="500">
        <v>4028.9926229508196</v>
      </c>
      <c r="M101" s="500">
        <v>3337.7614754098367</v>
      </c>
      <c r="N101" s="500">
        <v>3514.7549180327874</v>
      </c>
      <c r="O101" s="500">
        <v>2967.0319672131145</v>
      </c>
      <c r="P101" s="500">
        <v>7841.527049180328</v>
      </c>
      <c r="Q101" s="500">
        <v>6560.716393442623</v>
      </c>
      <c r="R101" s="274">
        <f t="shared" si="33"/>
        <v>7841.527049180328</v>
      </c>
      <c r="S101" s="479">
        <f t="shared" si="34"/>
        <v>6613.336065573771</v>
      </c>
      <c r="T101" s="479">
        <f t="shared" si="35"/>
        <v>6613.336065573771</v>
      </c>
      <c r="U101" s="479">
        <f t="shared" si="36"/>
        <v>6613.336065573771</v>
      </c>
      <c r="V101" s="479">
        <f t="shared" si="37"/>
        <v>6613.336065573771</v>
      </c>
      <c r="W101" s="479">
        <f t="shared" si="38"/>
        <v>6613.336065573771</v>
      </c>
    </row>
    <row r="102" spans="1:23" s="7" customFormat="1" ht="12" customHeight="1" hidden="1">
      <c r="A102" s="9"/>
      <c r="D102" s="9"/>
      <c r="E102" s="45"/>
      <c r="H102" s="140">
        <v>0.5</v>
      </c>
      <c r="I102" s="315">
        <f t="shared" si="32"/>
        <v>5715.2139344262305</v>
      </c>
      <c r="J102" s="500">
        <v>5715.2139344262305</v>
      </c>
      <c r="K102" s="500">
        <v>3755.131147540984</v>
      </c>
      <c r="L102" s="500">
        <v>4028.9926229508196</v>
      </c>
      <c r="M102" s="500">
        <v>3337.7614754098367</v>
      </c>
      <c r="N102" s="500">
        <v>3514.7549180327874</v>
      </c>
      <c r="O102" s="500">
        <v>2967.0319672131145</v>
      </c>
      <c r="P102" s="500">
        <v>8322.279508196722</v>
      </c>
      <c r="Q102" s="500">
        <v>7036.685245901639</v>
      </c>
      <c r="R102" s="274">
        <f t="shared" si="33"/>
        <v>8322.279508196722</v>
      </c>
      <c r="S102" s="479">
        <f t="shared" si="34"/>
        <v>5715.2139344262305</v>
      </c>
      <c r="T102" s="479">
        <f t="shared" si="35"/>
        <v>5715.2139344262305</v>
      </c>
      <c r="U102" s="479">
        <f t="shared" si="36"/>
        <v>5715.2139344262305</v>
      </c>
      <c r="V102" s="479">
        <f t="shared" si="37"/>
        <v>5715.2139344262305</v>
      </c>
      <c r="W102" s="479">
        <f t="shared" si="38"/>
        <v>5715.2139344262305</v>
      </c>
    </row>
    <row r="103" spans="1:23" s="7" customFormat="1" ht="12" customHeight="1" hidden="1">
      <c r="A103" s="9"/>
      <c r="D103" s="9"/>
      <c r="E103" s="45"/>
      <c r="H103" s="140">
        <v>0.6</v>
      </c>
      <c r="I103" s="315">
        <f t="shared" si="32"/>
        <v>5749.895081967214</v>
      </c>
      <c r="J103" s="500">
        <v>5749.895081967214</v>
      </c>
      <c r="K103" s="500">
        <v>4159.345901639344</v>
      </c>
      <c r="L103" s="500">
        <v>4159.345901639344</v>
      </c>
      <c r="M103" s="500">
        <v>3383.2057377049186</v>
      </c>
      <c r="N103" s="500">
        <v>3648.6959016393444</v>
      </c>
      <c r="O103" s="500">
        <v>3232.522131147541</v>
      </c>
      <c r="P103" s="500">
        <v>8803.031967213115</v>
      </c>
      <c r="Q103" s="500">
        <v>7248.359836065575</v>
      </c>
      <c r="R103" s="274">
        <f t="shared" si="33"/>
        <v>8803.031967213115</v>
      </c>
      <c r="S103" s="479">
        <f t="shared" si="34"/>
        <v>5749.895081967214</v>
      </c>
      <c r="T103" s="479">
        <f t="shared" si="35"/>
        <v>5749.895081967214</v>
      </c>
      <c r="U103" s="479">
        <f t="shared" si="36"/>
        <v>5749.895081967214</v>
      </c>
      <c r="V103" s="479">
        <f t="shared" si="37"/>
        <v>5749.895081967214</v>
      </c>
      <c r="W103" s="479">
        <f t="shared" si="38"/>
        <v>5749.895081967214</v>
      </c>
    </row>
    <row r="104" spans="1:23" s="7" customFormat="1" ht="12" customHeight="1" hidden="1">
      <c r="A104" s="9"/>
      <c r="D104" s="9"/>
      <c r="E104" s="45"/>
      <c r="H104" s="140">
        <v>0.7</v>
      </c>
      <c r="I104" s="315">
        <f t="shared" si="32"/>
        <v>5484.4049180327875</v>
      </c>
      <c r="J104" s="500">
        <v>5484.4049180327875</v>
      </c>
      <c r="K104" s="500">
        <v>4500.17786885246</v>
      </c>
      <c r="L104" s="500">
        <v>5587.252459016394</v>
      </c>
      <c r="M104" s="500">
        <v>3755.131147540984</v>
      </c>
      <c r="N104" s="500">
        <v>3648.6959016393444</v>
      </c>
      <c r="O104" s="500">
        <v>3232.522131147541</v>
      </c>
      <c r="P104" s="500">
        <v>9013.510655737706</v>
      </c>
      <c r="Q104" s="500">
        <v>7458.8385245901645</v>
      </c>
      <c r="R104" s="274">
        <f t="shared" si="33"/>
        <v>9013.510655737706</v>
      </c>
      <c r="S104" s="479">
        <f t="shared" si="34"/>
        <v>5484.4049180327875</v>
      </c>
      <c r="T104" s="479">
        <f t="shared" si="35"/>
        <v>5484.4049180327875</v>
      </c>
      <c r="U104" s="479">
        <f t="shared" si="36"/>
        <v>5484.4049180327875</v>
      </c>
      <c r="V104" s="479">
        <f t="shared" si="37"/>
        <v>5484.4049180327875</v>
      </c>
      <c r="W104" s="479">
        <f t="shared" si="38"/>
        <v>5484.4049180327875</v>
      </c>
    </row>
    <row r="105" spans="1:23" s="7" customFormat="1" ht="12" customHeight="1" hidden="1">
      <c r="A105" s="9"/>
      <c r="D105" s="9"/>
      <c r="E105" s="45"/>
      <c r="H105" s="140">
        <v>0.8</v>
      </c>
      <c r="I105" s="315">
        <f t="shared" si="32"/>
        <v>6651.604918032787</v>
      </c>
      <c r="J105" s="500">
        <v>6651.604918032787</v>
      </c>
      <c r="K105" s="500">
        <v>5321.762295081968</v>
      </c>
      <c r="L105" s="500">
        <v>6009.4057377049185</v>
      </c>
      <c r="M105" s="500">
        <v>5250.008196721312</v>
      </c>
      <c r="N105" s="500">
        <v>4870.907377049181</v>
      </c>
      <c r="O105" s="500">
        <v>3514.7549180327874</v>
      </c>
      <c r="P105" s="500">
        <v>9417.725409836065</v>
      </c>
      <c r="Q105" s="500">
        <v>7593.975409836066</v>
      </c>
      <c r="R105" s="274">
        <f t="shared" si="33"/>
        <v>9417.725409836065</v>
      </c>
      <c r="S105" s="479">
        <f t="shared" si="34"/>
        <v>6651.604918032787</v>
      </c>
      <c r="T105" s="479">
        <f t="shared" si="35"/>
        <v>6651.604918032787</v>
      </c>
      <c r="U105" s="479">
        <f t="shared" si="36"/>
        <v>6651.604918032787</v>
      </c>
      <c r="V105" s="479">
        <f t="shared" si="37"/>
        <v>6651.604918032787</v>
      </c>
      <c r="W105" s="479">
        <f t="shared" si="38"/>
        <v>6651.604918032787</v>
      </c>
    </row>
    <row r="106" spans="1:23" s="7" customFormat="1" ht="12" customHeight="1" hidden="1">
      <c r="A106" s="9"/>
      <c r="D106" s="9"/>
      <c r="E106" s="45"/>
      <c r="H106" s="140">
        <v>1</v>
      </c>
      <c r="I106" s="315">
        <f t="shared" si="32"/>
        <v>8333.04262295082</v>
      </c>
      <c r="J106" s="500">
        <v>8333.04262295082</v>
      </c>
      <c r="K106" s="500">
        <v>6543.973770491803</v>
      </c>
      <c r="L106" s="500">
        <v>6206.729508196721</v>
      </c>
      <c r="M106" s="500">
        <v>5116.067213114755</v>
      </c>
      <c r="N106" s="500">
        <v>5284.689344262295</v>
      </c>
      <c r="O106" s="500">
        <v>3514.7549180327874</v>
      </c>
      <c r="P106" s="500">
        <v>9906.849180327868</v>
      </c>
      <c r="Q106" s="500">
        <v>7796.082786885247</v>
      </c>
      <c r="R106" s="274">
        <f t="shared" si="33"/>
        <v>9906.849180327868</v>
      </c>
      <c r="S106" s="479">
        <f t="shared" si="34"/>
        <v>8333.04262295082</v>
      </c>
      <c r="T106" s="479">
        <f t="shared" si="35"/>
        <v>8333.04262295082</v>
      </c>
      <c r="U106" s="479">
        <f t="shared" si="36"/>
        <v>8333.04262295082</v>
      </c>
      <c r="V106" s="479">
        <f t="shared" si="37"/>
        <v>8333.04262295082</v>
      </c>
      <c r="W106" s="479">
        <f t="shared" si="38"/>
        <v>8333.04262295082</v>
      </c>
    </row>
    <row r="107" spans="1:23" s="7" customFormat="1" ht="12" customHeight="1" hidden="1">
      <c r="A107" s="9"/>
      <c r="D107" s="9"/>
      <c r="E107" s="45"/>
      <c r="H107" s="140">
        <v>1.1</v>
      </c>
      <c r="I107" s="315">
        <f t="shared" si="32"/>
        <v>9365.10573770492</v>
      </c>
      <c r="J107" s="500">
        <v>9365.10573770492</v>
      </c>
      <c r="K107" s="500">
        <v>7370.341803278689</v>
      </c>
      <c r="L107" s="500">
        <v>6485.374590163935</v>
      </c>
      <c r="M107" s="500">
        <v>5116.067213114755</v>
      </c>
      <c r="N107" s="500">
        <v>5423.41393442623</v>
      </c>
      <c r="O107" s="500">
        <v>3648.6959016393444</v>
      </c>
      <c r="P107" s="500">
        <v>10247.681147540985</v>
      </c>
      <c r="Q107" s="500">
        <v>8001.777868852459</v>
      </c>
      <c r="R107" s="274">
        <f t="shared" si="33"/>
        <v>10247.681147540985</v>
      </c>
      <c r="S107" s="479">
        <f t="shared" si="34"/>
        <v>9365.10573770492</v>
      </c>
      <c r="T107" s="479">
        <f t="shared" si="35"/>
        <v>9365.10573770492</v>
      </c>
      <c r="U107" s="479">
        <f t="shared" si="36"/>
        <v>9365.10573770492</v>
      </c>
      <c r="V107" s="479">
        <f t="shared" si="37"/>
        <v>9365.10573770492</v>
      </c>
      <c r="W107" s="479">
        <f t="shared" si="38"/>
        <v>9365.10573770492</v>
      </c>
    </row>
    <row r="108" spans="1:23" s="7" customFormat="1" ht="12" customHeight="1" hidden="1" thickBot="1">
      <c r="A108" s="9"/>
      <c r="D108" s="9"/>
      <c r="E108" s="45"/>
      <c r="H108" s="141">
        <v>1.2</v>
      </c>
      <c r="I108" s="315">
        <f t="shared" si="32"/>
        <v>9693.97868852459</v>
      </c>
      <c r="J108" s="500">
        <v>9693.97868852459</v>
      </c>
      <c r="K108" s="500">
        <v>7572.449180327871</v>
      </c>
      <c r="L108" s="500">
        <v>7159.863114754099</v>
      </c>
      <c r="M108" s="500">
        <v>5183.037704918033</v>
      </c>
      <c r="N108" s="500">
        <v>5558.550819672132</v>
      </c>
      <c r="O108" s="500">
        <v>3648.6959016393444</v>
      </c>
      <c r="P108" s="500">
        <v>10315.847540983608</v>
      </c>
      <c r="Q108" s="500">
        <v>8078.315573770492</v>
      </c>
      <c r="R108" s="274">
        <f t="shared" si="33"/>
        <v>10315.847540983608</v>
      </c>
      <c r="S108" s="479">
        <f t="shared" si="34"/>
        <v>9693.97868852459</v>
      </c>
      <c r="T108" s="479">
        <f t="shared" si="35"/>
        <v>9693.97868852459</v>
      </c>
      <c r="U108" s="479">
        <f t="shared" si="36"/>
        <v>9693.97868852459</v>
      </c>
      <c r="V108" s="479">
        <f t="shared" si="37"/>
        <v>9693.97868852459</v>
      </c>
      <c r="W108" s="479">
        <f t="shared" si="38"/>
        <v>9693.97868852459</v>
      </c>
    </row>
    <row r="109" spans="1:23" s="7" customFormat="1" ht="12" customHeight="1" hidden="1">
      <c r="A109" s="9"/>
      <c r="D109" s="9"/>
      <c r="E109" s="45"/>
      <c r="H109" s="200"/>
      <c r="I109" s="497"/>
      <c r="J109" s="499"/>
      <c r="K109" s="499"/>
      <c r="L109" s="499"/>
      <c r="M109" s="499"/>
      <c r="N109" s="499"/>
      <c r="O109" s="499"/>
      <c r="P109" s="499"/>
      <c r="Q109" s="499"/>
      <c r="R109" s="498"/>
      <c r="S109" s="498"/>
      <c r="T109" s="498"/>
      <c r="U109" s="498"/>
      <c r="V109" s="498"/>
      <c r="W109" s="498"/>
    </row>
    <row r="110" spans="1:23" s="7" customFormat="1" ht="12" customHeight="1" hidden="1">
      <c r="A110" s="9"/>
      <c r="D110" s="9"/>
      <c r="E110" s="45"/>
      <c r="H110" s="200"/>
      <c r="I110" s="497"/>
      <c r="J110" s="499"/>
      <c r="K110" s="499"/>
      <c r="L110" s="499"/>
      <c r="M110" s="499"/>
      <c r="N110" s="499"/>
      <c r="O110" s="499"/>
      <c r="P110" s="499"/>
      <c r="Q110" s="499"/>
      <c r="R110" s="498"/>
      <c r="S110" s="498"/>
      <c r="T110" s="498"/>
      <c r="U110" s="498"/>
      <c r="V110" s="498"/>
      <c r="W110" s="498"/>
    </row>
    <row r="111" spans="1:23" s="7" customFormat="1" ht="12" customHeight="1" hidden="1">
      <c r="A111" s="9"/>
      <c r="D111" s="9"/>
      <c r="E111" s="45"/>
      <c r="H111" s="200"/>
      <c r="I111" s="497"/>
      <c r="J111" s="499">
        <f>J97*1.576/1.459</f>
        <v>4308.16393442623</v>
      </c>
      <c r="K111" s="499">
        <f aca="true" t="shared" si="39" ref="K111:P111">K97*1.576/1.459</f>
        <v>1834.3606557377052</v>
      </c>
      <c r="L111" s="499">
        <f t="shared" si="39"/>
        <v>0</v>
      </c>
      <c r="M111" s="499">
        <f t="shared" si="39"/>
        <v>0</v>
      </c>
      <c r="N111" s="499">
        <f t="shared" si="39"/>
        <v>0</v>
      </c>
      <c r="O111" s="499">
        <f t="shared" si="39"/>
        <v>0</v>
      </c>
      <c r="P111" s="499">
        <f t="shared" si="39"/>
        <v>3109.370491803279</v>
      </c>
      <c r="Q111" s="499">
        <f aca="true" t="shared" si="40" ref="Q111:Q122">Q97*1.576/1.459</f>
        <v>2321.3704918032786</v>
      </c>
      <c r="R111" s="498"/>
      <c r="S111" s="498"/>
      <c r="T111" s="498"/>
      <c r="U111" s="498"/>
      <c r="V111" s="498"/>
      <c r="W111" s="498"/>
    </row>
    <row r="112" spans="1:23" s="7" customFormat="1" ht="12" customHeight="1" hidden="1">
      <c r="A112" s="9"/>
      <c r="D112" s="9"/>
      <c r="E112" s="45"/>
      <c r="H112" s="200"/>
      <c r="I112" s="497"/>
      <c r="J112" s="499">
        <f aca="true" t="shared" si="41" ref="J112:P122">J98*1.576/1.459</f>
        <v>6241.993442622951</v>
      </c>
      <c r="K112" s="499">
        <f t="shared" si="41"/>
        <v>1984.2098360655739</v>
      </c>
      <c r="L112" s="499">
        <f t="shared" si="41"/>
        <v>0</v>
      </c>
      <c r="M112" s="499">
        <f t="shared" si="41"/>
        <v>0</v>
      </c>
      <c r="N112" s="499">
        <f t="shared" si="41"/>
        <v>0</v>
      </c>
      <c r="O112" s="499">
        <f t="shared" si="41"/>
        <v>0</v>
      </c>
      <c r="P112" s="499">
        <f t="shared" si="41"/>
        <v>3259.2196721311475</v>
      </c>
      <c r="Q112" s="499">
        <f t="shared" si="40"/>
        <v>2471.2196721311475</v>
      </c>
      <c r="R112" s="498"/>
      <c r="S112" s="498"/>
      <c r="T112" s="498"/>
      <c r="U112" s="498"/>
      <c r="V112" s="498"/>
      <c r="W112" s="498"/>
    </row>
    <row r="113" spans="1:23" s="7" customFormat="1" ht="12" customHeight="1" hidden="1">
      <c r="A113" s="9"/>
      <c r="D113" s="9"/>
      <c r="E113" s="45"/>
      <c r="H113" s="200"/>
      <c r="I113" s="497"/>
      <c r="J113" s="499">
        <f t="shared" si="41"/>
        <v>7453.704918032788</v>
      </c>
      <c r="K113" s="499">
        <f t="shared" si="41"/>
        <v>3318.64262295082</v>
      </c>
      <c r="L113" s="499">
        <f t="shared" si="41"/>
        <v>4197.068852459017</v>
      </c>
      <c r="M113" s="499">
        <f t="shared" si="41"/>
        <v>3500.786885245903</v>
      </c>
      <c r="N113" s="499">
        <f t="shared" si="41"/>
        <v>3796.609836065574</v>
      </c>
      <c r="O113" s="499">
        <f t="shared" si="41"/>
        <v>0</v>
      </c>
      <c r="P113" s="499">
        <f t="shared" si="41"/>
        <v>5193.04918032787</v>
      </c>
      <c r="Q113" s="499">
        <f t="shared" si="40"/>
        <v>4406.340983606558</v>
      </c>
      <c r="R113" s="498"/>
      <c r="S113" s="498"/>
      <c r="T113" s="498"/>
      <c r="U113" s="498"/>
      <c r="V113" s="498"/>
      <c r="W113" s="498"/>
    </row>
    <row r="114" spans="1:23" s="7" customFormat="1" ht="12" customHeight="1" hidden="1">
      <c r="A114" s="9"/>
      <c r="D114" s="9"/>
      <c r="E114" s="45"/>
      <c r="H114" s="200"/>
      <c r="I114" s="497"/>
      <c r="J114" s="499">
        <f t="shared" si="41"/>
        <v>7953.632786885245</v>
      </c>
      <c r="K114" s="499">
        <f t="shared" si="41"/>
        <v>3531.7901639344263</v>
      </c>
      <c r="L114" s="499">
        <f t="shared" si="41"/>
        <v>4197.068852459017</v>
      </c>
      <c r="M114" s="499">
        <f t="shared" si="41"/>
        <v>3500.786885245903</v>
      </c>
      <c r="N114" s="499">
        <f t="shared" si="41"/>
        <v>3796.609836065574</v>
      </c>
      <c r="O114" s="499">
        <f t="shared" si="41"/>
        <v>0</v>
      </c>
      <c r="P114" s="499">
        <f t="shared" si="41"/>
        <v>7573.84262295082</v>
      </c>
      <c r="Q114" s="499">
        <f t="shared" si="40"/>
        <v>6340.170491803279</v>
      </c>
      <c r="R114" s="498"/>
      <c r="S114" s="498"/>
      <c r="T114" s="498"/>
      <c r="U114" s="498"/>
      <c r="V114" s="498"/>
      <c r="W114" s="498"/>
    </row>
    <row r="115" spans="1:23" s="7" customFormat="1" ht="12" customHeight="1" hidden="1">
      <c r="A115" s="9"/>
      <c r="D115" s="9"/>
      <c r="E115" s="45"/>
      <c r="H115" s="200"/>
      <c r="I115" s="497"/>
      <c r="J115" s="499">
        <f t="shared" si="41"/>
        <v>7143.672131147541</v>
      </c>
      <c r="K115" s="499">
        <f t="shared" si="41"/>
        <v>3760.439344262296</v>
      </c>
      <c r="L115" s="499">
        <f t="shared" si="41"/>
        <v>4352.08524590164</v>
      </c>
      <c r="M115" s="499">
        <f t="shared" si="41"/>
        <v>3605.422950819673</v>
      </c>
      <c r="N115" s="499">
        <f t="shared" si="41"/>
        <v>3796.609836065574</v>
      </c>
      <c r="O115" s="499">
        <f t="shared" si="41"/>
        <v>3204.9639344262296</v>
      </c>
      <c r="P115" s="499">
        <f t="shared" si="41"/>
        <v>8470.354098360656</v>
      </c>
      <c r="Q115" s="499">
        <f t="shared" si="40"/>
        <v>7086.832786885246</v>
      </c>
      <c r="R115" s="498"/>
      <c r="S115" s="498"/>
      <c r="T115" s="498"/>
      <c r="U115" s="498"/>
      <c r="V115" s="498"/>
      <c r="W115" s="498"/>
    </row>
    <row r="116" spans="1:23" s="7" customFormat="1" ht="12" customHeight="1" hidden="1">
      <c r="A116" s="9"/>
      <c r="D116" s="9"/>
      <c r="E116" s="45"/>
      <c r="H116" s="200"/>
      <c r="I116" s="497"/>
      <c r="J116" s="499">
        <f t="shared" si="41"/>
        <v>6173.5278688524595</v>
      </c>
      <c r="K116" s="499">
        <f t="shared" si="41"/>
        <v>4056.2622950819673</v>
      </c>
      <c r="L116" s="499">
        <f t="shared" si="41"/>
        <v>4352.08524590164</v>
      </c>
      <c r="M116" s="499">
        <f t="shared" si="41"/>
        <v>3605.422950819673</v>
      </c>
      <c r="N116" s="499">
        <f t="shared" si="41"/>
        <v>3796.609836065574</v>
      </c>
      <c r="O116" s="499">
        <f t="shared" si="41"/>
        <v>3204.9639344262296</v>
      </c>
      <c r="P116" s="499">
        <f t="shared" si="41"/>
        <v>8989.659016393442</v>
      </c>
      <c r="Q116" s="499">
        <f t="shared" si="40"/>
        <v>7600.970491803278</v>
      </c>
      <c r="R116" s="498"/>
      <c r="S116" s="498"/>
      <c r="T116" s="498"/>
      <c r="U116" s="498"/>
      <c r="V116" s="498"/>
      <c r="W116" s="498"/>
    </row>
    <row r="117" spans="1:23" s="7" customFormat="1" ht="12" customHeight="1" hidden="1">
      <c r="A117" s="9"/>
      <c r="D117" s="9"/>
      <c r="E117" s="45"/>
      <c r="H117" s="200"/>
      <c r="I117" s="497"/>
      <c r="J117" s="499">
        <f t="shared" si="41"/>
        <v>6210.990163934427</v>
      </c>
      <c r="K117" s="499">
        <f t="shared" si="41"/>
        <v>4492.891803278689</v>
      </c>
      <c r="L117" s="499">
        <f t="shared" si="41"/>
        <v>4492.891803278689</v>
      </c>
      <c r="M117" s="499">
        <f t="shared" si="41"/>
        <v>3654.5114754098367</v>
      </c>
      <c r="N117" s="499">
        <f t="shared" si="41"/>
        <v>3941.291803278689</v>
      </c>
      <c r="O117" s="499">
        <f t="shared" si="41"/>
        <v>3491.744262295082</v>
      </c>
      <c r="P117" s="499">
        <f t="shared" si="41"/>
        <v>9508.96393442623</v>
      </c>
      <c r="Q117" s="499">
        <f t="shared" si="40"/>
        <v>7829.619672131148</v>
      </c>
      <c r="R117" s="498"/>
      <c r="S117" s="498"/>
      <c r="T117" s="498"/>
      <c r="U117" s="498"/>
      <c r="V117" s="498"/>
      <c r="W117" s="498"/>
    </row>
    <row r="118" spans="1:23" s="7" customFormat="1" ht="12" customHeight="1" hidden="1">
      <c r="A118" s="9"/>
      <c r="D118" s="9"/>
      <c r="E118" s="45"/>
      <c r="H118" s="200"/>
      <c r="I118" s="497"/>
      <c r="J118" s="499">
        <f t="shared" si="41"/>
        <v>5924.209836065575</v>
      </c>
      <c r="K118" s="499">
        <f t="shared" si="41"/>
        <v>4861.055737704919</v>
      </c>
      <c r="L118" s="499">
        <f t="shared" si="41"/>
        <v>6035.304918032788</v>
      </c>
      <c r="M118" s="499">
        <f t="shared" si="41"/>
        <v>4056.2622950819673</v>
      </c>
      <c r="N118" s="499">
        <f t="shared" si="41"/>
        <v>3941.291803278689</v>
      </c>
      <c r="O118" s="499">
        <f t="shared" si="41"/>
        <v>3491.744262295082</v>
      </c>
      <c r="P118" s="499">
        <f t="shared" si="41"/>
        <v>9736.32131147541</v>
      </c>
      <c r="Q118" s="499">
        <f t="shared" si="40"/>
        <v>8056.977049180329</v>
      </c>
      <c r="R118" s="498"/>
      <c r="S118" s="498"/>
      <c r="T118" s="498"/>
      <c r="U118" s="498"/>
      <c r="V118" s="498"/>
      <c r="W118" s="498"/>
    </row>
    <row r="119" spans="1:23" s="7" customFormat="1" ht="12" customHeight="1" hidden="1">
      <c r="A119" s="9"/>
      <c r="D119" s="9"/>
      <c r="E119" s="45"/>
      <c r="H119" s="200"/>
      <c r="I119" s="497"/>
      <c r="J119" s="499">
        <f t="shared" si="41"/>
        <v>7185.009836065574</v>
      </c>
      <c r="K119" s="499">
        <f t="shared" si="41"/>
        <v>5748.5245901639355</v>
      </c>
      <c r="L119" s="499">
        <f t="shared" si="41"/>
        <v>6491.311475409837</v>
      </c>
      <c r="M119" s="499">
        <f t="shared" si="41"/>
        <v>5671.016393442623</v>
      </c>
      <c r="N119" s="499">
        <f t="shared" si="41"/>
        <v>5261.514754098362</v>
      </c>
      <c r="O119" s="499">
        <f t="shared" si="41"/>
        <v>3796.609836065574</v>
      </c>
      <c r="P119" s="499">
        <f t="shared" si="41"/>
        <v>10172.95081967213</v>
      </c>
      <c r="Q119" s="499">
        <f t="shared" si="40"/>
        <v>8202.950819672133</v>
      </c>
      <c r="R119" s="498"/>
      <c r="S119" s="498"/>
      <c r="T119" s="498"/>
      <c r="U119" s="498"/>
      <c r="V119" s="498"/>
      <c r="W119" s="498"/>
    </row>
    <row r="120" spans="1:23" s="7" customFormat="1" ht="12" customHeight="1" hidden="1">
      <c r="A120" s="9"/>
      <c r="D120" s="9"/>
      <c r="E120" s="45"/>
      <c r="H120" s="200"/>
      <c r="I120" s="497"/>
      <c r="J120" s="499">
        <f t="shared" si="41"/>
        <v>9001.28524590164</v>
      </c>
      <c r="K120" s="499">
        <f t="shared" si="41"/>
        <v>7068.747540983606</v>
      </c>
      <c r="L120" s="499">
        <f t="shared" si="41"/>
        <v>6704.459016393443</v>
      </c>
      <c r="M120" s="499">
        <f t="shared" si="41"/>
        <v>5526.3344262295095</v>
      </c>
      <c r="N120" s="499">
        <f t="shared" si="41"/>
        <v>5708.47868852459</v>
      </c>
      <c r="O120" s="499">
        <f t="shared" si="41"/>
        <v>3796.609836065574</v>
      </c>
      <c r="P120" s="499">
        <f t="shared" si="41"/>
        <v>10701.298360655737</v>
      </c>
      <c r="Q120" s="499">
        <f t="shared" si="40"/>
        <v>8421.265573770492</v>
      </c>
      <c r="R120" s="498"/>
      <c r="S120" s="498"/>
      <c r="T120" s="498"/>
      <c r="U120" s="498"/>
      <c r="V120" s="498"/>
      <c r="W120" s="498"/>
    </row>
    <row r="121" spans="1:23" s="7" customFormat="1" ht="12" customHeight="1" hidden="1">
      <c r="A121" s="9"/>
      <c r="D121" s="9"/>
      <c r="E121" s="45"/>
      <c r="H121" s="200"/>
      <c r="I121" s="497"/>
      <c r="J121" s="499">
        <f t="shared" si="41"/>
        <v>10116.111475409838</v>
      </c>
      <c r="K121" s="499">
        <f t="shared" si="41"/>
        <v>7961.383606557379</v>
      </c>
      <c r="L121" s="499">
        <f t="shared" si="41"/>
        <v>7005.44918032787</v>
      </c>
      <c r="M121" s="499">
        <f t="shared" si="41"/>
        <v>5526.3344262295095</v>
      </c>
      <c r="N121" s="499">
        <f t="shared" si="41"/>
        <v>5858.32786885246</v>
      </c>
      <c r="O121" s="499">
        <f t="shared" si="41"/>
        <v>3941.291803278689</v>
      </c>
      <c r="P121" s="499">
        <f t="shared" si="41"/>
        <v>11069.462295081968</v>
      </c>
      <c r="Q121" s="499">
        <f t="shared" si="40"/>
        <v>8643.455737704917</v>
      </c>
      <c r="R121" s="498"/>
      <c r="S121" s="498"/>
      <c r="T121" s="498"/>
      <c r="U121" s="498"/>
      <c r="V121" s="498"/>
      <c r="W121" s="498"/>
    </row>
    <row r="122" spans="1:23" s="7" customFormat="1" ht="12" customHeight="1" hidden="1">
      <c r="A122" s="9"/>
      <c r="D122" s="9"/>
      <c r="E122" s="45"/>
      <c r="H122" s="200"/>
      <c r="I122" s="497"/>
      <c r="J122" s="499">
        <f t="shared" si="41"/>
        <v>10471.35737704918</v>
      </c>
      <c r="K122" s="499">
        <f t="shared" si="41"/>
        <v>8179.698360655739</v>
      </c>
      <c r="L122" s="499">
        <f t="shared" si="41"/>
        <v>7734.0262295081975</v>
      </c>
      <c r="M122" s="499">
        <f t="shared" si="41"/>
        <v>5598.675409836066</v>
      </c>
      <c r="N122" s="499">
        <f t="shared" si="41"/>
        <v>6004.301639344263</v>
      </c>
      <c r="O122" s="499">
        <f t="shared" si="41"/>
        <v>3941.291803278689</v>
      </c>
      <c r="P122" s="499">
        <f t="shared" si="41"/>
        <v>11143.095081967214</v>
      </c>
      <c r="Q122" s="499">
        <f t="shared" si="40"/>
        <v>8726.131147540984</v>
      </c>
      <c r="R122" s="498"/>
      <c r="S122" s="498"/>
      <c r="T122" s="498"/>
      <c r="U122" s="498"/>
      <c r="V122" s="498"/>
      <c r="W122" s="498"/>
    </row>
    <row r="123" spans="1:23" s="7" customFormat="1" ht="17.25" customHeight="1" hidden="1" thickBot="1">
      <c r="A123" s="9"/>
      <c r="D123" s="9"/>
      <c r="E123" s="45"/>
      <c r="H123" s="1"/>
      <c r="I123" s="392">
        <v>43831</v>
      </c>
      <c r="J123" s="9"/>
      <c r="K123" s="45"/>
      <c r="L123" s="392">
        <v>43831</v>
      </c>
      <c r="M123" s="286"/>
      <c r="N123" s="1"/>
      <c r="O123" s="1"/>
      <c r="P123" s="1"/>
      <c r="Q123" s="1"/>
      <c r="R123" s="1"/>
      <c r="S123" s="392">
        <v>43862</v>
      </c>
      <c r="T123" s="97"/>
      <c r="U123" s="97"/>
      <c r="V123" s="97"/>
      <c r="W123" s="97"/>
    </row>
    <row r="124" spans="1:23" s="7" customFormat="1" ht="12" customHeight="1" hidden="1" thickBot="1" thickTop="1">
      <c r="A124" s="9"/>
      <c r="D124" s="9"/>
      <c r="E124" s="45"/>
      <c r="H124" s="1"/>
      <c r="I124" s="273" t="s">
        <v>366</v>
      </c>
      <c r="J124" s="46" t="s">
        <v>361</v>
      </c>
      <c r="K124" s="46" t="s">
        <v>362</v>
      </c>
      <c r="L124" s="275" t="s">
        <v>352</v>
      </c>
      <c r="M124" s="314" t="s">
        <v>353</v>
      </c>
      <c r="N124" s="275" t="s">
        <v>355</v>
      </c>
      <c r="O124" s="275" t="s">
        <v>354</v>
      </c>
      <c r="P124" s="275" t="s">
        <v>363</v>
      </c>
      <c r="Q124" s="275" t="s">
        <v>364</v>
      </c>
      <c r="R124" s="129" t="s">
        <v>365</v>
      </c>
      <c r="S124" s="480">
        <v>1</v>
      </c>
      <c r="T124" s="480">
        <v>2</v>
      </c>
      <c r="U124" s="480">
        <v>3</v>
      </c>
      <c r="V124" s="480">
        <v>4</v>
      </c>
      <c r="W124" s="480">
        <v>5</v>
      </c>
    </row>
    <row r="125" spans="1:23" s="7" customFormat="1" ht="12" customHeight="1" hidden="1">
      <c r="A125" s="9"/>
      <c r="D125" s="9"/>
      <c r="E125" s="45"/>
      <c r="H125" s="138">
        <v>0</v>
      </c>
      <c r="I125" s="315">
        <f aca="true" t="shared" si="42" ref="I125:I136">IF(OR(puntosproljor&lt;620,nina=1),W125,R125)</f>
        <v>4308.16393442623</v>
      </c>
      <c r="J125" s="500">
        <v>4308.16393442623</v>
      </c>
      <c r="K125" s="500">
        <v>1834.3606557377052</v>
      </c>
      <c r="L125" s="500">
        <v>0</v>
      </c>
      <c r="M125" s="500">
        <v>0</v>
      </c>
      <c r="N125" s="500">
        <v>0</v>
      </c>
      <c r="O125" s="500">
        <v>0</v>
      </c>
      <c r="P125" s="500">
        <v>3109.370491803279</v>
      </c>
      <c r="Q125" s="500">
        <v>2321.3704918032786</v>
      </c>
      <c r="R125" s="274">
        <f aca="true" t="shared" si="43" ref="R125:R136">IF(PUNTOSbasicos&gt;971,Q125,P125)</f>
        <v>3109.370491803279</v>
      </c>
      <c r="S125" s="479">
        <f aca="true" t="shared" si="44" ref="S125:S136">IF(PUNTOSbasicos&lt;972,J125,K125)</f>
        <v>4308.16393442623</v>
      </c>
      <c r="T125" s="479">
        <f aca="true" t="shared" si="45" ref="T125:T136">IF(PUNTOSbasicos&lt;1170,S125,L125)</f>
        <v>4308.16393442623</v>
      </c>
      <c r="U125" s="479">
        <f aca="true" t="shared" si="46" ref="U125:U136">IF(PUNTOSbasicos&lt;1401,T125,M125)</f>
        <v>4308.16393442623</v>
      </c>
      <c r="V125" s="479">
        <f aca="true" t="shared" si="47" ref="V125:V136">IF(PUNTOSbasicos&lt;1943,U125,N125)</f>
        <v>4308.16393442623</v>
      </c>
      <c r="W125" s="479">
        <f aca="true" t="shared" si="48" ref="W125:W136">IF(PUNTOSbasicos&lt;=2220,V125,O125)</f>
        <v>4308.16393442623</v>
      </c>
    </row>
    <row r="126" spans="1:23" s="7" customFormat="1" ht="12" customHeight="1" hidden="1">
      <c r="A126" s="9"/>
      <c r="D126" s="9"/>
      <c r="E126" s="45"/>
      <c r="H126" s="139">
        <v>0.1</v>
      </c>
      <c r="I126" s="315">
        <f t="shared" si="42"/>
        <v>6241.993442622951</v>
      </c>
      <c r="J126" s="500">
        <v>6241.993442622951</v>
      </c>
      <c r="K126" s="500">
        <v>1984.2098360655739</v>
      </c>
      <c r="L126" s="500">
        <v>0</v>
      </c>
      <c r="M126" s="500">
        <v>0</v>
      </c>
      <c r="N126" s="500">
        <v>0</v>
      </c>
      <c r="O126" s="500">
        <v>0</v>
      </c>
      <c r="P126" s="500">
        <v>3259.2196721311475</v>
      </c>
      <c r="Q126" s="500">
        <v>2471.2196721311475</v>
      </c>
      <c r="R126" s="274">
        <f t="shared" si="43"/>
        <v>3259.2196721311475</v>
      </c>
      <c r="S126" s="479">
        <f t="shared" si="44"/>
        <v>6241.993442622951</v>
      </c>
      <c r="T126" s="479">
        <f t="shared" si="45"/>
        <v>6241.993442622951</v>
      </c>
      <c r="U126" s="479">
        <f t="shared" si="46"/>
        <v>6241.993442622951</v>
      </c>
      <c r="V126" s="479">
        <f t="shared" si="47"/>
        <v>6241.993442622951</v>
      </c>
      <c r="W126" s="479">
        <f t="shared" si="48"/>
        <v>6241.993442622951</v>
      </c>
    </row>
    <row r="127" spans="1:23" s="7" customFormat="1" ht="12" customHeight="1" hidden="1">
      <c r="A127" s="9"/>
      <c r="D127" s="9"/>
      <c r="E127" s="45"/>
      <c r="H127" s="140">
        <v>0.15</v>
      </c>
      <c r="I127" s="315">
        <f t="shared" si="42"/>
        <v>7453.704918032788</v>
      </c>
      <c r="J127" s="500">
        <v>7453.704918032788</v>
      </c>
      <c r="K127" s="500">
        <v>3318.64262295082</v>
      </c>
      <c r="L127" s="500">
        <v>4197.068852459017</v>
      </c>
      <c r="M127" s="500">
        <v>3500.786885245903</v>
      </c>
      <c r="N127" s="500">
        <v>3796.609836065574</v>
      </c>
      <c r="O127" s="500">
        <v>0</v>
      </c>
      <c r="P127" s="500">
        <v>5193.04918032787</v>
      </c>
      <c r="Q127" s="500">
        <v>4406.340983606558</v>
      </c>
      <c r="R127" s="274">
        <f t="shared" si="43"/>
        <v>5193.04918032787</v>
      </c>
      <c r="S127" s="479">
        <f t="shared" si="44"/>
        <v>7453.704918032788</v>
      </c>
      <c r="T127" s="479">
        <f t="shared" si="45"/>
        <v>7453.704918032788</v>
      </c>
      <c r="U127" s="479">
        <f t="shared" si="46"/>
        <v>7453.704918032788</v>
      </c>
      <c r="V127" s="479">
        <f t="shared" si="47"/>
        <v>7453.704918032788</v>
      </c>
      <c r="W127" s="479">
        <f t="shared" si="48"/>
        <v>7453.704918032788</v>
      </c>
    </row>
    <row r="128" spans="1:23" s="7" customFormat="1" ht="12" customHeight="1" hidden="1">
      <c r="A128" s="9"/>
      <c r="D128" s="9"/>
      <c r="E128" s="45"/>
      <c r="H128" s="140">
        <v>0.3</v>
      </c>
      <c r="I128" s="315">
        <f t="shared" si="42"/>
        <v>7953.632786885245</v>
      </c>
      <c r="J128" s="500">
        <v>7953.632786885245</v>
      </c>
      <c r="K128" s="500">
        <v>3531.7901639344263</v>
      </c>
      <c r="L128" s="500">
        <v>4197.068852459017</v>
      </c>
      <c r="M128" s="500">
        <v>3500.786885245903</v>
      </c>
      <c r="N128" s="500">
        <v>3796.609836065574</v>
      </c>
      <c r="O128" s="500">
        <v>0</v>
      </c>
      <c r="P128" s="500">
        <v>7573.84262295082</v>
      </c>
      <c r="Q128" s="500">
        <v>6340.170491803279</v>
      </c>
      <c r="R128" s="274">
        <f t="shared" si="43"/>
        <v>7573.84262295082</v>
      </c>
      <c r="S128" s="479">
        <f t="shared" si="44"/>
        <v>7953.632786885245</v>
      </c>
      <c r="T128" s="479">
        <f t="shared" si="45"/>
        <v>7953.632786885245</v>
      </c>
      <c r="U128" s="479">
        <f t="shared" si="46"/>
        <v>7953.632786885245</v>
      </c>
      <c r="V128" s="479">
        <f t="shared" si="47"/>
        <v>7953.632786885245</v>
      </c>
      <c r="W128" s="479">
        <f t="shared" si="48"/>
        <v>7953.632786885245</v>
      </c>
    </row>
    <row r="129" spans="1:23" s="7" customFormat="1" ht="12" customHeight="1" hidden="1">
      <c r="A129" s="9"/>
      <c r="D129" s="9"/>
      <c r="E129" s="45"/>
      <c r="H129" s="140">
        <v>0.4</v>
      </c>
      <c r="I129" s="315">
        <f t="shared" si="42"/>
        <v>7143.672131147541</v>
      </c>
      <c r="J129" s="500">
        <v>7143.672131147541</v>
      </c>
      <c r="K129" s="500">
        <v>3760.439344262296</v>
      </c>
      <c r="L129" s="500">
        <v>4352.08524590164</v>
      </c>
      <c r="M129" s="500">
        <v>3605.422950819673</v>
      </c>
      <c r="N129" s="500">
        <v>3796.609836065574</v>
      </c>
      <c r="O129" s="500">
        <v>3204.9639344262296</v>
      </c>
      <c r="P129" s="500">
        <v>8470.354098360656</v>
      </c>
      <c r="Q129" s="500">
        <v>7086.832786885246</v>
      </c>
      <c r="R129" s="274">
        <f t="shared" si="43"/>
        <v>8470.354098360656</v>
      </c>
      <c r="S129" s="479">
        <f t="shared" si="44"/>
        <v>7143.672131147541</v>
      </c>
      <c r="T129" s="479">
        <f t="shared" si="45"/>
        <v>7143.672131147541</v>
      </c>
      <c r="U129" s="479">
        <f t="shared" si="46"/>
        <v>7143.672131147541</v>
      </c>
      <c r="V129" s="479">
        <f t="shared" si="47"/>
        <v>7143.672131147541</v>
      </c>
      <c r="W129" s="479">
        <f t="shared" si="48"/>
        <v>7143.672131147541</v>
      </c>
    </row>
    <row r="130" spans="1:23" s="7" customFormat="1" ht="12" customHeight="1" hidden="1">
      <c r="A130" s="9"/>
      <c r="D130" s="9"/>
      <c r="E130" s="45"/>
      <c r="H130" s="140">
        <v>0.5</v>
      </c>
      <c r="I130" s="315">
        <f t="shared" si="42"/>
        <v>6173.5278688524595</v>
      </c>
      <c r="J130" s="500">
        <v>6173.5278688524595</v>
      </c>
      <c r="K130" s="500">
        <v>4056.2622950819673</v>
      </c>
      <c r="L130" s="500">
        <v>4352.08524590164</v>
      </c>
      <c r="M130" s="500">
        <v>3605.422950819673</v>
      </c>
      <c r="N130" s="500">
        <v>3796.609836065574</v>
      </c>
      <c r="O130" s="500">
        <v>3204.9639344262296</v>
      </c>
      <c r="P130" s="500">
        <v>8989.659016393442</v>
      </c>
      <c r="Q130" s="500">
        <v>7600.970491803278</v>
      </c>
      <c r="R130" s="274">
        <f t="shared" si="43"/>
        <v>8989.659016393442</v>
      </c>
      <c r="S130" s="479">
        <f t="shared" si="44"/>
        <v>6173.5278688524595</v>
      </c>
      <c r="T130" s="479">
        <f t="shared" si="45"/>
        <v>6173.5278688524595</v>
      </c>
      <c r="U130" s="479">
        <f t="shared" si="46"/>
        <v>6173.5278688524595</v>
      </c>
      <c r="V130" s="479">
        <f t="shared" si="47"/>
        <v>6173.5278688524595</v>
      </c>
      <c r="W130" s="479">
        <f t="shared" si="48"/>
        <v>6173.5278688524595</v>
      </c>
    </row>
    <row r="131" spans="1:23" s="7" customFormat="1" ht="12" customHeight="1" hidden="1">
      <c r="A131" s="9"/>
      <c r="D131" s="9"/>
      <c r="E131" s="45"/>
      <c r="H131" s="140">
        <v>0.6</v>
      </c>
      <c r="I131" s="315">
        <f t="shared" si="42"/>
        <v>6210.990163934427</v>
      </c>
      <c r="J131" s="500">
        <v>6210.990163934427</v>
      </c>
      <c r="K131" s="500">
        <v>4492.891803278689</v>
      </c>
      <c r="L131" s="500">
        <v>4492.891803278689</v>
      </c>
      <c r="M131" s="500">
        <v>3654.5114754098367</v>
      </c>
      <c r="N131" s="500">
        <v>3941.291803278689</v>
      </c>
      <c r="O131" s="500">
        <v>3491.744262295082</v>
      </c>
      <c r="P131" s="500">
        <v>9508.96393442623</v>
      </c>
      <c r="Q131" s="500">
        <v>7829.619672131148</v>
      </c>
      <c r="R131" s="274">
        <f t="shared" si="43"/>
        <v>9508.96393442623</v>
      </c>
      <c r="S131" s="479">
        <f t="shared" si="44"/>
        <v>6210.990163934427</v>
      </c>
      <c r="T131" s="479">
        <f t="shared" si="45"/>
        <v>6210.990163934427</v>
      </c>
      <c r="U131" s="479">
        <f t="shared" si="46"/>
        <v>6210.990163934427</v>
      </c>
      <c r="V131" s="479">
        <f t="shared" si="47"/>
        <v>6210.990163934427</v>
      </c>
      <c r="W131" s="479">
        <f t="shared" si="48"/>
        <v>6210.990163934427</v>
      </c>
    </row>
    <row r="132" spans="1:23" s="7" customFormat="1" ht="12" customHeight="1" hidden="1">
      <c r="A132" s="9"/>
      <c r="D132" s="9"/>
      <c r="E132" s="45"/>
      <c r="H132" s="140">
        <v>0.7</v>
      </c>
      <c r="I132" s="315">
        <f t="shared" si="42"/>
        <v>5924.209836065575</v>
      </c>
      <c r="J132" s="500">
        <v>5924.209836065575</v>
      </c>
      <c r="K132" s="500">
        <v>4861.055737704919</v>
      </c>
      <c r="L132" s="500">
        <v>6035.304918032788</v>
      </c>
      <c r="M132" s="500">
        <v>4056.2622950819673</v>
      </c>
      <c r="N132" s="500">
        <v>3941.291803278689</v>
      </c>
      <c r="O132" s="500">
        <v>3491.744262295082</v>
      </c>
      <c r="P132" s="500">
        <v>9736.32131147541</v>
      </c>
      <c r="Q132" s="500">
        <v>8056.977049180329</v>
      </c>
      <c r="R132" s="274">
        <f t="shared" si="43"/>
        <v>9736.32131147541</v>
      </c>
      <c r="S132" s="479">
        <f t="shared" si="44"/>
        <v>5924.209836065575</v>
      </c>
      <c r="T132" s="479">
        <f t="shared" si="45"/>
        <v>5924.209836065575</v>
      </c>
      <c r="U132" s="479">
        <f t="shared" si="46"/>
        <v>5924.209836065575</v>
      </c>
      <c r="V132" s="479">
        <f t="shared" si="47"/>
        <v>5924.209836065575</v>
      </c>
      <c r="W132" s="479">
        <f t="shared" si="48"/>
        <v>5924.209836065575</v>
      </c>
    </row>
    <row r="133" spans="1:23" s="7" customFormat="1" ht="12" customHeight="1" hidden="1">
      <c r="A133" s="9"/>
      <c r="D133" s="9"/>
      <c r="E133" s="45"/>
      <c r="H133" s="140">
        <v>0.8</v>
      </c>
      <c r="I133" s="315">
        <f t="shared" si="42"/>
        <v>7185.009836065574</v>
      </c>
      <c r="J133" s="500">
        <v>7185.009836065574</v>
      </c>
      <c r="K133" s="500">
        <v>5748.5245901639355</v>
      </c>
      <c r="L133" s="500">
        <v>6491.311475409837</v>
      </c>
      <c r="M133" s="500">
        <v>5671.016393442623</v>
      </c>
      <c r="N133" s="500">
        <v>5261.514754098362</v>
      </c>
      <c r="O133" s="500">
        <v>3796.609836065574</v>
      </c>
      <c r="P133" s="500">
        <v>10172.95081967213</v>
      </c>
      <c r="Q133" s="500">
        <v>8202.950819672133</v>
      </c>
      <c r="R133" s="274">
        <f t="shared" si="43"/>
        <v>10172.95081967213</v>
      </c>
      <c r="S133" s="479">
        <f t="shared" si="44"/>
        <v>7185.009836065574</v>
      </c>
      <c r="T133" s="479">
        <f t="shared" si="45"/>
        <v>7185.009836065574</v>
      </c>
      <c r="U133" s="479">
        <f t="shared" si="46"/>
        <v>7185.009836065574</v>
      </c>
      <c r="V133" s="479">
        <f t="shared" si="47"/>
        <v>7185.009836065574</v>
      </c>
      <c r="W133" s="479">
        <f t="shared" si="48"/>
        <v>7185.009836065574</v>
      </c>
    </row>
    <row r="134" spans="1:23" s="7" customFormat="1" ht="12" customHeight="1" hidden="1">
      <c r="A134" s="9"/>
      <c r="D134" s="9"/>
      <c r="E134" s="45"/>
      <c r="H134" s="140">
        <v>1</v>
      </c>
      <c r="I134" s="315">
        <f t="shared" si="42"/>
        <v>9001.28524590164</v>
      </c>
      <c r="J134" s="500">
        <v>9001.28524590164</v>
      </c>
      <c r="K134" s="500">
        <v>7068.747540983606</v>
      </c>
      <c r="L134" s="500">
        <v>6704.459016393443</v>
      </c>
      <c r="M134" s="500">
        <v>5526.3344262295095</v>
      </c>
      <c r="N134" s="500">
        <v>5708.47868852459</v>
      </c>
      <c r="O134" s="500">
        <v>3796.609836065574</v>
      </c>
      <c r="P134" s="500">
        <v>10701.298360655737</v>
      </c>
      <c r="Q134" s="500">
        <v>8421.265573770492</v>
      </c>
      <c r="R134" s="274">
        <f t="shared" si="43"/>
        <v>10701.298360655737</v>
      </c>
      <c r="S134" s="479">
        <f t="shared" si="44"/>
        <v>9001.28524590164</v>
      </c>
      <c r="T134" s="479">
        <f t="shared" si="45"/>
        <v>9001.28524590164</v>
      </c>
      <c r="U134" s="479">
        <f t="shared" si="46"/>
        <v>9001.28524590164</v>
      </c>
      <c r="V134" s="479">
        <f t="shared" si="47"/>
        <v>9001.28524590164</v>
      </c>
      <c r="W134" s="479">
        <f t="shared" si="48"/>
        <v>9001.28524590164</v>
      </c>
    </row>
    <row r="135" spans="1:23" s="7" customFormat="1" ht="12" customHeight="1" hidden="1">
      <c r="A135" s="9"/>
      <c r="D135" s="9"/>
      <c r="E135" s="45"/>
      <c r="H135" s="140">
        <v>1.1</v>
      </c>
      <c r="I135" s="315">
        <f t="shared" si="42"/>
        <v>10116.111475409838</v>
      </c>
      <c r="J135" s="500">
        <v>10116.111475409838</v>
      </c>
      <c r="K135" s="500">
        <v>7961.383606557379</v>
      </c>
      <c r="L135" s="500">
        <v>7005.44918032787</v>
      </c>
      <c r="M135" s="500">
        <v>5526.3344262295095</v>
      </c>
      <c r="N135" s="500">
        <v>5858.32786885246</v>
      </c>
      <c r="O135" s="500">
        <v>3941.291803278689</v>
      </c>
      <c r="P135" s="500">
        <v>11069.462295081968</v>
      </c>
      <c r="Q135" s="500">
        <v>8643.455737704917</v>
      </c>
      <c r="R135" s="274">
        <f t="shared" si="43"/>
        <v>11069.462295081968</v>
      </c>
      <c r="S135" s="479">
        <f t="shared" si="44"/>
        <v>10116.111475409838</v>
      </c>
      <c r="T135" s="479">
        <f t="shared" si="45"/>
        <v>10116.111475409838</v>
      </c>
      <c r="U135" s="479">
        <f t="shared" si="46"/>
        <v>10116.111475409838</v>
      </c>
      <c r="V135" s="479">
        <f t="shared" si="47"/>
        <v>10116.111475409838</v>
      </c>
      <c r="W135" s="479">
        <f t="shared" si="48"/>
        <v>10116.111475409838</v>
      </c>
    </row>
    <row r="136" spans="1:23" s="7" customFormat="1" ht="12" customHeight="1" hidden="1" thickBot="1">
      <c r="A136" s="9"/>
      <c r="D136" s="9"/>
      <c r="E136" s="45"/>
      <c r="H136" s="141">
        <v>1.2</v>
      </c>
      <c r="I136" s="315">
        <f t="shared" si="42"/>
        <v>10471.35737704918</v>
      </c>
      <c r="J136" s="500">
        <v>10471.35737704918</v>
      </c>
      <c r="K136" s="500">
        <v>8179.698360655739</v>
      </c>
      <c r="L136" s="500">
        <v>7734.0262295081975</v>
      </c>
      <c r="M136" s="500">
        <v>5598.675409836066</v>
      </c>
      <c r="N136" s="500">
        <v>6004.301639344263</v>
      </c>
      <c r="O136" s="500">
        <v>3941.291803278689</v>
      </c>
      <c r="P136" s="500">
        <v>11143.095081967214</v>
      </c>
      <c r="Q136" s="500">
        <v>8726.131147540984</v>
      </c>
      <c r="R136" s="274">
        <f t="shared" si="43"/>
        <v>11143.095081967214</v>
      </c>
      <c r="S136" s="479">
        <f t="shared" si="44"/>
        <v>10471.35737704918</v>
      </c>
      <c r="T136" s="479">
        <f t="shared" si="45"/>
        <v>10471.35737704918</v>
      </c>
      <c r="U136" s="479">
        <f t="shared" si="46"/>
        <v>10471.35737704918</v>
      </c>
      <c r="V136" s="479">
        <f t="shared" si="47"/>
        <v>10471.35737704918</v>
      </c>
      <c r="W136" s="479">
        <f t="shared" si="48"/>
        <v>10471.35737704918</v>
      </c>
    </row>
    <row r="137" spans="1:23" s="7" customFormat="1" ht="12" customHeight="1" hidden="1">
      <c r="A137" s="9"/>
      <c r="D137" s="9"/>
      <c r="E137" s="45"/>
      <c r="H137" s="200"/>
      <c r="I137" s="497"/>
      <c r="J137" s="499"/>
      <c r="K137" s="499"/>
      <c r="L137" s="499"/>
      <c r="M137" s="499"/>
      <c r="N137" s="499"/>
      <c r="O137" s="499"/>
      <c r="P137" s="499"/>
      <c r="Q137" s="499"/>
      <c r="R137" s="498"/>
      <c r="S137" s="498"/>
      <c r="T137" s="498"/>
      <c r="U137" s="498"/>
      <c r="V137" s="498"/>
      <c r="W137" s="498"/>
    </row>
    <row r="138" spans="1:23" s="7" customFormat="1" ht="12" customHeight="1" hidden="1">
      <c r="A138" s="9"/>
      <c r="D138" s="9"/>
      <c r="E138" s="45"/>
      <c r="H138" s="200"/>
      <c r="I138" s="497"/>
      <c r="J138" s="499"/>
      <c r="K138" s="499"/>
      <c r="L138" s="499"/>
      <c r="M138" s="499"/>
      <c r="N138" s="499"/>
      <c r="O138" s="499"/>
      <c r="P138" s="499"/>
      <c r="Q138" s="499"/>
      <c r="R138" s="498"/>
      <c r="S138" s="498"/>
      <c r="T138" s="498"/>
      <c r="U138" s="498"/>
      <c r="V138" s="498"/>
      <c r="W138" s="498"/>
    </row>
    <row r="139" spans="1:23" s="7" customFormat="1" ht="12" customHeight="1" hidden="1">
      <c r="A139" s="9"/>
      <c r="D139" s="9"/>
      <c r="E139" s="45"/>
      <c r="H139" s="200"/>
      <c r="I139" s="497"/>
      <c r="J139" s="499"/>
      <c r="K139" s="499"/>
      <c r="L139" s="499"/>
      <c r="M139" s="499"/>
      <c r="N139" s="499"/>
      <c r="O139" s="499"/>
      <c r="P139" s="499"/>
      <c r="Q139" s="499"/>
      <c r="R139" s="498"/>
      <c r="S139" s="498"/>
      <c r="T139" s="498"/>
      <c r="U139" s="498"/>
      <c r="V139" s="498"/>
      <c r="W139" s="498"/>
    </row>
    <row r="140" spans="1:23" s="7" customFormat="1" ht="12" customHeight="1" hidden="1">
      <c r="A140" s="9"/>
      <c r="D140" s="9"/>
      <c r="E140" s="45"/>
      <c r="H140" s="200"/>
      <c r="I140" s="497"/>
      <c r="J140" s="499"/>
      <c r="K140" s="499"/>
      <c r="L140" s="499"/>
      <c r="M140" s="499"/>
      <c r="N140" s="499"/>
      <c r="O140" s="499"/>
      <c r="P140" s="499"/>
      <c r="Q140" s="499"/>
      <c r="R140" s="498"/>
      <c r="S140" s="498"/>
      <c r="T140" s="498"/>
      <c r="U140" s="498"/>
      <c r="V140" s="498"/>
      <c r="W140" s="498"/>
    </row>
    <row r="141" spans="1:23" s="7" customFormat="1" ht="11.25" customHeight="1" hidden="1">
      <c r="A141" s="9"/>
      <c r="D141" s="9"/>
      <c r="E141" s="45"/>
      <c r="H141" s="200"/>
      <c r="I141" s="497"/>
      <c r="J141" s="499"/>
      <c r="K141" s="499"/>
      <c r="L141" s="499"/>
      <c r="M141" s="499"/>
      <c r="N141" s="499"/>
      <c r="O141" s="499"/>
      <c r="P141" s="499"/>
      <c r="Q141" s="499"/>
      <c r="R141" s="498"/>
      <c r="S141" s="498"/>
      <c r="T141" s="498"/>
      <c r="U141" s="498"/>
      <c r="V141" s="498"/>
      <c r="W141" s="498"/>
    </row>
    <row r="142" spans="1:23" s="7" customFormat="1" ht="12" customHeight="1" hidden="1">
      <c r="A142" s="9"/>
      <c r="D142" s="9"/>
      <c r="E142" s="45"/>
      <c r="H142" s="200"/>
      <c r="I142" s="497"/>
      <c r="J142" s="499"/>
      <c r="K142" s="499"/>
      <c r="L142" s="499"/>
      <c r="M142" s="499"/>
      <c r="N142" s="499"/>
      <c r="O142" s="499"/>
      <c r="P142" s="499"/>
      <c r="Q142" s="499"/>
      <c r="R142" s="498"/>
      <c r="S142" s="498"/>
      <c r="T142" s="498"/>
      <c r="U142" s="498"/>
      <c r="V142" s="498"/>
      <c r="W142" s="498"/>
    </row>
    <row r="143" spans="1:23" s="7" customFormat="1" ht="17.25" customHeight="1" hidden="1">
      <c r="A143" s="9"/>
      <c r="D143" s="9"/>
      <c r="E143" s="45"/>
      <c r="H143" s="200"/>
      <c r="I143" s="497"/>
      <c r="J143" s="499"/>
      <c r="K143" s="499"/>
      <c r="L143" s="780">
        <f>12.5/1.334</f>
        <v>9.37031484257871</v>
      </c>
      <c r="M143" s="499"/>
      <c r="N143" s="499"/>
      <c r="O143" s="499"/>
      <c r="P143" s="781">
        <f>1.459/1.334-1</f>
        <v>0.09370314842578709</v>
      </c>
      <c r="Q143" s="499"/>
      <c r="R143" s="498"/>
      <c r="S143" s="498"/>
      <c r="T143" s="498"/>
      <c r="U143" s="498"/>
      <c r="V143" s="498"/>
      <c r="W143" s="498"/>
    </row>
    <row r="144" spans="1:23" s="7" customFormat="1" ht="12" customHeight="1" hidden="1">
      <c r="A144" s="9"/>
      <c r="D144" s="9"/>
      <c r="E144" s="45"/>
      <c r="H144" s="200"/>
      <c r="I144" s="497"/>
      <c r="J144" s="499"/>
      <c r="K144" s="499"/>
      <c r="L144" s="499"/>
      <c r="M144" s="499"/>
      <c r="N144" s="499"/>
      <c r="O144" s="499"/>
      <c r="P144" s="499"/>
      <c r="Q144" s="499"/>
      <c r="R144" s="498"/>
      <c r="S144" s="498"/>
      <c r="T144" s="498"/>
      <c r="U144" s="498"/>
      <c r="V144" s="498"/>
      <c r="W144" s="498"/>
    </row>
    <row r="145" spans="1:23" s="7" customFormat="1" ht="12" customHeight="1" hidden="1">
      <c r="A145" s="9"/>
      <c r="D145" s="9"/>
      <c r="E145" s="45"/>
      <c r="H145" s="200"/>
      <c r="I145" s="497"/>
      <c r="J145" s="499"/>
      <c r="K145" s="499"/>
      <c r="L145" s="499"/>
      <c r="M145" s="499"/>
      <c r="N145" s="499"/>
      <c r="O145" s="499"/>
      <c r="P145" s="499"/>
      <c r="Q145" s="499"/>
      <c r="R145" s="498"/>
      <c r="S145" s="498"/>
      <c r="T145" s="498"/>
      <c r="U145" s="498"/>
      <c r="V145" s="498"/>
      <c r="W145" s="498"/>
    </row>
    <row r="146" spans="1:23" s="7" customFormat="1" ht="12" customHeight="1" hidden="1">
      <c r="A146" s="9"/>
      <c r="D146" s="9"/>
      <c r="E146" s="45"/>
      <c r="H146" s="200"/>
      <c r="I146" s="497"/>
      <c r="J146" s="499"/>
      <c r="K146" s="499"/>
      <c r="L146" s="499"/>
      <c r="M146" s="499"/>
      <c r="N146" s="499"/>
      <c r="O146" s="499"/>
      <c r="P146" s="499"/>
      <c r="Q146" s="499"/>
      <c r="R146" s="498"/>
      <c r="S146" s="498"/>
      <c r="T146" s="498"/>
      <c r="U146" s="498"/>
      <c r="V146" s="498"/>
      <c r="W146" s="498"/>
    </row>
    <row r="147" spans="1:27" s="7" customFormat="1" ht="12" customHeight="1" hidden="1">
      <c r="A147" s="9"/>
      <c r="B147" s="9"/>
      <c r="C147" s="9"/>
      <c r="D147" s="9"/>
      <c r="E147" s="3"/>
      <c r="H147" s="9"/>
      <c r="I147" s="45"/>
      <c r="L147" s="200"/>
      <c r="M147" s="497"/>
      <c r="N147" s="499"/>
      <c r="O147" s="499"/>
      <c r="P147" s="499"/>
      <c r="Q147" s="499"/>
      <c r="R147" s="499"/>
      <c r="S147" s="499"/>
      <c r="T147" s="499"/>
      <c r="U147" s="499"/>
      <c r="V147" s="498"/>
      <c r="W147" s="498"/>
      <c r="X147" s="498"/>
      <c r="Y147" s="498"/>
      <c r="Z147" s="498"/>
      <c r="AA147" s="498"/>
    </row>
    <row r="148" spans="1:27" s="7" customFormat="1" ht="12" customHeight="1" hidden="1">
      <c r="A148" s="9"/>
      <c r="B148" s="9"/>
      <c r="C148" s="9"/>
      <c r="D148" s="9"/>
      <c r="E148" s="3"/>
      <c r="H148" s="9"/>
      <c r="I148" s="45"/>
      <c r="L148" s="200"/>
      <c r="M148" s="497"/>
      <c r="N148" s="499"/>
      <c r="O148" s="499"/>
      <c r="P148" s="499"/>
      <c r="Q148" s="499"/>
      <c r="R148" s="499"/>
      <c r="S148" s="499"/>
      <c r="T148" s="499"/>
      <c r="U148" s="499"/>
      <c r="V148" s="498"/>
      <c r="W148" s="498"/>
      <c r="X148" s="498"/>
      <c r="Y148" s="498"/>
      <c r="Z148" s="498"/>
      <c r="AA148" s="498"/>
    </row>
    <row r="149" spans="1:27" s="7" customFormat="1" ht="12" customHeight="1" hidden="1" thickBot="1">
      <c r="A149" s="9"/>
      <c r="B149" s="9"/>
      <c r="C149" s="9"/>
      <c r="D149" s="9"/>
      <c r="E149" s="3"/>
      <c r="H149" s="9"/>
      <c r="I149" s="45"/>
      <c r="L149" s="200"/>
      <c r="M149" s="497"/>
      <c r="N149" s="499"/>
      <c r="O149" s="499"/>
      <c r="P149" s="499"/>
      <c r="Q149" s="499"/>
      <c r="R149" s="499"/>
      <c r="S149" s="499"/>
      <c r="T149" s="499"/>
      <c r="U149" s="499"/>
      <c r="V149" s="498"/>
      <c r="W149" s="498"/>
      <c r="X149" s="498"/>
      <c r="Y149" s="498"/>
      <c r="Z149" s="498"/>
      <c r="AA149" s="498"/>
    </row>
    <row r="150" spans="1:16" ht="12" customHeight="1" hidden="1" thickBot="1" thickTop="1">
      <c r="A150" s="6"/>
      <c r="B150" s="6"/>
      <c r="C150" s="6"/>
      <c r="D150" s="6"/>
      <c r="E150" s="5"/>
      <c r="F150" s="323"/>
      <c r="G150" s="324"/>
      <c r="H150" s="325"/>
      <c r="I150" s="326"/>
      <c r="J150" s="324"/>
      <c r="K150" s="324"/>
      <c r="L150" s="327"/>
      <c r="M150" s="328"/>
      <c r="N150" s="328"/>
      <c r="O150" s="328"/>
      <c r="P150" s="328"/>
    </row>
    <row r="151" spans="1:16" ht="17.25" customHeight="1" hidden="1" thickTop="1">
      <c r="A151" s="116"/>
      <c r="B151" s="6"/>
      <c r="C151" s="6"/>
      <c r="D151" s="6"/>
      <c r="E151" s="5"/>
      <c r="F151" s="329"/>
      <c r="G151" s="330" t="s">
        <v>403</v>
      </c>
      <c r="H151" s="331">
        <v>0.18</v>
      </c>
      <c r="I151" s="332" t="s">
        <v>398</v>
      </c>
      <c r="J151" s="333" t="e">
        <f>indicejul12*(1+H151)</f>
        <v>#NAME?</v>
      </c>
      <c r="K151" s="339"/>
      <c r="L151" s="334"/>
      <c r="M151" s="335"/>
      <c r="N151" s="334" t="s">
        <v>405</v>
      </c>
      <c r="O151" s="373"/>
      <c r="P151" s="335">
        <v>0.24</v>
      </c>
    </row>
    <row r="152" spans="1:16" ht="22.5" customHeight="1" hidden="1">
      <c r="A152" s="203" t="s">
        <v>426</v>
      </c>
      <c r="B152" s="6"/>
      <c r="C152" s="6"/>
      <c r="D152" s="6"/>
      <c r="E152" s="5"/>
      <c r="F152" s="336"/>
      <c r="G152" s="337" t="s">
        <v>397</v>
      </c>
      <c r="H152" s="338">
        <v>0.2</v>
      </c>
      <c r="I152" s="339" t="s">
        <v>399</v>
      </c>
      <c r="J152" s="340" t="e">
        <f>indiceproljorjul12*(1+H152)</f>
        <v>#NAME?</v>
      </c>
      <c r="K152" s="339"/>
      <c r="L152" s="341"/>
      <c r="M152" s="335"/>
      <c r="N152" s="341" t="s">
        <v>406</v>
      </c>
      <c r="O152" s="401"/>
      <c r="P152" s="335">
        <v>0.26</v>
      </c>
    </row>
    <row r="153" spans="4:16" ht="21.75" customHeight="1" hidden="1" thickBot="1">
      <c r="D153" s="6"/>
      <c r="E153" s="5"/>
      <c r="F153" s="336"/>
      <c r="G153" s="342" t="s">
        <v>400</v>
      </c>
      <c r="H153" s="343">
        <v>0.16</v>
      </c>
      <c r="I153" s="321" t="s">
        <v>401</v>
      </c>
      <c r="J153" s="294">
        <f>1+H153</f>
        <v>1.16</v>
      </c>
      <c r="K153" s="403"/>
      <c r="L153" s="341"/>
      <c r="M153" s="344"/>
      <c r="N153" s="341" t="s">
        <v>407</v>
      </c>
      <c r="O153" s="401"/>
      <c r="P153" s="335" t="e">
        <f>aum062013*1.07</f>
        <v>#NAME?</v>
      </c>
    </row>
    <row r="154" spans="2:36" ht="14.25" customHeight="1" hidden="1" thickBot="1" thickTop="1">
      <c r="B154" s="10"/>
      <c r="C154" s="10"/>
      <c r="D154" s="3"/>
      <c r="E154" s="5"/>
      <c r="F154" s="295"/>
      <c r="G154" s="296"/>
      <c r="H154" s="297"/>
      <c r="I154" s="298"/>
      <c r="J154" s="296"/>
      <c r="K154" s="296"/>
      <c r="L154" s="299"/>
      <c r="U154" s="279"/>
      <c r="V154" s="279"/>
      <c r="W154" s="279"/>
      <c r="X154" s="278"/>
      <c r="AA154" s="199" t="e">
        <f>SUM(#REF!)</f>
        <v>#REF!</v>
      </c>
      <c r="AC154" s="3"/>
      <c r="AD154" s="3"/>
      <c r="AE154" s="3"/>
      <c r="AF154" s="180"/>
      <c r="AG154" s="181"/>
      <c r="AH154" s="3"/>
      <c r="AI154" s="182"/>
      <c r="AJ154" s="3"/>
    </row>
    <row r="155" spans="2:36" ht="23.25" customHeight="1" hidden="1" thickTop="1">
      <c r="B155" s="196"/>
      <c r="C155" s="197"/>
      <c r="D155" s="198"/>
      <c r="F155" s="290" t="s">
        <v>396</v>
      </c>
      <c r="G155" s="291"/>
      <c r="H155" s="291"/>
      <c r="I155" s="292"/>
      <c r="J155" s="293"/>
      <c r="K155" s="292"/>
      <c r="U155" s="276"/>
      <c r="V155" s="276"/>
      <c r="W155" s="276"/>
      <c r="X155" s="278"/>
      <c r="AA155" s="199"/>
      <c r="AC155" s="3"/>
      <c r="AD155" s="3"/>
      <c r="AE155" s="3"/>
      <c r="AF155" s="180"/>
      <c r="AG155" s="181"/>
      <c r="AH155" s="3"/>
      <c r="AI155" s="182"/>
      <c r="AJ155" s="3"/>
    </row>
    <row r="156" spans="2:37" ht="18" customHeight="1" hidden="1" thickBot="1">
      <c r="B156" s="189"/>
      <c r="C156" s="272"/>
      <c r="D156" s="5"/>
      <c r="F156" s="300" t="s">
        <v>404</v>
      </c>
      <c r="G156" s="272"/>
      <c r="H156" s="12"/>
      <c r="I156" s="6"/>
      <c r="J156" s="190"/>
      <c r="K156" s="5"/>
      <c r="AH156" s="3"/>
      <c r="AI156" s="3"/>
      <c r="AJ156" s="3"/>
      <c r="AK156" s="183"/>
    </row>
    <row r="157" spans="2:39" ht="18" customHeight="1" hidden="1" thickBot="1">
      <c r="B157" s="5"/>
      <c r="C157" s="171"/>
      <c r="D157" s="5"/>
      <c r="F157" s="287" t="s">
        <v>402</v>
      </c>
      <c r="G157" s="288"/>
      <c r="H157" s="289"/>
      <c r="I157" s="6"/>
      <c r="J157" s="190"/>
      <c r="K157" s="5"/>
      <c r="W157" s="155" t="s">
        <v>292</v>
      </c>
      <c r="Z157" s="135"/>
      <c r="AA157" s="97"/>
      <c r="AB157" s="155" t="s">
        <v>292</v>
      </c>
      <c r="AE157" s="155" t="s">
        <v>292</v>
      </c>
      <c r="AH157" s="135"/>
      <c r="AI157" s="186"/>
      <c r="AJ157" s="3"/>
      <c r="AK157" s="187"/>
      <c r="AL157" s="3"/>
      <c r="AM157" s="184"/>
    </row>
    <row r="158" spans="2:31" ht="20.25" customHeight="1" hidden="1">
      <c r="B158" s="191"/>
      <c r="Z158" s="3"/>
      <c r="AA158" s="3"/>
      <c r="AB158" s="3"/>
      <c r="AC158" s="3"/>
      <c r="AD158" s="176"/>
      <c r="AE158" s="184"/>
    </row>
    <row r="159" spans="2:13" ht="18" customHeight="1" hidden="1">
      <c r="B159" s="1" t="s">
        <v>492</v>
      </c>
      <c r="C159" s="1">
        <v>7.0516</v>
      </c>
      <c r="D159" s="1" t="s">
        <v>497</v>
      </c>
      <c r="E159" s="1">
        <v>7.7568</v>
      </c>
      <c r="F159" s="1" t="s">
        <v>499</v>
      </c>
      <c r="G159" s="1">
        <v>8.603</v>
      </c>
      <c r="H159" s="1" t="s">
        <v>514</v>
      </c>
      <c r="I159" s="769">
        <v>9.4068</v>
      </c>
      <c r="J159" s="4" t="s">
        <v>517</v>
      </c>
      <c r="K159" s="769">
        <v>10.2883</v>
      </c>
      <c r="L159" s="4" t="s">
        <v>529</v>
      </c>
      <c r="M159" s="769">
        <v>11.1133</v>
      </c>
    </row>
    <row r="160" spans="2:13" ht="19.5" customHeight="1" hidden="1">
      <c r="B160" s="387" t="s">
        <v>493</v>
      </c>
      <c r="C160" s="1">
        <v>12.1848</v>
      </c>
      <c r="D160" s="387" t="s">
        <v>498</v>
      </c>
      <c r="E160" s="1">
        <v>13.4033</v>
      </c>
      <c r="F160" s="387" t="s">
        <v>500</v>
      </c>
      <c r="G160" s="1">
        <v>14.8655</v>
      </c>
      <c r="H160" s="387" t="s">
        <v>515</v>
      </c>
      <c r="I160" s="769">
        <v>16.2545</v>
      </c>
      <c r="J160" s="387" t="s">
        <v>518</v>
      </c>
      <c r="K160" s="769">
        <v>17.7776</v>
      </c>
      <c r="L160" s="387" t="s">
        <v>530</v>
      </c>
      <c r="M160" s="769">
        <v>19.2032</v>
      </c>
    </row>
    <row r="161" spans="2:12" ht="19.5" customHeight="1" hidden="1">
      <c r="B161" s="387"/>
      <c r="D161" s="387"/>
      <c r="F161" s="387"/>
      <c r="H161" s="387"/>
      <c r="I161" s="769"/>
      <c r="J161" s="387"/>
      <c r="K161" s="769"/>
      <c r="L161" s="387"/>
    </row>
    <row r="162" spans="2:12" ht="19.5" customHeight="1" hidden="1">
      <c r="B162" s="387" t="s">
        <v>519</v>
      </c>
      <c r="C162" s="1">
        <v>113.3</v>
      </c>
      <c r="D162" s="387"/>
      <c r="F162" s="387"/>
      <c r="H162" s="387"/>
      <c r="I162" s="769"/>
      <c r="J162" s="387"/>
      <c r="K162" s="769"/>
      <c r="L162" s="387"/>
    </row>
    <row r="163" spans="2:12" ht="19.5" customHeight="1" hidden="1">
      <c r="B163" s="387" t="s">
        <v>520</v>
      </c>
      <c r="C163" s="1">
        <v>90.85</v>
      </c>
      <c r="D163" s="387"/>
      <c r="F163" s="387"/>
      <c r="H163" s="387"/>
      <c r="I163" s="769"/>
      <c r="J163" s="387"/>
      <c r="K163" s="769"/>
      <c r="L163" s="387"/>
    </row>
    <row r="164" spans="2:12" ht="19.5" customHeight="1" hidden="1">
      <c r="B164" s="387" t="s">
        <v>521</v>
      </c>
      <c r="D164" s="387"/>
      <c r="F164" s="387"/>
      <c r="H164" s="387"/>
      <c r="I164" s="769"/>
      <c r="J164" s="387"/>
      <c r="K164" s="769"/>
      <c r="L164" s="387"/>
    </row>
    <row r="165" spans="2:12" ht="19.5" customHeight="1" hidden="1">
      <c r="B165" s="387" t="s">
        <v>522</v>
      </c>
      <c r="D165" s="387"/>
      <c r="F165" s="387"/>
      <c r="H165" s="387"/>
      <c r="I165" s="769"/>
      <c r="J165" s="387"/>
      <c r="K165" s="769"/>
      <c r="L165" s="387"/>
    </row>
    <row r="166" spans="2:12" ht="19.5" customHeight="1" hidden="1">
      <c r="B166" s="387" t="s">
        <v>523</v>
      </c>
      <c r="D166" s="387"/>
      <c r="F166" s="387"/>
      <c r="H166" s="387"/>
      <c r="I166" s="769"/>
      <c r="J166" s="387"/>
      <c r="K166" s="769"/>
      <c r="L166" s="387"/>
    </row>
    <row r="167" spans="2:12" ht="19.5" customHeight="1" hidden="1">
      <c r="B167" s="387" t="s">
        <v>524</v>
      </c>
      <c r="D167" s="387"/>
      <c r="F167" s="387"/>
      <c r="H167" s="387"/>
      <c r="I167" s="769"/>
      <c r="J167" s="387"/>
      <c r="K167" s="769"/>
      <c r="L167" s="387"/>
    </row>
    <row r="168" spans="2:12" ht="19.5" customHeight="1" hidden="1">
      <c r="B168" s="387" t="s">
        <v>525</v>
      </c>
      <c r="D168" s="387"/>
      <c r="F168" s="387"/>
      <c r="H168" s="387"/>
      <c r="I168" s="769"/>
      <c r="J168" s="387"/>
      <c r="K168" s="769"/>
      <c r="L168" s="387"/>
    </row>
    <row r="169" ht="20.25" customHeight="1">
      <c r="A169" s="148"/>
    </row>
    <row r="170" spans="1:2" ht="18" customHeight="1">
      <c r="A170" s="150"/>
      <c r="B170" s="9"/>
    </row>
    <row r="171" spans="1:17" ht="12.75">
      <c r="A171" s="147"/>
      <c r="G171" s="174"/>
      <c r="Q171" s="174"/>
    </row>
    <row r="172" ht="12.75"/>
    <row r="173" spans="1:17" ht="27">
      <c r="A173" s="174"/>
      <c r="C173" s="155" t="s">
        <v>292</v>
      </c>
      <c r="D173" s="174"/>
      <c r="E173" s="63"/>
      <c r="J173" s="200"/>
      <c r="K173" s="200"/>
      <c r="L173" s="10"/>
      <c r="M173" s="276"/>
      <c r="N173" s="319"/>
      <c r="O173" s="319"/>
      <c r="P173" s="319"/>
      <c r="Q173" s="320"/>
    </row>
    <row r="174" spans="1:17" ht="21" thickBot="1">
      <c r="A174" s="202" t="s">
        <v>374</v>
      </c>
      <c r="C174" s="62"/>
      <c r="E174" s="63"/>
      <c r="I174" s="5"/>
      <c r="J174" s="194"/>
      <c r="K174" s="194"/>
      <c r="L174" s="10"/>
      <c r="M174" s="276"/>
      <c r="N174" s="276"/>
      <c r="O174" s="276"/>
      <c r="P174" s="317"/>
      <c r="Q174" s="320"/>
    </row>
    <row r="175" spans="1:17" ht="18">
      <c r="A175" s="64" t="s">
        <v>17</v>
      </c>
      <c r="B175" s="64" t="s">
        <v>291</v>
      </c>
      <c r="C175" s="64" t="s">
        <v>290</v>
      </c>
      <c r="D175" s="424" t="s">
        <v>288</v>
      </c>
      <c r="E175" s="423" t="s">
        <v>289</v>
      </c>
      <c r="F175" s="378" t="s">
        <v>469</v>
      </c>
      <c r="G175" s="146" t="s">
        <v>470</v>
      </c>
      <c r="H175" s="146" t="s">
        <v>391</v>
      </c>
      <c r="I175" s="5"/>
      <c r="L175" s="276"/>
      <c r="M175" s="318"/>
      <c r="N175" s="318"/>
      <c r="O175" s="318"/>
      <c r="P175" s="318"/>
      <c r="Q175" s="320"/>
    </row>
    <row r="176" spans="1:19" ht="18.75" thickBot="1">
      <c r="A176" s="114">
        <v>749</v>
      </c>
      <c r="B176" s="65">
        <f>LOOKUP(A176,numcargo,punbascargo)</f>
        <v>971</v>
      </c>
      <c r="C176" s="65">
        <f>LOOKUP(A176,numcargo,puntardifcargo)</f>
        <v>0</v>
      </c>
      <c r="D176" s="425">
        <f>LOOKUP(A176,numcargo,punproljorcargo)</f>
        <v>0</v>
      </c>
      <c r="E176" s="423">
        <f>LOOKUP(A176,numcargo,Cargos!R3:R336)</f>
        <v>0</v>
      </c>
      <c r="F176" s="377">
        <f>LOOKUP(A176,numcargo,compbas15)</f>
        <v>350</v>
      </c>
      <c r="G176" s="313">
        <f>LOOKUP(A176,numcargo,adicdir2014)</f>
        <v>0</v>
      </c>
      <c r="H176" s="64">
        <f>IF(AND(D180=1,LOOKUP(A176,numcargo,adicnina)&gt;0),LOOKUP(A176,numcargo,adicnina),0)</f>
        <v>0</v>
      </c>
      <c r="L176" s="276"/>
      <c r="M176" s="276"/>
      <c r="N176" s="276"/>
      <c r="O176" s="276"/>
      <c r="P176" s="276"/>
      <c r="Q176" s="320"/>
      <c r="R176" s="9"/>
      <c r="S176" s="9"/>
    </row>
    <row r="177" spans="1:19" ht="19.5" customHeight="1" thickBot="1">
      <c r="A177" s="195" t="s">
        <v>345</v>
      </c>
      <c r="B177" s="173"/>
      <c r="C177" s="49" t="str">
        <f>LOOKUP(A176,numcargo,nombrecargo)</f>
        <v> MAESTRO DE GRADO</v>
      </c>
      <c r="D177" s="426"/>
      <c r="E177" s="285"/>
      <c r="F177" s="378" t="s">
        <v>469</v>
      </c>
      <c r="G177" s="146" t="s">
        <v>472</v>
      </c>
      <c r="L177" s="276"/>
      <c r="M177" s="276"/>
      <c r="N177" s="276"/>
      <c r="O177" s="276"/>
      <c r="P177" s="276"/>
      <c r="Q177" s="320"/>
      <c r="R177" s="9"/>
      <c r="S177" s="9"/>
    </row>
    <row r="178" spans="1:17" ht="21" thickBot="1">
      <c r="A178" s="119" t="s">
        <v>346</v>
      </c>
      <c r="D178" s="427"/>
      <c r="F178" s="377">
        <f>LOOKUP(A176,numcargo,compbas16)</f>
        <v>414.7</v>
      </c>
      <c r="G178" s="313">
        <f>LOOKUP(A176,numcargo,adicdir2016)</f>
        <v>0</v>
      </c>
      <c r="M178" s="276"/>
      <c r="N178" s="276"/>
      <c r="O178" s="276"/>
      <c r="P178" s="276"/>
      <c r="Q178" s="278"/>
    </row>
    <row r="179" spans="1:21" ht="21" thickBot="1">
      <c r="A179" s="482"/>
      <c r="B179" s="174"/>
      <c r="C179" s="174"/>
      <c r="D179" s="427"/>
      <c r="L179" s="276"/>
      <c r="M179" s="276"/>
      <c r="N179" s="276"/>
      <c r="O179" s="276"/>
      <c r="P179" s="276"/>
      <c r="Q179" s="278"/>
      <c r="R179" s="455"/>
      <c r="T179" s="278"/>
      <c r="U179" s="455"/>
    </row>
    <row r="180" spans="2:41" ht="21" thickBot="1">
      <c r="B180" s="400" t="s">
        <v>476</v>
      </c>
      <c r="C180" s="277"/>
      <c r="D180" s="428">
        <v>0</v>
      </c>
      <c r="E180" s="63" t="s">
        <v>390</v>
      </c>
      <c r="P180" s="170"/>
      <c r="AN180" s="185"/>
      <c r="AO180" s="3"/>
    </row>
    <row r="181" spans="2:24" ht="27" customHeight="1" thickBot="1">
      <c r="B181" s="93" t="s">
        <v>319</v>
      </c>
      <c r="C181" s="42"/>
      <c r="D181" s="429">
        <v>0</v>
      </c>
      <c r="F181" s="134"/>
      <c r="G181" s="135"/>
      <c r="W181" s="188"/>
      <c r="X181" s="3"/>
    </row>
    <row r="182" spans="2:24" ht="17.25" thickBot="1" thickTop="1">
      <c r="B182" s="5"/>
      <c r="C182" s="5"/>
      <c r="D182" s="66">
        <f>LOOKUP(D181,escalaañosantig,escalaporcantig)</f>
        <v>0</v>
      </c>
      <c r="E182" s="800" t="s">
        <v>533</v>
      </c>
      <c r="W182" s="177"/>
      <c r="X182" s="3"/>
    </row>
    <row r="183" spans="2:31" ht="21.75" thickBot="1" thickTop="1">
      <c r="B183" s="386" t="s">
        <v>394</v>
      </c>
      <c r="C183" s="322"/>
      <c r="D183" s="799">
        <v>0</v>
      </c>
      <c r="E183" s="801">
        <f>F223</f>
        <v>1755.9999999999927</v>
      </c>
      <c r="F183" s="174"/>
      <c r="AD183" s="177"/>
      <c r="AE183" s="3"/>
    </row>
    <row r="184" spans="2:31" ht="17.25" thickBot="1" thickTop="1">
      <c r="B184" s="356"/>
      <c r="C184" s="3"/>
      <c r="D184" s="431"/>
      <c r="E184" s="174"/>
      <c r="AD184" s="177"/>
      <c r="AE184" s="3"/>
    </row>
    <row r="185" spans="2:31" ht="18.75" thickBot="1">
      <c r="B185" s="131" t="s">
        <v>5</v>
      </c>
      <c r="C185" s="131"/>
      <c r="D185" s="490">
        <f>PUNTOSbasicos</f>
        <v>971</v>
      </c>
      <c r="E185" s="68" t="s">
        <v>327</v>
      </c>
      <c r="F185" s="69"/>
      <c r="G185" s="614">
        <f>E176+D176</f>
        <v>0</v>
      </c>
      <c r="AD185" s="179"/>
      <c r="AE185" s="3"/>
    </row>
    <row r="186" spans="2:31" s="516" customFormat="1" ht="15.75">
      <c r="B186" s="611"/>
      <c r="C186" s="612"/>
      <c r="D186" s="613"/>
      <c r="E186" s="526"/>
      <c r="F186" s="527"/>
      <c r="G186" s="201"/>
      <c r="J186" s="488"/>
      <c r="AD186" s="498"/>
      <c r="AE186" s="10"/>
    </row>
    <row r="187" spans="2:22" ht="33.75" thickBot="1">
      <c r="B187" s="483"/>
      <c r="C187" s="484"/>
      <c r="D187" s="485"/>
      <c r="E187" s="795" t="s">
        <v>528</v>
      </c>
      <c r="F187" s="795"/>
      <c r="G187" s="796"/>
      <c r="H187" s="777" t="s">
        <v>516</v>
      </c>
      <c r="I187" s="778"/>
      <c r="J187" s="779"/>
      <c r="K187" s="767" t="s">
        <v>513</v>
      </c>
      <c r="L187" s="768"/>
      <c r="M187" s="372"/>
      <c r="N187" s="759" t="s">
        <v>502</v>
      </c>
      <c r="O187" s="760"/>
      <c r="P187" s="372"/>
      <c r="Q187" s="761" t="s">
        <v>501</v>
      </c>
      <c r="R187" s="762"/>
      <c r="S187" s="745"/>
      <c r="T187" s="494" t="s">
        <v>495</v>
      </c>
      <c r="U187" s="495"/>
      <c r="V187" s="745"/>
    </row>
    <row r="188" spans="2:22" s="7" customFormat="1" ht="13.5" thickBot="1">
      <c r="B188" s="536" t="s">
        <v>349</v>
      </c>
      <c r="C188" s="537" t="s">
        <v>348</v>
      </c>
      <c r="D188" s="538" t="s">
        <v>320</v>
      </c>
      <c r="E188" s="537" t="s">
        <v>321</v>
      </c>
      <c r="F188" s="539" t="s">
        <v>322</v>
      </c>
      <c r="G188" s="372"/>
      <c r="H188" s="537" t="s">
        <v>321</v>
      </c>
      <c r="I188" s="539" t="s">
        <v>322</v>
      </c>
      <c r="J188" s="372"/>
      <c r="K188" s="537" t="s">
        <v>321</v>
      </c>
      <c r="L188" s="539" t="s">
        <v>322</v>
      </c>
      <c r="M188" s="372"/>
      <c r="N188" s="537" t="s">
        <v>321</v>
      </c>
      <c r="O188" s="539" t="s">
        <v>322</v>
      </c>
      <c r="P188" s="372"/>
      <c r="Q188" s="537" t="s">
        <v>321</v>
      </c>
      <c r="R188" s="539" t="s">
        <v>322</v>
      </c>
      <c r="S188" s="746"/>
      <c r="T188" s="537" t="s">
        <v>321</v>
      </c>
      <c r="U188" s="539" t="s">
        <v>322</v>
      </c>
      <c r="V188" s="746"/>
    </row>
    <row r="189" spans="1:22" s="7" customFormat="1" ht="12.75">
      <c r="A189" s="389"/>
      <c r="B189" s="582" t="s">
        <v>297</v>
      </c>
      <c r="C189" s="615"/>
      <c r="D189" s="632" t="s">
        <v>298</v>
      </c>
      <c r="E189" s="648">
        <f>punbascar*indiceene20</f>
        <v>10791.0143</v>
      </c>
      <c r="F189" s="649"/>
      <c r="G189" s="388"/>
      <c r="H189" s="648">
        <f>punbascar*indiceoct19</f>
        <v>9989.9393</v>
      </c>
      <c r="I189" s="649"/>
      <c r="J189" s="388"/>
      <c r="K189" s="648">
        <f>punbascar*indicejul19</f>
        <v>9134.0028</v>
      </c>
      <c r="L189" s="649"/>
      <c r="M189" s="388"/>
      <c r="N189" s="648">
        <f>punbascar*indicemay19</f>
        <v>8353.512999999999</v>
      </c>
      <c r="O189" s="649"/>
      <c r="P189" s="388"/>
      <c r="Q189" s="583">
        <f>punbascar*indicemar19</f>
        <v>7531.852800000001</v>
      </c>
      <c r="R189" s="583"/>
      <c r="S189" s="747"/>
      <c r="T189" s="648">
        <f>punbascar*indicedic18</f>
        <v>6847.1035999999995</v>
      </c>
      <c r="U189" s="649"/>
      <c r="V189" s="747"/>
    </row>
    <row r="190" spans="1:22" s="7" customFormat="1" ht="12.75">
      <c r="A190" s="389"/>
      <c r="B190" s="572" t="s">
        <v>371</v>
      </c>
      <c r="C190" s="616"/>
      <c r="D190" s="633" t="s">
        <v>368</v>
      </c>
      <c r="E190" s="650">
        <f>compbas2016*indiceene20</f>
        <v>4608.68551</v>
      </c>
      <c r="F190" s="651"/>
      <c r="G190" s="416"/>
      <c r="H190" s="650">
        <f>compbas2016*indiceoct19</f>
        <v>4266.55801</v>
      </c>
      <c r="I190" s="651"/>
      <c r="J190" s="416"/>
      <c r="K190" s="650">
        <f>compbas2016*indicejul19</f>
        <v>3900.99996</v>
      </c>
      <c r="L190" s="651"/>
      <c r="M190" s="416"/>
      <c r="N190" s="650">
        <f>compbas2016*indicemay19</f>
        <v>3567.6641</v>
      </c>
      <c r="O190" s="651"/>
      <c r="P190" s="416"/>
      <c r="Q190" s="585">
        <f>compbas2016*indicemar19</f>
        <v>3216.74496</v>
      </c>
      <c r="R190" s="586"/>
      <c r="S190" s="748"/>
      <c r="T190" s="650">
        <f>compbas2016*indicedic18</f>
        <v>2924.29852</v>
      </c>
      <c r="U190" s="651"/>
      <c r="V190" s="748"/>
    </row>
    <row r="191" spans="1:22" s="7" customFormat="1" ht="12.75">
      <c r="A191" s="389"/>
      <c r="B191" s="587" t="s">
        <v>433</v>
      </c>
      <c r="C191" s="617"/>
      <c r="D191" s="634" t="s">
        <v>378</v>
      </c>
      <c r="E191" s="652">
        <f>compdir16*indiceene20</f>
        <v>0</v>
      </c>
      <c r="F191" s="653"/>
      <c r="G191" s="416"/>
      <c r="H191" s="652">
        <f>compdir16*indiceoct19</f>
        <v>0</v>
      </c>
      <c r="I191" s="653"/>
      <c r="J191" s="416"/>
      <c r="K191" s="652">
        <f>compdir16*indicejul19</f>
        <v>0</v>
      </c>
      <c r="L191" s="653"/>
      <c r="M191" s="416"/>
      <c r="N191" s="652">
        <f>compdir16*indicemay19</f>
        <v>0</v>
      </c>
      <c r="O191" s="653"/>
      <c r="P191" s="416"/>
      <c r="Q191" s="588">
        <f>compdir16*indicemar19</f>
        <v>0</v>
      </c>
      <c r="R191" s="589"/>
      <c r="S191" s="748"/>
      <c r="T191" s="652">
        <f>compdir16*indicedic18</f>
        <v>0</v>
      </c>
      <c r="U191" s="653"/>
      <c r="V191" s="748"/>
    </row>
    <row r="192" spans="1:22" s="7" customFormat="1" ht="12.75">
      <c r="A192" s="389"/>
      <c r="B192" s="572" t="s">
        <v>427</v>
      </c>
      <c r="C192" s="618"/>
      <c r="D192" s="633" t="s">
        <v>428</v>
      </c>
      <c r="E192" s="654">
        <f>puntosadicnina*indiceproljorene20</f>
        <v>0</v>
      </c>
      <c r="F192" s="655"/>
      <c r="G192" s="416"/>
      <c r="H192" s="654">
        <f>puntosadicnina*indiceproljoroct19</f>
        <v>0</v>
      </c>
      <c r="I192" s="655"/>
      <c r="J192" s="416"/>
      <c r="K192" s="654">
        <f>puntosadicnina*indiceproljorjul19</f>
        <v>0</v>
      </c>
      <c r="L192" s="655"/>
      <c r="M192" s="416"/>
      <c r="N192" s="654">
        <f>puntosadicnina*indiceproljormay19</f>
        <v>0</v>
      </c>
      <c r="O192" s="655"/>
      <c r="P192" s="416"/>
      <c r="Q192" s="590">
        <f>puntosadicnina*indiceproljormar19</f>
        <v>0</v>
      </c>
      <c r="R192" s="585"/>
      <c r="S192" s="748"/>
      <c r="T192" s="654">
        <f>puntosadicnina*indiceproljordic18</f>
        <v>0</v>
      </c>
      <c r="U192" s="655"/>
      <c r="V192" s="748"/>
    </row>
    <row r="193" spans="1:22" s="7" customFormat="1" ht="12.75">
      <c r="A193" s="389"/>
      <c r="B193" s="44" t="s">
        <v>301</v>
      </c>
      <c r="C193" s="619"/>
      <c r="D193" s="635" t="s">
        <v>328</v>
      </c>
      <c r="E193" s="656">
        <f>LOOKUP(porantigcargo,porant,codigo06cargosene20)</f>
        <v>4308.16393442623</v>
      </c>
      <c r="F193" s="653"/>
      <c r="G193" s="418"/>
      <c r="H193" s="656">
        <f>LOOKUP(porantigcargo,porant,codigo06cargosoct19)</f>
        <v>3988.331967213115</v>
      </c>
      <c r="I193" s="653"/>
      <c r="J193" s="418"/>
      <c r="K193" s="656">
        <f>LOOKUP(porantigcargo,porant,codigo06cargosjul19)</f>
        <v>3646.631147540984</v>
      </c>
      <c r="L193" s="653"/>
      <c r="M193" s="418"/>
      <c r="N193" s="656">
        <f>LOOKUP(porantigcargo,porant,codigo06cargosmay19)</f>
        <v>3335</v>
      </c>
      <c r="O193" s="653"/>
      <c r="P193" s="418"/>
      <c r="Q193" s="656">
        <f>LOOKUP(porantigcargo,porant,codigo06cargosmar19)</f>
        <v>3007</v>
      </c>
      <c r="R193" s="589"/>
      <c r="S193" s="749"/>
      <c r="T193" s="656">
        <f>LOOKUP(porantigcargo,porant,codigo06cargosdic18)</f>
        <v>2733</v>
      </c>
      <c r="U193" s="653"/>
      <c r="V193" s="749"/>
    </row>
    <row r="194" spans="1:22" s="7" customFormat="1" ht="12.75">
      <c r="A194" s="389"/>
      <c r="B194" s="568" t="s">
        <v>296</v>
      </c>
      <c r="C194" s="620">
        <f>porantigcargo</f>
        <v>0</v>
      </c>
      <c r="D194" s="636" t="s">
        <v>0</v>
      </c>
      <c r="E194" s="650">
        <f>(E189+E190+E191+E192+E197+E198)*porantigcargo</f>
        <v>0</v>
      </c>
      <c r="F194" s="655"/>
      <c r="G194" s="610"/>
      <c r="H194" s="650">
        <f>(H189+H190+H191+H192+H197+H198)*porantigcargo</f>
        <v>0</v>
      </c>
      <c r="I194" s="655"/>
      <c r="J194" s="610"/>
      <c r="K194" s="650">
        <f>(K189+K190+K191+K192+K197+K198)*porantigcargo</f>
        <v>0</v>
      </c>
      <c r="L194" s="655"/>
      <c r="M194" s="610"/>
      <c r="N194" s="650">
        <f>(N189+N190+N191+N192+N197+N198)*porantigcargo</f>
        <v>0</v>
      </c>
      <c r="O194" s="655"/>
      <c r="P194" s="610"/>
      <c r="Q194" s="585">
        <f>(Q189+Q190+Q191+Q192+Q197+Q198)*porantigcargo</f>
        <v>0</v>
      </c>
      <c r="R194" s="585"/>
      <c r="S194" s="750"/>
      <c r="T194" s="650">
        <f>(T189+T190+T191+T192+T197+T198)*porantigcargo</f>
        <v>0</v>
      </c>
      <c r="U194" s="655"/>
      <c r="V194" s="750"/>
    </row>
    <row r="195" spans="1:22" s="7" customFormat="1" ht="12.75">
      <c r="A195" s="389"/>
      <c r="B195" s="44" t="s">
        <v>302</v>
      </c>
      <c r="C195" s="619"/>
      <c r="D195" s="635" t="s">
        <v>329</v>
      </c>
      <c r="E195" s="656">
        <f>E193*0.07</f>
        <v>301.5714754098361</v>
      </c>
      <c r="F195" s="655"/>
      <c r="G195" s="578">
        <f>IF(puntosproljor&gt;600,G202,G200)</f>
        <v>5228.17236474752</v>
      </c>
      <c r="H195" s="656">
        <f>H193*0.07</f>
        <v>279.1832377049181</v>
      </c>
      <c r="I195" s="655"/>
      <c r="J195" s="578">
        <f>IF(puntosproljor&gt;600,J202,J200)</f>
        <v>4702.660942250315</v>
      </c>
      <c r="K195" s="656">
        <f>K193*0.07</f>
        <v>255.2641803278689</v>
      </c>
      <c r="L195" s="653"/>
      <c r="M195" s="578">
        <f>IF(puntosproljor&gt;600,M202,M200)</f>
        <v>4306.48349144539</v>
      </c>
      <c r="N195" s="656">
        <f>N193*0.07</f>
        <v>233.45000000000002</v>
      </c>
      <c r="O195" s="653"/>
      <c r="P195" s="578">
        <f>IF(puntosproljor&gt;600,P202,P200)</f>
        <v>3945.466550904358</v>
      </c>
      <c r="Q195" s="589">
        <f>Q193*0.07</f>
        <v>210.49</v>
      </c>
      <c r="R195" s="589"/>
      <c r="S195" s="751">
        <f>IF(puntosproljor&gt;600,S202,S200)</f>
        <v>3516.9358337136728</v>
      </c>
      <c r="T195" s="656">
        <f>T193*0.07</f>
        <v>191.31000000000003</v>
      </c>
      <c r="U195" s="653"/>
      <c r="V195" s="751">
        <f>IF(puntosproljor&gt;600,V202,V200)</f>
        <v>3169.418031578557</v>
      </c>
    </row>
    <row r="196" spans="1:22" s="7" customFormat="1" ht="12.75">
      <c r="A196" s="389"/>
      <c r="B196" s="569" t="s">
        <v>299</v>
      </c>
      <c r="C196" s="620">
        <v>0.07</v>
      </c>
      <c r="D196" s="636" t="s">
        <v>330</v>
      </c>
      <c r="E196" s="657">
        <f>(E189+E190+E191+E192+E194+E197+E198+E199+E200+E203)*0.07</f>
        <v>1507.6650522323266</v>
      </c>
      <c r="F196" s="655"/>
      <c r="G196" s="579"/>
      <c r="H196" s="657">
        <f>(H189+H190+H191+H192+H194+H197+H198+H199+H200+H203)*0.07</f>
        <v>1387.1695776575223</v>
      </c>
      <c r="I196" s="655"/>
      <c r="J196" s="579"/>
      <c r="K196" s="657">
        <f>(K189+K190+K191+K192+K194+K197+K198+K199+K200+K203)*0.07</f>
        <v>1269.9950376011773</v>
      </c>
      <c r="L196" s="655"/>
      <c r="M196" s="579"/>
      <c r="N196" s="657">
        <f>(N189+N190+N191+N192+N194+N197+N198+N199+N200+N203)*0.07</f>
        <v>1163.165055563305</v>
      </c>
      <c r="O196" s="655"/>
      <c r="P196" s="579"/>
      <c r="Q196" s="592">
        <f>(Q189+Q190+Q191+Q192+Q194+Q197+Q198+Q199+Q200+Q203)*0.07</f>
        <v>1044.7873515599572</v>
      </c>
      <c r="R196" s="585"/>
      <c r="S196" s="752"/>
      <c r="T196" s="657">
        <f>(T189+T190+T191+T192+T194+T197+T198+T199+T200+T203)*0.07</f>
        <v>937.357410610499</v>
      </c>
      <c r="U196" s="655"/>
      <c r="V196" s="752"/>
    </row>
    <row r="197" spans="1:22" s="7" customFormat="1" ht="12.75">
      <c r="A197" s="389"/>
      <c r="B197" s="44" t="s">
        <v>295</v>
      </c>
      <c r="C197" s="621"/>
      <c r="D197" s="635" t="s">
        <v>311</v>
      </c>
      <c r="E197" s="656">
        <f>puntosproljor*indiceproljorene20</f>
        <v>0</v>
      </c>
      <c r="F197" s="653"/>
      <c r="G197" s="678">
        <v>20708</v>
      </c>
      <c r="H197" s="656">
        <f>puntosproljor*indiceproljoroct19</f>
        <v>0</v>
      </c>
      <c r="I197" s="653"/>
      <c r="J197" s="678">
        <v>19171</v>
      </c>
      <c r="K197" s="656">
        <f>puntosproljor*indiceproljorjul19</f>
        <v>0</v>
      </c>
      <c r="L197" s="653"/>
      <c r="M197" s="678">
        <v>17671</v>
      </c>
      <c r="N197" s="656">
        <f>puntosproljor*indiceproljormay19</f>
        <v>0</v>
      </c>
      <c r="O197" s="653"/>
      <c r="P197" s="678">
        <v>16302</v>
      </c>
      <c r="Q197" s="589">
        <f>puntosproljor*indiceproljormar19</f>
        <v>0</v>
      </c>
      <c r="R197" s="589"/>
      <c r="S197" s="753">
        <v>14790</v>
      </c>
      <c r="T197" s="656">
        <f>puntosproljor*indiceproljordic18</f>
        <v>0</v>
      </c>
      <c r="U197" s="653"/>
      <c r="V197" s="753">
        <v>13421</v>
      </c>
    </row>
    <row r="198" spans="1:22" s="7" customFormat="1" ht="12.75">
      <c r="A198" s="389"/>
      <c r="B198" s="572" t="s">
        <v>294</v>
      </c>
      <c r="C198" s="616"/>
      <c r="D198" s="636" t="s">
        <v>312</v>
      </c>
      <c r="E198" s="650">
        <f>puntostardif*indiceene20</f>
        <v>0</v>
      </c>
      <c r="F198" s="655"/>
      <c r="G198" s="578">
        <f>IF((totalremoct19-E199*1.07)*0.804&lt;G197-E205-E207,(G197-E205-E207-(totalremoct19-E199*1.07)*0.804)/0.804,0)/1.07</f>
        <v>3318.2279669399513</v>
      </c>
      <c r="H198" s="650">
        <f>puntostardif*indiceoct19</f>
        <v>0</v>
      </c>
      <c r="I198" s="655"/>
      <c r="J198" s="578">
        <f>IF((totalremoct19-H199*1.07)*0.804&lt;J197-H205-H207,(J197-H205-H207-(totalremoct19-H199*1.07)*0.804)/0.804,0)/1.07</f>
        <v>1531.6003573244777</v>
      </c>
      <c r="K198" s="650">
        <f>puntostardif*indicejul19</f>
        <v>0</v>
      </c>
      <c r="L198" s="655"/>
      <c r="M198" s="578">
        <f>IF((totalremjul19-K199*1.07)*0.804&lt;M197-K205-K207,(M197-K205-K207-(totalremjul19-K199*1.07)*0.804)/0.804,0)/1.07</f>
        <v>1407.4273701825462</v>
      </c>
      <c r="N198" s="650">
        <f>puntostardif*indicemay19</f>
        <v>0</v>
      </c>
      <c r="O198" s="655"/>
      <c r="P198" s="578">
        <f>IF((totalremmay19-N199*1.07)*0.804&lt;P197-N205-N207,(P197-N205-N207-(totalremmay19-N199*1.07)*0.804)/0.804,0)/1.07</f>
        <v>1292.8418240712344</v>
      </c>
      <c r="Q198" s="585">
        <f>puntostardif*indicemar19</f>
        <v>0</v>
      </c>
      <c r="R198" s="585"/>
      <c r="S198" s="751">
        <f>IF((totalremmar19-Q199*1.07)*0.804&lt;S197-Q205-Q207,(S197-Q205-Q207-(totalremmar19-Q199*1.07)*0.804)/0.804,0)/1.07</f>
        <v>1125.8538604026576</v>
      </c>
      <c r="T198" s="650">
        <f>puntostardif*indicedic18</f>
        <v>0</v>
      </c>
      <c r="U198" s="655"/>
      <c r="V198" s="751">
        <f>IF((totalremdic18-T199*1.07)*0.804&lt;V197-T205-T207,(V197-T205-T207-(totalremdic18-T199*1.07)*0.804)/0.804,0)</f>
        <v>1065.4066470228872</v>
      </c>
    </row>
    <row r="199" spans="1:22" s="7" customFormat="1" ht="15">
      <c r="A199" s="389"/>
      <c r="B199" s="44" t="s">
        <v>293</v>
      </c>
      <c r="C199" s="622">
        <v>0</v>
      </c>
      <c r="D199" s="637" t="s">
        <v>351</v>
      </c>
      <c r="E199" s="658">
        <f>(E189+E190+E191+E192+E197+E198)*porzonacargo</f>
        <v>0</v>
      </c>
      <c r="F199" s="653"/>
      <c r="G199" s="580">
        <v>23655</v>
      </c>
      <c r="H199" s="658">
        <f>(H189+H190+H191+H192+H197+H198)*porzonacargo</f>
        <v>0</v>
      </c>
      <c r="I199" s="653"/>
      <c r="J199" s="580">
        <v>21899</v>
      </c>
      <c r="K199" s="658">
        <f>(K189+K190+K191+K192+K197+K198)*porzonacargo</f>
        <v>0</v>
      </c>
      <c r="L199" s="653"/>
      <c r="M199" s="580">
        <v>20165</v>
      </c>
      <c r="N199" s="658">
        <f>(N189+N190+N191+N192+N197+N198)*porzonacargo</f>
        <v>0</v>
      </c>
      <c r="O199" s="653"/>
      <c r="P199" s="580">
        <v>18584</v>
      </c>
      <c r="Q199" s="593">
        <f>(Q189+Q190+Q191+Q192+Q197+Q198)*porzonacargo</f>
        <v>0</v>
      </c>
      <c r="R199" s="589"/>
      <c r="S199" s="754">
        <v>16847</v>
      </c>
      <c r="T199" s="658">
        <f>(T189+T190+T191+T192+T197+T198)*porzonacargo</f>
        <v>0</v>
      </c>
      <c r="U199" s="653"/>
      <c r="V199" s="754">
        <v>15291</v>
      </c>
    </row>
    <row r="200" spans="1:22" s="7" customFormat="1" ht="12.75">
      <c r="A200" s="389"/>
      <c r="B200" s="569" t="s">
        <v>300</v>
      </c>
      <c r="C200" s="616"/>
      <c r="D200" s="638" t="s">
        <v>317</v>
      </c>
      <c r="E200" s="659">
        <f>IF(punbascar&lt;913,G198,G195)</f>
        <v>5228.17236474752</v>
      </c>
      <c r="F200" s="655"/>
      <c r="G200" s="578">
        <f>IF((totalremene20-E199*1.07)*0.804&lt;G199-E205-E207,(G199-E205-E207-(totalremene20-E199*1.07)*0.804)/0.804,0)/1.07</f>
        <v>5228.17236474752</v>
      </c>
      <c r="H200" s="659">
        <f>IF(punbascar&lt;913,J198,J195)</f>
        <v>4702.660942250315</v>
      </c>
      <c r="I200" s="655"/>
      <c r="J200" s="578">
        <f>IF((totalremoct19-H199*1.07)*0.804&lt;J199-H205-H207,(J199-H205-H207-(totalremoct19-H199*1.07)*0.804)/0.804,0)/1.07</f>
        <v>4702.660942250315</v>
      </c>
      <c r="K200" s="659">
        <f>IF(punbascar&lt;913,M198,M195)</f>
        <v>4306.48349144539</v>
      </c>
      <c r="L200" s="655"/>
      <c r="M200" s="578">
        <f>IF((totalremjul19-K199*1.07)*0.804&lt;M199-K205-K207,(M199-K205-K207-(totalremjul19-K199*1.07)*0.804)/0.804,0)/1.07</f>
        <v>4306.48349144539</v>
      </c>
      <c r="N200" s="659">
        <f>IF(punbascar&lt;913,P198,P195)</f>
        <v>3945.466550904358</v>
      </c>
      <c r="O200" s="655"/>
      <c r="P200" s="578">
        <f>IF((totalremmay19-N199*1.07)*0.804&lt;P199-N205-N207,(P199-N205-N207-(totalremmay19-N199*1.07)*0.804)/0.804,0)/1.07</f>
        <v>3945.466550904358</v>
      </c>
      <c r="Q200" s="659">
        <f>IF(punbascar&lt;913,S198,S195)</f>
        <v>3516.9358337136728</v>
      </c>
      <c r="R200" s="585"/>
      <c r="S200" s="751">
        <f>IF((totalremmar19-Q199*1.07)*0.804&lt;S199-Q205-Q207,(S199-Q205-Q207-(totalremmar19-Q199*1.07)*0.804)/0.804,0)/1.07</f>
        <v>3516.9358337136728</v>
      </c>
      <c r="T200" s="659">
        <f>IF(punbascar&lt;913,V198,V195)</f>
        <v>3169.418031578557</v>
      </c>
      <c r="U200" s="655"/>
      <c r="V200" s="751">
        <f>IF((totalremdic18-T199*1.07)*0.804&lt;V199-T205-T207,(V199-T205-T207-(totalremdic18-T199*1.07)*0.804)/0.804,0)/1.07</f>
        <v>3169.418031578557</v>
      </c>
    </row>
    <row r="201" spans="1:22" s="7" customFormat="1" ht="12.75">
      <c r="A201" s="389"/>
      <c r="B201" s="542" t="s">
        <v>392</v>
      </c>
      <c r="C201" s="619">
        <f>cantkm</f>
        <v>0</v>
      </c>
      <c r="D201" s="639" t="s">
        <v>393</v>
      </c>
      <c r="E201" s="660">
        <f>IF(kmsem&lt;300,kmsem*3.7508*4,4501)</f>
        <v>0</v>
      </c>
      <c r="F201" s="653"/>
      <c r="G201" s="580">
        <v>33798</v>
      </c>
      <c r="H201" s="660">
        <f>IF(kmsem&lt;300,kmsem*3.4725*4,4167)</f>
        <v>0</v>
      </c>
      <c r="I201" s="653"/>
      <c r="J201" s="580">
        <v>31289</v>
      </c>
      <c r="K201" s="660">
        <f>IF(kmsem&lt;300,kmsem*3.175*4,3810)</f>
        <v>0</v>
      </c>
      <c r="L201" s="653"/>
      <c r="M201" s="580">
        <v>28893</v>
      </c>
      <c r="N201" s="660">
        <f>IF(kmsem&lt;300,kmsem*2.9036*4,3484)</f>
        <v>0</v>
      </c>
      <c r="O201" s="653"/>
      <c r="P201" s="580">
        <v>26707</v>
      </c>
      <c r="Q201" s="594">
        <f>IF(kmsem&lt;300,kmsem*2.9036*4,3484)</f>
        <v>0</v>
      </c>
      <c r="R201" s="589"/>
      <c r="S201" s="754">
        <v>24262</v>
      </c>
      <c r="T201" s="660">
        <f>IF(kmsem&lt;300,kmsem*2.38*4,2856)</f>
        <v>0</v>
      </c>
      <c r="U201" s="653"/>
      <c r="V201" s="754">
        <v>22008</v>
      </c>
    </row>
    <row r="202" spans="2:22" s="7" customFormat="1" ht="15">
      <c r="B202" s="570" t="s">
        <v>313</v>
      </c>
      <c r="C202" s="616" t="s">
        <v>314</v>
      </c>
      <c r="D202" s="640"/>
      <c r="E202" s="661">
        <v>0</v>
      </c>
      <c r="F202" s="662"/>
      <c r="G202" s="578">
        <f>IF((totalremoct19-E199*1.07)*0.804&lt;G201-E205-E207,(G201-E205-E207-(totalremoct19-E199*1.07)*0.804)/0.804,0)/1.07</f>
        <v>18534.204160737318</v>
      </c>
      <c r="H202" s="661">
        <v>0</v>
      </c>
      <c r="I202" s="662"/>
      <c r="J202" s="578">
        <f>IF((totalremoct19-H199*1.07)*0.804&lt;J201-H205-H207,(J201-H205-H207-(totalremoct19-H199*1.07)*0.804)/0.804,0)/1.07</f>
        <v>15617.711855906335</v>
      </c>
      <c r="K202" s="661">
        <v>0</v>
      </c>
      <c r="L202" s="662"/>
      <c r="M202" s="578">
        <f>IF((totalremjul19-K199*1.07)*0.804&lt;M201-K205-K207,(M201-K205-K207-(totalremjul19-K199*1.07)*0.804)/0.804,0)/1.07</f>
        <v>14452.01750362747</v>
      </c>
      <c r="N202" s="661">
        <v>0</v>
      </c>
      <c r="O202" s="662"/>
      <c r="P202" s="578">
        <f>IF((totalremmay19-N199*1.07)*0.804&lt;P201-N205-N207,(P201-N205-N207-(totalremmay19-N199*1.07)*0.804)/0.804,0)/1.07</f>
        <v>13387.741159171434</v>
      </c>
      <c r="Q202" s="571">
        <v>0</v>
      </c>
      <c r="R202" s="595"/>
      <c r="S202" s="751">
        <f>IF((totalremmar19-Q199*1.07)*0.804&lt;S201-Q205-Q207,(S201-Q205-Q207-(totalremmar19-Q199*1.07)*0.804)/0.804,0)/1.07</f>
        <v>12136.222577564511</v>
      </c>
      <c r="T202" s="661">
        <v>0</v>
      </c>
      <c r="U202" s="662"/>
      <c r="V202" s="751">
        <f>IF((totalremdic18-T199*1.07)*0.804&lt;V201-T205-T207,(V201-T205-T207-(totalremdic18-T199*1.07)*0.804)/0.804,0)/1.07</f>
        <v>10977.34103339192</v>
      </c>
    </row>
    <row r="203" spans="2:22" s="7" customFormat="1" ht="15.75">
      <c r="B203" s="543" t="s">
        <v>494</v>
      </c>
      <c r="C203" s="623">
        <v>1</v>
      </c>
      <c r="D203" s="635" t="s">
        <v>481</v>
      </c>
      <c r="E203" s="663">
        <f>IF(AND(puntosproljor&lt;620,punbascar&lt;2200),910.2,1820.4)*C203</f>
        <v>910.2</v>
      </c>
      <c r="F203" s="664"/>
      <c r="G203" s="579"/>
      <c r="H203" s="663">
        <f>IF(AND(puntosproljor&lt;620,punbascar&lt;2200),857.55,1715.1)*C203</f>
        <v>857.55</v>
      </c>
      <c r="I203" s="664"/>
      <c r="J203" s="579"/>
      <c r="K203" s="663">
        <f>IF(AND(puntosproljor&lt;620,punbascar&lt;2200),801.3,1602.6)*C203</f>
        <v>801.3</v>
      </c>
      <c r="L203" s="664"/>
      <c r="M203" s="579"/>
      <c r="N203" s="663">
        <f>IF(AND(puntosproljor&lt;620,punbascar&lt;2200),750,1500)*C203</f>
        <v>750</v>
      </c>
      <c r="O203" s="664"/>
      <c r="P203" s="579"/>
      <c r="Q203" s="596">
        <f>IF(AND(puntosproljor&lt;620,punbascar&lt;2200),660,1320)*C203</f>
        <v>660</v>
      </c>
      <c r="R203" s="597"/>
      <c r="S203" s="752"/>
      <c r="T203" s="663">
        <f>IF(AND(puntosproljor&lt;620,punbascar&lt;2200),450,900)*C203</f>
        <v>450</v>
      </c>
      <c r="U203" s="664"/>
      <c r="V203" s="752"/>
    </row>
    <row r="204" spans="2:22" s="7" customFormat="1" ht="15.75">
      <c r="B204" s="570"/>
      <c r="C204" s="616"/>
      <c r="D204" s="641" t="s">
        <v>316</v>
      </c>
      <c r="E204" s="665">
        <f>SUM(E189:E203)</f>
        <v>27655.472636815914</v>
      </c>
      <c r="F204" s="666"/>
      <c r="G204" s="579"/>
      <c r="H204" s="665">
        <f>SUM(H189:H203)</f>
        <v>25471.39303482587</v>
      </c>
      <c r="I204" s="666"/>
      <c r="J204" s="579"/>
      <c r="K204" s="665">
        <f>SUM(K189:K203)</f>
        <v>23314.676616915418</v>
      </c>
      <c r="L204" s="666"/>
      <c r="M204" s="579"/>
      <c r="N204" s="665">
        <f>SUM(N189:N203)</f>
        <v>21348.258706467663</v>
      </c>
      <c r="O204" s="666"/>
      <c r="P204" s="579"/>
      <c r="Q204" s="599">
        <f>SUM(Q189:Q203)</f>
        <v>19187.81094527363</v>
      </c>
      <c r="R204" s="600"/>
      <c r="S204" s="752"/>
      <c r="T204" s="665">
        <f>SUM(T189:T203)</f>
        <v>17252.487562189053</v>
      </c>
      <c r="U204" s="666"/>
      <c r="V204" s="752"/>
    </row>
    <row r="205" spans="2:22" s="7" customFormat="1" ht="15">
      <c r="B205" s="540" t="s">
        <v>303</v>
      </c>
      <c r="C205" s="624">
        <v>1</v>
      </c>
      <c r="D205" s="642" t="s">
        <v>315</v>
      </c>
      <c r="E205" s="663">
        <f>IF(AND(puntosproljor&lt;620,punbascar&lt;2200),1210,2420)*C205</f>
        <v>1210</v>
      </c>
      <c r="F205" s="664"/>
      <c r="G205" s="579"/>
      <c r="H205" s="663">
        <f>IF(AND(puntosproljor&lt;620,punbascar&lt;2200),1210,2420)*C205</f>
        <v>1210</v>
      </c>
      <c r="I205" s="664"/>
      <c r="J205" s="579"/>
      <c r="K205" s="663">
        <f>IF(AND(puntosproljor&lt;620,punbascar&lt;2200),1210,2420)*C205</f>
        <v>1210</v>
      </c>
      <c r="L205" s="664"/>
      <c r="M205" s="579"/>
      <c r="N205" s="663">
        <f>IF(AND(puntosproljor&lt;620,punbascar&lt;2200),1210,2420)*C205</f>
        <v>1210</v>
      </c>
      <c r="O205" s="664"/>
      <c r="P205" s="579"/>
      <c r="Q205" s="596">
        <f>IF(AND(puntosproljor&lt;620,punbascar&lt;2200),1210,2420)*C205</f>
        <v>1210</v>
      </c>
      <c r="R205" s="597"/>
      <c r="S205" s="752"/>
      <c r="T205" s="663">
        <f>IF(AND(puntosproljor&lt;620,punbascar&lt;2200),1210,2420)*C205</f>
        <v>1210</v>
      </c>
      <c r="U205" s="664"/>
      <c r="V205" s="752"/>
    </row>
    <row r="206" spans="2:22" s="7" customFormat="1" ht="15.75">
      <c r="B206" s="568" t="s">
        <v>309</v>
      </c>
      <c r="C206" s="625"/>
      <c r="D206" s="640" t="s">
        <v>318</v>
      </c>
      <c r="E206" s="667">
        <v>0</v>
      </c>
      <c r="F206" s="662"/>
      <c r="G206" s="579"/>
      <c r="H206" s="667">
        <v>0</v>
      </c>
      <c r="I206" s="662"/>
      <c r="J206" s="579"/>
      <c r="K206" s="667">
        <v>0</v>
      </c>
      <c r="L206" s="662"/>
      <c r="M206" s="579"/>
      <c r="N206" s="667">
        <v>0</v>
      </c>
      <c r="O206" s="662"/>
      <c r="P206" s="579"/>
      <c r="Q206" s="601">
        <v>0</v>
      </c>
      <c r="R206" s="595"/>
      <c r="S206" s="752"/>
      <c r="T206" s="667">
        <v>0</v>
      </c>
      <c r="U206" s="662"/>
      <c r="V206" s="752"/>
    </row>
    <row r="207" spans="2:22" s="7" customFormat="1" ht="15.75">
      <c r="B207" s="543" t="s">
        <v>478</v>
      </c>
      <c r="C207" s="623">
        <v>1</v>
      </c>
      <c r="D207" s="635" t="s">
        <v>479</v>
      </c>
      <c r="E207" s="663">
        <f>IF(AND(puntosproljor&lt;620,punbascar&lt;2200),210,420)*C207</f>
        <v>210</v>
      </c>
      <c r="F207" s="664"/>
      <c r="G207" s="579"/>
      <c r="H207" s="663">
        <f>IF(AND(puntosproljor&lt;620,punbascar&lt;2200),210,420)*C207</f>
        <v>210</v>
      </c>
      <c r="I207" s="664"/>
      <c r="J207" s="579"/>
      <c r="K207" s="663">
        <f>IF(AND(puntosproljor&lt;620,punbascar&lt;2200),210,420)*C207</f>
        <v>210</v>
      </c>
      <c r="L207" s="664"/>
      <c r="M207" s="579"/>
      <c r="N207" s="663">
        <f>IF(AND(puntosproljor&lt;620,punbascar&lt;2200),210,420)*C207</f>
        <v>210</v>
      </c>
      <c r="O207" s="664"/>
      <c r="P207" s="579"/>
      <c r="Q207" s="596">
        <f>IF(AND(puntosproljor&lt;620,punbascar&lt;2200),210,420)*C207</f>
        <v>210</v>
      </c>
      <c r="R207" s="597"/>
      <c r="S207" s="752"/>
      <c r="T207" s="663">
        <f>IF(AND(puntosproljor&lt;620,punbascar&lt;2200),210,420)*C207</f>
        <v>210</v>
      </c>
      <c r="U207" s="664"/>
      <c r="V207" s="752"/>
    </row>
    <row r="208" spans="2:22" s="7" customFormat="1" ht="15.75">
      <c r="B208" s="570"/>
      <c r="C208" s="626"/>
      <c r="D208" s="643" t="s">
        <v>1</v>
      </c>
      <c r="E208" s="665">
        <f>E204+E205+E206+E207</f>
        <v>29075.472636815914</v>
      </c>
      <c r="F208" s="668"/>
      <c r="G208" s="579"/>
      <c r="H208" s="665">
        <f>H204+H205+H206+H207</f>
        <v>26891.39303482587</v>
      </c>
      <c r="I208" s="668"/>
      <c r="J208" s="579"/>
      <c r="K208" s="665">
        <f>K204+K205+K206+K207</f>
        <v>24734.676616915418</v>
      </c>
      <c r="L208" s="668"/>
      <c r="M208" s="579"/>
      <c r="N208" s="665">
        <f>N204+N205+N206+N207</f>
        <v>22768.258706467663</v>
      </c>
      <c r="O208" s="668"/>
      <c r="P208" s="579"/>
      <c r="Q208" s="599">
        <f>Q204+Q205+Q206+Q207</f>
        <v>20607.81094527363</v>
      </c>
      <c r="R208" s="592"/>
      <c r="S208" s="752"/>
      <c r="T208" s="665">
        <f>T204+T205+T206+T207</f>
        <v>18672.487562189053</v>
      </c>
      <c r="U208" s="668"/>
      <c r="V208" s="752"/>
    </row>
    <row r="209" spans="2:22" s="7" customFormat="1" ht="15">
      <c r="B209" s="540" t="s">
        <v>335</v>
      </c>
      <c r="C209" s="567"/>
      <c r="D209" s="635" t="s">
        <v>336</v>
      </c>
      <c r="E209" s="669">
        <v>0</v>
      </c>
      <c r="F209" s="670">
        <f>-E209</f>
        <v>0</v>
      </c>
      <c r="G209" s="608"/>
      <c r="H209" s="669">
        <v>0</v>
      </c>
      <c r="I209" s="670">
        <f>-H209</f>
        <v>0</v>
      </c>
      <c r="J209" s="608"/>
      <c r="K209" s="669">
        <v>0</v>
      </c>
      <c r="L209" s="670">
        <f>-K209</f>
        <v>0</v>
      </c>
      <c r="M209" s="608"/>
      <c r="N209" s="669">
        <v>0</v>
      </c>
      <c r="O209" s="670">
        <f>-N209</f>
        <v>0</v>
      </c>
      <c r="P209" s="608"/>
      <c r="Q209" s="544">
        <v>0</v>
      </c>
      <c r="R209" s="217">
        <f>-Q209</f>
        <v>0</v>
      </c>
      <c r="S209" s="755"/>
      <c r="T209" s="669">
        <v>0</v>
      </c>
      <c r="U209" s="670">
        <f>-T209</f>
        <v>0</v>
      </c>
      <c r="V209" s="755"/>
    </row>
    <row r="210" spans="2:22" s="7" customFormat="1" ht="15.75">
      <c r="B210" s="572" t="s">
        <v>305</v>
      </c>
      <c r="C210" s="627">
        <v>0.16</v>
      </c>
      <c r="D210" s="644" t="s">
        <v>326</v>
      </c>
      <c r="E210" s="671"/>
      <c r="F210" s="672">
        <f>-totalremene20*porjub-porjub*1.07*E200</f>
        <v>-4424.875621890546</v>
      </c>
      <c r="G210" s="609"/>
      <c r="H210" s="671"/>
      <c r="I210" s="672">
        <f>-totalremoct19*porjub-porjub*1.07*H200</f>
        <v>-4075.4228855721394</v>
      </c>
      <c r="J210" s="609"/>
      <c r="K210" s="671"/>
      <c r="L210" s="672">
        <f>-totalremjul19*porjub-porjub*1.07*K200</f>
        <v>-3730.3482587064677</v>
      </c>
      <c r="M210" s="609"/>
      <c r="N210" s="671"/>
      <c r="O210" s="672">
        <f>-totalremmay19*porjub-porjub*1.07*N200</f>
        <v>-3415.7213930348257</v>
      </c>
      <c r="P210" s="609"/>
      <c r="Q210" s="603"/>
      <c r="R210" s="574">
        <f>-totalremmar19*porjub-porjub*1.07*Q200</f>
        <v>-3070.0497512437805</v>
      </c>
      <c r="S210" s="756"/>
      <c r="T210" s="671"/>
      <c r="U210" s="672">
        <f>-totalremdic18*porjub-porjub*1.07*T200</f>
        <v>-2760.3980099502487</v>
      </c>
      <c r="V210" s="756"/>
    </row>
    <row r="211" spans="1:22" s="7" customFormat="1" ht="15.75">
      <c r="A211" s="547"/>
      <c r="B211" s="44" t="s">
        <v>306</v>
      </c>
      <c r="C211" s="628">
        <v>0.006</v>
      </c>
      <c r="D211" s="642" t="s">
        <v>323</v>
      </c>
      <c r="E211" s="673"/>
      <c r="F211" s="674">
        <f>-totalremene20*porley-porley*1.07*E200</f>
        <v>-165.9328358208955</v>
      </c>
      <c r="G211" s="609"/>
      <c r="H211" s="673"/>
      <c r="I211" s="674">
        <f>-totalremoct19*porley-porley*1.07*H200</f>
        <v>-152.82835820895522</v>
      </c>
      <c r="J211" s="609"/>
      <c r="K211" s="673"/>
      <c r="L211" s="674">
        <f>-totalremjul19*porley-porley*1.07*K200</f>
        <v>-139.88805970149252</v>
      </c>
      <c r="M211" s="609"/>
      <c r="N211" s="673"/>
      <c r="O211" s="674">
        <f>-totalremmay19*porley-porley*1.07*N200</f>
        <v>-128.08955223880596</v>
      </c>
      <c r="P211" s="609"/>
      <c r="Q211" s="604"/>
      <c r="R211" s="546">
        <f>-totalremmar19*porley-porley*1.07*Q200</f>
        <v>-115.12686567164178</v>
      </c>
      <c r="S211" s="756"/>
      <c r="T211" s="673"/>
      <c r="U211" s="674">
        <f>-totalremdic18*porley-porley*1.07*T200</f>
        <v>-103.51492537313433</v>
      </c>
      <c r="V211" s="756"/>
    </row>
    <row r="212" spans="2:22" s="7" customFormat="1" ht="15.75">
      <c r="B212" s="572" t="s">
        <v>307</v>
      </c>
      <c r="C212" s="627">
        <v>0.03</v>
      </c>
      <c r="D212" s="644" t="s">
        <v>325</v>
      </c>
      <c r="E212" s="671"/>
      <c r="F212" s="672">
        <f>-totalremene20*poros-E200*1.07*poros</f>
        <v>-829.6641791044774</v>
      </c>
      <c r="G212" s="609"/>
      <c r="H212" s="671"/>
      <c r="I212" s="672">
        <f>-totalremoct19*poros-H200*1.07*poros</f>
        <v>-764.141791044776</v>
      </c>
      <c r="J212" s="609"/>
      <c r="K212" s="671"/>
      <c r="L212" s="672">
        <f>-totalremjul19*poros-K200*1.07*poros</f>
        <v>-699.4402985074626</v>
      </c>
      <c r="M212" s="609"/>
      <c r="N212" s="671"/>
      <c r="O212" s="672">
        <f>-totalremmay19*poros-N200*1.07*poros</f>
        <v>-640.4477611940298</v>
      </c>
      <c r="P212" s="609"/>
      <c r="Q212" s="603"/>
      <c r="R212" s="574">
        <f>-totalremmar19*poros-Q200*1.07*poros</f>
        <v>-575.6343283582089</v>
      </c>
      <c r="S212" s="756"/>
      <c r="T212" s="671"/>
      <c r="U212" s="672">
        <f>-totalremdic18*poros-T200*1.07*poros</f>
        <v>-517.5746268656716</v>
      </c>
      <c r="V212" s="756"/>
    </row>
    <row r="213" spans="2:22" s="7" customFormat="1" ht="15">
      <c r="B213" s="44" t="s">
        <v>308</v>
      </c>
      <c r="C213" s="629"/>
      <c r="D213" s="645" t="s">
        <v>324</v>
      </c>
      <c r="E213" s="669">
        <v>0</v>
      </c>
      <c r="F213" s="670">
        <f>-E213</f>
        <v>0</v>
      </c>
      <c r="G213" s="609"/>
      <c r="H213" s="669">
        <v>0</v>
      </c>
      <c r="I213" s="670">
        <f>-H213</f>
        <v>0</v>
      </c>
      <c r="J213" s="609"/>
      <c r="K213" s="669">
        <v>0</v>
      </c>
      <c r="L213" s="670">
        <f>-K213</f>
        <v>0</v>
      </c>
      <c r="M213" s="609"/>
      <c r="N213" s="669">
        <v>0</v>
      </c>
      <c r="O213" s="670">
        <f>-N213</f>
        <v>0</v>
      </c>
      <c r="P213" s="609"/>
      <c r="Q213" s="544">
        <v>0</v>
      </c>
      <c r="R213" s="217">
        <f>-Q213</f>
        <v>0</v>
      </c>
      <c r="S213" s="756"/>
      <c r="T213" s="669">
        <v>0</v>
      </c>
      <c r="U213" s="670">
        <f>-T213</f>
        <v>0</v>
      </c>
      <c r="V213" s="756"/>
    </row>
    <row r="214" spans="2:22" s="7" customFormat="1" ht="15">
      <c r="B214" s="572">
        <v>332</v>
      </c>
      <c r="C214" s="630">
        <v>0</v>
      </c>
      <c r="D214" s="646" t="s">
        <v>471</v>
      </c>
      <c r="E214" s="667"/>
      <c r="F214" s="672">
        <f>-totalremene20*C214-E200*C214-(E205+E206)*C214</f>
        <v>0</v>
      </c>
      <c r="G214" s="609"/>
      <c r="H214" s="667"/>
      <c r="I214" s="672">
        <f>-totalremoct19*C214-H200*C214-(H205+H206)*C214</f>
        <v>0</v>
      </c>
      <c r="J214" s="609"/>
      <c r="K214" s="667"/>
      <c r="L214" s="672">
        <f>-totalremjul19*C214-K200*C214-(K205+K206)*C214</f>
        <v>0</v>
      </c>
      <c r="M214" s="609"/>
      <c r="N214" s="667"/>
      <c r="O214" s="672">
        <f>-totalremmay19*poragmer-N200*poragmer-(N205+N206)*poragmer</f>
        <v>0</v>
      </c>
      <c r="P214" s="609"/>
      <c r="Q214" s="601"/>
      <c r="R214" s="574">
        <f>-totalremmar19*poragmer-Q200*poragmer-(Q205+Q206)*poragmer</f>
        <v>0</v>
      </c>
      <c r="S214" s="756"/>
      <c r="T214" s="667"/>
      <c r="U214" s="672">
        <f>-totalremdic18*poragmer-T200*poragmer-(T205+T206)*poragmer</f>
        <v>0</v>
      </c>
      <c r="V214" s="756"/>
    </row>
    <row r="215" spans="2:22" s="7" customFormat="1" ht="15">
      <c r="B215" s="549"/>
      <c r="C215" s="631"/>
      <c r="D215" s="642" t="s">
        <v>2</v>
      </c>
      <c r="E215" s="675">
        <v>0</v>
      </c>
      <c r="F215" s="670">
        <f>-E215</f>
        <v>0</v>
      </c>
      <c r="G215" s="609"/>
      <c r="H215" s="675">
        <v>0</v>
      </c>
      <c r="I215" s="670">
        <f>-H215</f>
        <v>0</v>
      </c>
      <c r="J215" s="609"/>
      <c r="K215" s="675">
        <v>0</v>
      </c>
      <c r="L215" s="670">
        <f>-K215</f>
        <v>0</v>
      </c>
      <c r="M215" s="609"/>
      <c r="N215" s="675">
        <v>0</v>
      </c>
      <c r="O215" s="670">
        <f>-N215</f>
        <v>0</v>
      </c>
      <c r="P215" s="609"/>
      <c r="Q215" s="605">
        <v>0</v>
      </c>
      <c r="R215" s="217">
        <f>-Q215</f>
        <v>0</v>
      </c>
      <c r="S215" s="756"/>
      <c r="T215" s="675">
        <v>0</v>
      </c>
      <c r="U215" s="670">
        <f>-T215</f>
        <v>0</v>
      </c>
      <c r="V215" s="756"/>
    </row>
    <row r="216" spans="2:22" s="7" customFormat="1" ht="16.5" thickBot="1">
      <c r="B216" s="576"/>
      <c r="C216" s="626"/>
      <c r="D216" s="647" t="s">
        <v>3</v>
      </c>
      <c r="E216" s="676"/>
      <c r="F216" s="677">
        <f>SUM(F209:F215)</f>
        <v>-5420.47263681592</v>
      </c>
      <c r="G216" s="417"/>
      <c r="H216" s="676"/>
      <c r="I216" s="677">
        <f>SUM(I209:I215)</f>
        <v>-4992.393034825871</v>
      </c>
      <c r="J216" s="417"/>
      <c r="K216" s="676"/>
      <c r="L216" s="677">
        <f>SUM(L209:L215)</f>
        <v>-4569.676616915423</v>
      </c>
      <c r="M216" s="417"/>
      <c r="N216" s="676"/>
      <c r="O216" s="677">
        <f>SUM(O209:O215)</f>
        <v>-4184.258706467662</v>
      </c>
      <c r="P216" s="417"/>
      <c r="Q216" s="606"/>
      <c r="R216" s="607">
        <f>SUM(R209:R215)</f>
        <v>-3760.8109452736317</v>
      </c>
      <c r="S216" s="757"/>
      <c r="T216" s="676"/>
      <c r="U216" s="677">
        <f>SUM(U209:U215)</f>
        <v>-3381.4875621890546</v>
      </c>
      <c r="V216" s="757"/>
    </row>
    <row r="217" spans="2:22" s="7" customFormat="1" ht="13.5" thickBot="1">
      <c r="B217" s="581"/>
      <c r="D217" s="550"/>
      <c r="F217" s="3"/>
      <c r="G217" s="372"/>
      <c r="I217" s="3"/>
      <c r="J217" s="372"/>
      <c r="L217" s="3"/>
      <c r="M217" s="372"/>
      <c r="O217" s="3"/>
      <c r="P217" s="372"/>
      <c r="R217" s="3"/>
      <c r="S217" s="372"/>
      <c r="U217" s="3"/>
      <c r="V217" s="372"/>
    </row>
    <row r="218" spans="2:22" s="7" customFormat="1" ht="24.75" thickBot="1" thickTop="1">
      <c r="B218" s="368"/>
      <c r="D218" s="447"/>
      <c r="E218" s="551" t="s">
        <v>4</v>
      </c>
      <c r="F218" s="552">
        <f>E208+F216</f>
        <v>23654.999999999993</v>
      </c>
      <c r="G218" s="372"/>
      <c r="H218" s="551" t="s">
        <v>4</v>
      </c>
      <c r="I218" s="552">
        <f>H208+I216</f>
        <v>21899</v>
      </c>
      <c r="J218" s="372"/>
      <c r="K218" s="551" t="s">
        <v>4</v>
      </c>
      <c r="L218" s="552">
        <f>K208+L216</f>
        <v>20164.999999999993</v>
      </c>
      <c r="M218" s="372"/>
      <c r="N218" s="551" t="s">
        <v>4</v>
      </c>
      <c r="O218" s="552">
        <f>N208+O216</f>
        <v>18584</v>
      </c>
      <c r="P218" s="372"/>
      <c r="Q218" s="551" t="s">
        <v>4</v>
      </c>
      <c r="R218" s="552">
        <f>Q208+R216</f>
        <v>16847</v>
      </c>
      <c r="S218" s="372"/>
      <c r="T218" s="551" t="s">
        <v>4</v>
      </c>
      <c r="U218" s="552">
        <f>T208+U216</f>
        <v>15290.999999999998</v>
      </c>
      <c r="V218" s="372"/>
    </row>
    <row r="219" spans="2:22" s="7" customFormat="1" ht="16.5" thickTop="1">
      <c r="B219" s="368"/>
      <c r="C219" s="176"/>
      <c r="D219" s="789"/>
      <c r="E219" s="553"/>
      <c r="F219" s="554"/>
      <c r="G219" s="372"/>
      <c r="H219" s="553"/>
      <c r="I219" s="554"/>
      <c r="J219" s="372"/>
      <c r="K219" s="553"/>
      <c r="L219" s="554"/>
      <c r="M219" s="372"/>
      <c r="N219" s="553"/>
      <c r="O219" s="554"/>
      <c r="P219" s="372"/>
      <c r="Q219" s="553"/>
      <c r="R219" s="554"/>
      <c r="S219" s="372"/>
      <c r="T219" s="553"/>
      <c r="U219" s="554"/>
      <c r="V219" s="372"/>
    </row>
    <row r="220" spans="2:22" ht="15.75">
      <c r="B220" s="117"/>
      <c r="C220" s="116">
        <f>23655*4.4</f>
        <v>104082.00000000001</v>
      </c>
      <c r="D220" s="785"/>
      <c r="E220" s="4" t="s">
        <v>381</v>
      </c>
      <c r="F220" s="12"/>
      <c r="G220" s="372"/>
      <c r="H220" s="4" t="s">
        <v>381</v>
      </c>
      <c r="I220" s="12"/>
      <c r="J220" s="372"/>
      <c r="K220" s="4" t="s">
        <v>381</v>
      </c>
      <c r="L220" s="12"/>
      <c r="M220" s="372"/>
      <c r="N220" s="4" t="s">
        <v>381</v>
      </c>
      <c r="O220" s="12"/>
      <c r="P220" s="372"/>
      <c r="Q220" s="4" t="s">
        <v>381</v>
      </c>
      <c r="R220" s="12"/>
      <c r="S220" s="372"/>
      <c r="T220" s="4" t="s">
        <v>381</v>
      </c>
      <c r="U220" s="12"/>
      <c r="V220" s="372"/>
    </row>
    <row r="221" spans="2:22" ht="15.75">
      <c r="B221" s="117"/>
      <c r="C221" s="116"/>
      <c r="D221" s="785"/>
      <c r="E221" s="11">
        <f>E189+E190+E191+E192+E193+E194+E197+E198+E199+F209+E203+((E189+E190+E191+E192+E193+E194+E197+E198+E199+E209+E203)*0.07)</f>
        <v>22061.32820653607</v>
      </c>
      <c r="F221" s="12"/>
      <c r="G221" s="372"/>
      <c r="H221" s="11">
        <f>H189+H190+H191+H192+H193+H194+H197+H198+H199+I209+H203+((H189+H190+H191+H192+H193+H194+H197+H198+H199+H209+H203)*0.07)</f>
        <v>20439.545826618032</v>
      </c>
      <c r="I221" s="12"/>
      <c r="J221" s="372"/>
      <c r="K221" s="11">
        <f>K189+K190+K191+K192+K193+K194+K197+K198+K199+L209+K203+((K189+K190+K191+K192+K193+K194+K197+K198+K199+K209+K203)*0.07)</f>
        <v>18706.739281068854</v>
      </c>
      <c r="L221" s="12"/>
      <c r="M221" s="372"/>
      <c r="N221" s="11">
        <f>N189+N190+N191+N192+N193+N194+N197+N198+N199+O209+N203+((N189+N190+N191+N192+N193+N194+N197+N198+N199+N209+N203)*0.07)</f>
        <v>17126.609496999998</v>
      </c>
      <c r="O221" s="12"/>
      <c r="P221" s="372"/>
      <c r="Q221" s="11">
        <f>Q189+Q190+Q191+Q192+Q193+Q194+Q197+Q198+Q199+R209+Q203+((Q189+Q190+Q191+Q192+Q193+Q194+Q197+Q198+Q199+Q209+Q203)*0.07)</f>
        <v>15424.6896032</v>
      </c>
      <c r="R221" s="12"/>
      <c r="S221" s="372"/>
      <c r="T221" s="11">
        <f>T189+T190+T191+T192+T193+T194+T197+T198+T199+U209+T203+((T189+T190+T191+T192+T193+T194+T197+T198+T199+T209+T203)*0.07)</f>
        <v>13861.210268399998</v>
      </c>
      <c r="U221" s="12"/>
      <c r="V221" s="372"/>
    </row>
    <row r="222" spans="2:22" ht="16.5" thickBot="1">
      <c r="B222" s="117"/>
      <c r="C222" s="116"/>
      <c r="D222" s="785"/>
      <c r="E222" s="95"/>
      <c r="F222" s="12"/>
      <c r="G222" s="372"/>
      <c r="H222" s="95"/>
      <c r="I222" s="12"/>
      <c r="J222" s="372"/>
      <c r="K222" s="95"/>
      <c r="L222" s="12"/>
      <c r="M222" s="372"/>
      <c r="N222" s="95"/>
      <c r="O222" s="12"/>
      <c r="P222" s="372"/>
      <c r="Q222" s="95"/>
      <c r="R222" s="12"/>
      <c r="S222" s="372"/>
      <c r="T222" s="95"/>
      <c r="U222" s="12"/>
      <c r="V222" s="372"/>
    </row>
    <row r="223" spans="2:22" ht="18">
      <c r="B223" s="117"/>
      <c r="C223" s="116"/>
      <c r="D223" s="785"/>
      <c r="E223" s="405" t="s">
        <v>372</v>
      </c>
      <c r="F223" s="406">
        <f>F218-I218</f>
        <v>1755.9999999999927</v>
      </c>
      <c r="G223" s="372"/>
      <c r="H223" s="405" t="s">
        <v>372</v>
      </c>
      <c r="I223" s="406">
        <f>I218-L218</f>
        <v>1734.0000000000073</v>
      </c>
      <c r="J223" s="372"/>
      <c r="K223" s="405" t="s">
        <v>372</v>
      </c>
      <c r="L223" s="406">
        <f>L218-O218</f>
        <v>1580.9999999999927</v>
      </c>
      <c r="M223" s="372"/>
      <c r="N223" s="405" t="s">
        <v>372</v>
      </c>
      <c r="O223" s="406">
        <f>O218-R218</f>
        <v>1737</v>
      </c>
      <c r="P223" s="372"/>
      <c r="Q223" s="405" t="s">
        <v>372</v>
      </c>
      <c r="R223" s="406">
        <f>R218-U218</f>
        <v>1556.0000000000018</v>
      </c>
      <c r="S223" s="372"/>
      <c r="T223" s="405" t="s">
        <v>372</v>
      </c>
      <c r="U223" s="406"/>
      <c r="V223" s="372"/>
    </row>
    <row r="224" spans="4:22" ht="18.75" thickBot="1">
      <c r="D224" s="434"/>
      <c r="E224" s="407" t="s">
        <v>373</v>
      </c>
      <c r="F224" s="408">
        <f>F223/U218</f>
        <v>0.11483879406186599</v>
      </c>
      <c r="G224" s="412"/>
      <c r="H224" s="407" t="s">
        <v>373</v>
      </c>
      <c r="I224" s="408">
        <f>I223/U218</f>
        <v>0.11340003923876839</v>
      </c>
      <c r="J224" s="412"/>
      <c r="K224" s="407" t="s">
        <v>373</v>
      </c>
      <c r="L224" s="408">
        <f>L223/U218</f>
        <v>0.10339415342358203</v>
      </c>
      <c r="M224" s="412"/>
      <c r="N224" s="407" t="s">
        <v>373</v>
      </c>
      <c r="O224" s="408">
        <f>O223/U218</f>
        <v>0.11359623307828136</v>
      </c>
      <c r="P224" s="412"/>
      <c r="Q224" s="407" t="s">
        <v>373</v>
      </c>
      <c r="R224" s="408">
        <f>R223/U218</f>
        <v>0.10175920476097064</v>
      </c>
      <c r="S224" s="412"/>
      <c r="T224" s="407" t="s">
        <v>373</v>
      </c>
      <c r="U224" s="408"/>
      <c r="V224" s="412"/>
    </row>
    <row r="225" spans="2:22" ht="24" customHeight="1" thickBot="1">
      <c r="B225" s="117"/>
      <c r="C225" s="176"/>
      <c r="D225" s="436"/>
      <c r="G225" s="95" t="s">
        <v>496</v>
      </c>
      <c r="J225" s="95" t="s">
        <v>496</v>
      </c>
      <c r="M225" s="95" t="s">
        <v>496</v>
      </c>
      <c r="P225" s="95" t="s">
        <v>496</v>
      </c>
      <c r="Q225" s="95" t="s">
        <v>496</v>
      </c>
      <c r="S225" s="95" t="s">
        <v>496</v>
      </c>
      <c r="T225" s="95"/>
      <c r="V225" s="413"/>
    </row>
    <row r="226" spans="2:22" ht="21" customHeight="1" thickBot="1">
      <c r="B226" s="117"/>
      <c r="C226" s="176"/>
      <c r="D226" s="436"/>
      <c r="E226" s="782" t="s">
        <v>526</v>
      </c>
      <c r="F226" s="524">
        <f>F218-U218</f>
        <v>8363.999999999995</v>
      </c>
      <c r="G226" s="419" t="s">
        <v>372</v>
      </c>
      <c r="H226" s="782" t="s">
        <v>526</v>
      </c>
      <c r="I226" s="524">
        <f>I218-U218</f>
        <v>6608.000000000002</v>
      </c>
      <c r="J226" s="419" t="s">
        <v>372</v>
      </c>
      <c r="K226" s="523"/>
      <c r="L226" s="524">
        <f>L218-U218</f>
        <v>4873.9999999999945</v>
      </c>
      <c r="M226" s="419" t="s">
        <v>372</v>
      </c>
      <c r="N226" s="523"/>
      <c r="O226" s="524">
        <f>O218-U218</f>
        <v>3293.000000000002</v>
      </c>
      <c r="P226" s="419" t="s">
        <v>372</v>
      </c>
      <c r="Q226" s="419" t="s">
        <v>372</v>
      </c>
      <c r="R226" s="524">
        <f>R218-U218</f>
        <v>1556.0000000000018</v>
      </c>
      <c r="S226" s="419" t="s">
        <v>372</v>
      </c>
      <c r="T226" s="419"/>
      <c r="U226" s="420"/>
      <c r="V226" s="414"/>
    </row>
    <row r="227" spans="2:22" ht="21" customHeight="1" thickBot="1">
      <c r="B227" s="117"/>
      <c r="C227" s="176"/>
      <c r="D227" s="436"/>
      <c r="E227" s="782" t="s">
        <v>527</v>
      </c>
      <c r="F227" s="525">
        <f>F226/U218</f>
        <v>0.5469884245634684</v>
      </c>
      <c r="G227" s="421" t="s">
        <v>373</v>
      </c>
      <c r="H227" s="782" t="s">
        <v>527</v>
      </c>
      <c r="I227" s="525">
        <f>I226/U218</f>
        <v>0.43214963050160243</v>
      </c>
      <c r="J227" s="421" t="s">
        <v>373</v>
      </c>
      <c r="K227" s="523"/>
      <c r="L227" s="525">
        <f>L226/U218</f>
        <v>0.31874959126283403</v>
      </c>
      <c r="M227" s="421" t="s">
        <v>373</v>
      </c>
      <c r="N227" s="523"/>
      <c r="O227" s="525">
        <f>O226/U218</f>
        <v>0.21535543783925198</v>
      </c>
      <c r="P227" s="421" t="s">
        <v>373</v>
      </c>
      <c r="Q227" s="421" t="s">
        <v>373</v>
      </c>
      <c r="R227" s="525">
        <f>R226/U218</f>
        <v>0.10175920476097064</v>
      </c>
      <c r="S227" s="421" t="s">
        <v>373</v>
      </c>
      <c r="T227" s="421"/>
      <c r="U227" s="422"/>
      <c r="V227" s="415"/>
    </row>
    <row r="228" spans="2:22" ht="21" customHeight="1" thickBot="1">
      <c r="B228" s="117"/>
      <c r="C228" s="176"/>
      <c r="D228" s="436"/>
      <c r="T228" s="456"/>
      <c r="U228" s="457"/>
      <c r="V228" s="415"/>
    </row>
    <row r="229" spans="2:22" ht="21" customHeight="1" thickBot="1" thickTop="1">
      <c r="B229" s="117"/>
      <c r="C229" s="176"/>
      <c r="D229" s="436"/>
      <c r="E229" s="458" t="s">
        <v>483</v>
      </c>
      <c r="F229" s="459"/>
      <c r="H229" s="458" t="s">
        <v>483</v>
      </c>
      <c r="I229" s="459"/>
      <c r="K229" s="458" t="s">
        <v>483</v>
      </c>
      <c r="L229" s="459"/>
      <c r="N229" s="458" t="s">
        <v>483</v>
      </c>
      <c r="O229" s="459"/>
      <c r="Q229" s="458" t="s">
        <v>483</v>
      </c>
      <c r="R229" s="459"/>
      <c r="T229" s="458" t="s">
        <v>483</v>
      </c>
      <c r="U229" s="459"/>
      <c r="V229" s="415"/>
    </row>
    <row r="230" spans="2:22" ht="21" customHeight="1" thickBot="1">
      <c r="B230" s="117"/>
      <c r="C230" s="176"/>
      <c r="D230" s="436"/>
      <c r="E230" s="460" t="s">
        <v>484</v>
      </c>
      <c r="F230" s="461">
        <f>(E189+E190+E191+E192+E193+E194+E195+E196+E197+E198+E199+E200+E203)*0.5</f>
        <v>13827.736318407957</v>
      </c>
      <c r="H230" s="460" t="s">
        <v>484</v>
      </c>
      <c r="I230" s="461">
        <f>(H189+H190+H191+H192+H193+H194+H195+H196+H197+H198+H199+H200+H203)*0.5</f>
        <v>12735.696517412935</v>
      </c>
      <c r="K230" s="460" t="s">
        <v>484</v>
      </c>
      <c r="L230" s="461">
        <f>(K189+K190+K191+K192+K193+K194+K195+K196+K197+K198+K199+K200+K203)*0.5</f>
        <v>11657.338308457709</v>
      </c>
      <c r="N230" s="460" t="s">
        <v>484</v>
      </c>
      <c r="O230" s="461">
        <f>(N189+N190+N191+N192+N193+N194+N195+N196+N197+N198+N199+N200+N203)*0.5</f>
        <v>10674.129353233831</v>
      </c>
      <c r="Q230" s="460" t="s">
        <v>484</v>
      </c>
      <c r="R230" s="461">
        <f>(Q189+Q190+Q191+Q192+Q193+Q194+Q195+Q196+Q197+Q198+Q199+Q200+Q203)*0.5</f>
        <v>9593.905472636816</v>
      </c>
      <c r="T230" s="460" t="s">
        <v>484</v>
      </c>
      <c r="U230" s="461">
        <f>(T189+T190+T191+T192+T193+T194+T195+T196+T197+T198+T199+T200+T203)*0.5</f>
        <v>8626.243781094527</v>
      </c>
      <c r="V230" s="415"/>
    </row>
    <row r="231" spans="2:22" ht="21" customHeight="1" thickBot="1">
      <c r="B231" s="117"/>
      <c r="C231" s="176"/>
      <c r="D231" s="436"/>
      <c r="E231" s="462" t="s">
        <v>485</v>
      </c>
      <c r="F231" s="463"/>
      <c r="H231" s="462" t="s">
        <v>485</v>
      </c>
      <c r="I231" s="463"/>
      <c r="K231" s="462" t="s">
        <v>485</v>
      </c>
      <c r="L231" s="463"/>
      <c r="N231" s="462" t="s">
        <v>485</v>
      </c>
      <c r="O231" s="463"/>
      <c r="Q231" s="462" t="s">
        <v>485</v>
      </c>
      <c r="R231" s="463"/>
      <c r="T231" s="462" t="s">
        <v>485</v>
      </c>
      <c r="U231" s="463"/>
      <c r="V231" s="415"/>
    </row>
    <row r="232" spans="2:22" ht="21" customHeight="1">
      <c r="B232" s="117"/>
      <c r="C232" s="176"/>
      <c r="D232" s="436"/>
      <c r="E232" s="476" t="s">
        <v>489</v>
      </c>
      <c r="F232" s="475">
        <f>F230*0.804</f>
        <v>11117.499999999998</v>
      </c>
      <c r="H232" s="476" t="s">
        <v>489</v>
      </c>
      <c r="I232" s="475">
        <f>I230*0.804</f>
        <v>10239.5</v>
      </c>
      <c r="K232" s="476" t="s">
        <v>489</v>
      </c>
      <c r="L232" s="475">
        <f>L230*0.804</f>
        <v>9372.499999999998</v>
      </c>
      <c r="N232" s="476" t="s">
        <v>489</v>
      </c>
      <c r="O232" s="475">
        <f>O230*0.804</f>
        <v>8582.000000000002</v>
      </c>
      <c r="Q232" s="476" t="s">
        <v>489</v>
      </c>
      <c r="R232" s="475">
        <f>R230*0.804</f>
        <v>7713.5</v>
      </c>
      <c r="T232" s="476" t="s">
        <v>489</v>
      </c>
      <c r="U232" s="475">
        <f>U230*0.804</f>
        <v>6935.5</v>
      </c>
      <c r="V232" s="415"/>
    </row>
    <row r="233" spans="2:22" ht="21" customHeight="1">
      <c r="B233" s="117"/>
      <c r="C233" s="176"/>
      <c r="D233" s="436"/>
      <c r="E233" s="464" t="s">
        <v>486</v>
      </c>
      <c r="F233" s="465"/>
      <c r="H233" s="464" t="s">
        <v>486</v>
      </c>
      <c r="I233" s="465"/>
      <c r="K233" s="464" t="s">
        <v>486</v>
      </c>
      <c r="L233" s="465"/>
      <c r="N233" s="464" t="s">
        <v>486</v>
      </c>
      <c r="O233" s="465"/>
      <c r="Q233" s="464" t="s">
        <v>486</v>
      </c>
      <c r="R233" s="465"/>
      <c r="T233" s="464" t="s">
        <v>486</v>
      </c>
      <c r="U233" s="465"/>
      <c r="V233" s="415"/>
    </row>
    <row r="234" spans="2:22" ht="21" customHeight="1">
      <c r="B234" s="117"/>
      <c r="C234" s="176"/>
      <c r="D234" s="436"/>
      <c r="E234" s="464">
        <v>502</v>
      </c>
      <c r="F234" s="466">
        <f>-(totalremoct19+F230+E200)*0.16</f>
        <v>-6319.2727215637615</v>
      </c>
      <c r="H234" s="464">
        <v>502</v>
      </c>
      <c r="I234" s="466">
        <f>-(totalremoct19+I230+H200)*0.16</f>
        <v>-6060.464525805005</v>
      </c>
      <c r="K234" s="464">
        <v>502</v>
      </c>
      <c r="L234" s="466">
        <f>-(totalremjul19+L230+K200)*0.16</f>
        <v>-5547.2897729555125</v>
      </c>
      <c r="N234" s="464">
        <v>502</v>
      </c>
      <c r="O234" s="466">
        <f>-(totalremmay19+O230+N200)*0.16</f>
        <v>-5079.39286418211</v>
      </c>
      <c r="Q234" s="464">
        <v>502</v>
      </c>
      <c r="R234" s="466">
        <f>-(totalremmar19+R230+Q200)*0.16</f>
        <v>-4565.684945528078</v>
      </c>
      <c r="T234" s="464">
        <v>502</v>
      </c>
      <c r="U234" s="466">
        <f>-(totalremdic18+U230+T200)*0.16</f>
        <v>-4105.099532971693</v>
      </c>
      <c r="V234" s="415"/>
    </row>
    <row r="235" spans="2:22" ht="21" customHeight="1">
      <c r="B235" s="117"/>
      <c r="C235" s="176"/>
      <c r="D235" s="436"/>
      <c r="E235" s="464">
        <v>504</v>
      </c>
      <c r="F235" s="466">
        <f>-(totalremoct19+F230+E200)*0.006</f>
        <v>-236.97272705864106</v>
      </c>
      <c r="H235" s="464">
        <v>504</v>
      </c>
      <c r="I235" s="466">
        <f>-(totalremoct19+I230+H200)*0.006</f>
        <v>-227.2674197176877</v>
      </c>
      <c r="K235" s="464">
        <v>504</v>
      </c>
      <c r="L235" s="466">
        <f>-(totalremjul19+L230+K200)*0.006</f>
        <v>-208.0233664858317</v>
      </c>
      <c r="N235" s="464">
        <v>504</v>
      </c>
      <c r="O235" s="466">
        <f>-(totalremmay19+O230+N200)*0.006</f>
        <v>-190.47723240682913</v>
      </c>
      <c r="Q235" s="464">
        <v>504</v>
      </c>
      <c r="R235" s="466">
        <f>-(totalremmar19+R230+Q200)*0.006</f>
        <v>-171.21318545730293</v>
      </c>
      <c r="T235" s="464">
        <v>504</v>
      </c>
      <c r="U235" s="466">
        <f>-(totalremdic18+U230+T200)*0.006</f>
        <v>-153.94123248643848</v>
      </c>
      <c r="V235" s="415"/>
    </row>
    <row r="236" spans="2:22" ht="21" customHeight="1">
      <c r="B236" s="117"/>
      <c r="C236" s="176"/>
      <c r="D236" s="436"/>
      <c r="E236" s="464">
        <v>505</v>
      </c>
      <c r="F236" s="466">
        <f>-(totalremoct19+F230+E200)*0.03</f>
        <v>-1184.8636352932053</v>
      </c>
      <c r="H236" s="464">
        <v>505</v>
      </c>
      <c r="I236" s="466">
        <f>-(totalremoct19+I230+H200)*0.03</f>
        <v>-1136.3370985884385</v>
      </c>
      <c r="K236" s="464">
        <v>505</v>
      </c>
      <c r="L236" s="466">
        <f>-(totalremjul19+L230+K200)*0.03</f>
        <v>-1040.1168324291584</v>
      </c>
      <c r="N236" s="464">
        <v>505</v>
      </c>
      <c r="O236" s="466">
        <f>-(totalremmay19+O230+N200)*0.03</f>
        <v>-952.3861620341456</v>
      </c>
      <c r="Q236" s="464">
        <v>505</v>
      </c>
      <c r="R236" s="466">
        <f>-(totalremmar19+R230+Q200)*0.03</f>
        <v>-856.0659272865147</v>
      </c>
      <c r="T236" s="464">
        <v>505</v>
      </c>
      <c r="U236" s="466">
        <f>-(totalremdic18+U230+T200)*0.03</f>
        <v>-769.7061624321924</v>
      </c>
      <c r="V236" s="415"/>
    </row>
    <row r="237" spans="2:22" ht="21" customHeight="1">
      <c r="B237" s="117"/>
      <c r="C237" s="176"/>
      <c r="D237" s="436"/>
      <c r="E237" s="467"/>
      <c r="F237" s="465"/>
      <c r="H237" s="467"/>
      <c r="I237" s="465"/>
      <c r="K237" s="467"/>
      <c r="L237" s="465"/>
      <c r="N237" s="467"/>
      <c r="O237" s="465"/>
      <c r="Q237" s="467"/>
      <c r="R237" s="465"/>
      <c r="T237" s="467"/>
      <c r="U237" s="465"/>
      <c r="V237" s="415"/>
    </row>
    <row r="238" spans="2:22" ht="21" customHeight="1" thickBot="1">
      <c r="B238" s="117"/>
      <c r="C238" s="176"/>
      <c r="D238" s="436"/>
      <c r="E238" s="468" t="s">
        <v>487</v>
      </c>
      <c r="F238" s="469"/>
      <c r="H238" s="468" t="s">
        <v>487</v>
      </c>
      <c r="I238" s="469"/>
      <c r="K238" s="468" t="s">
        <v>487</v>
      </c>
      <c r="L238" s="469"/>
      <c r="N238" s="468" t="s">
        <v>487</v>
      </c>
      <c r="O238" s="469"/>
      <c r="Q238" s="468" t="s">
        <v>487</v>
      </c>
      <c r="R238" s="469"/>
      <c r="T238" s="468" t="s">
        <v>487</v>
      </c>
      <c r="U238" s="469"/>
      <c r="V238" s="415"/>
    </row>
    <row r="239" spans="2:22" ht="21" customHeight="1" thickBot="1">
      <c r="B239" s="117"/>
      <c r="C239" s="176"/>
      <c r="D239" s="436"/>
      <c r="E239" s="468"/>
      <c r="F239" s="470">
        <f>E208+F230+F231+F234+F235+F236</f>
        <v>35162.09987130825</v>
      </c>
      <c r="H239" s="468"/>
      <c r="I239" s="470">
        <f>H208+I230+I231+I234+I235+I236</f>
        <v>32203.020508127665</v>
      </c>
      <c r="K239" s="468"/>
      <c r="L239" s="470">
        <f>K208+L230+L231+L234+L235+L236</f>
        <v>29596.58495350263</v>
      </c>
      <c r="N239" s="468"/>
      <c r="O239" s="470">
        <f>N208+O230+O231+O234+O235+O236</f>
        <v>27220.13180107841</v>
      </c>
      <c r="Q239" s="468"/>
      <c r="R239" s="470">
        <f>Q208+R230+R231+R234+R235+R236</f>
        <v>24608.75235963855</v>
      </c>
      <c r="T239" s="468"/>
      <c r="U239" s="470">
        <f>T208+U230+U231+U234+U235+U236</f>
        <v>22269.984415393254</v>
      </c>
      <c r="V239" s="415"/>
    </row>
    <row r="240" spans="2:22" ht="21" customHeight="1">
      <c r="B240" s="117"/>
      <c r="C240" s="176"/>
      <c r="D240" s="436"/>
      <c r="E240" s="471" t="s">
        <v>488</v>
      </c>
      <c r="F240" s="472"/>
      <c r="H240" s="471" t="s">
        <v>488</v>
      </c>
      <c r="I240" s="472"/>
      <c r="K240" s="471" t="s">
        <v>488</v>
      </c>
      <c r="L240" s="472"/>
      <c r="N240" s="471" t="s">
        <v>488</v>
      </c>
      <c r="O240" s="472"/>
      <c r="Q240" s="471" t="s">
        <v>488</v>
      </c>
      <c r="R240" s="472"/>
      <c r="T240" s="471" t="s">
        <v>488</v>
      </c>
      <c r="U240" s="472"/>
      <c r="V240" s="415"/>
    </row>
    <row r="241" spans="2:22" ht="21" customHeight="1" thickBot="1">
      <c r="B241" s="117"/>
      <c r="C241" s="176"/>
      <c r="D241" s="436"/>
      <c r="E241" s="473"/>
      <c r="F241" s="474">
        <f>F239-F218+F214</f>
        <v>11507.099871308259</v>
      </c>
      <c r="H241" s="473"/>
      <c r="I241" s="474">
        <f>I239-I218+I214</f>
        <v>10304.020508127665</v>
      </c>
      <c r="K241" s="473"/>
      <c r="L241" s="474">
        <f>L239-L218+L214</f>
        <v>9431.584953502635</v>
      </c>
      <c r="N241" s="473"/>
      <c r="O241" s="474">
        <f>O239-O218+O214</f>
        <v>8636.131801078409</v>
      </c>
      <c r="Q241" s="473"/>
      <c r="R241" s="474">
        <f>R239-R218+R214</f>
        <v>7761.752359638551</v>
      </c>
      <c r="T241" s="473"/>
      <c r="U241" s="474">
        <f>U239-U218+U214</f>
        <v>6978.984415393255</v>
      </c>
      <c r="V241" s="415"/>
    </row>
    <row r="242" spans="2:22" ht="21" customHeight="1" thickTop="1">
      <c r="B242" s="117"/>
      <c r="C242" s="176"/>
      <c r="D242" s="436"/>
      <c r="F242" s="515">
        <f>(F241-R241)/R241</f>
        <v>0.4825389085003121</v>
      </c>
      <c r="I242" s="515">
        <f>(I241-U241)/U241</f>
        <v>0.47643552339800566</v>
      </c>
      <c r="L242" s="515">
        <f>(L241-U241)/U241</f>
        <v>0.3514265675532648</v>
      </c>
      <c r="O242" s="515">
        <f>(O241-U241)/U241</f>
        <v>0.23744821410262107</v>
      </c>
      <c r="R242" s="515">
        <f>(R241-U241)/U241</f>
        <v>0.11216072391833642</v>
      </c>
      <c r="U242" s="478"/>
      <c r="V242" s="415"/>
    </row>
    <row r="243" spans="2:22" ht="28.5" customHeight="1">
      <c r="B243" s="117"/>
      <c r="C243" s="176"/>
      <c r="D243" s="436"/>
      <c r="R243" s="9"/>
      <c r="U243" s="9"/>
      <c r="V243" s="373"/>
    </row>
    <row r="244" spans="1:22" ht="33">
      <c r="A244" s="3"/>
      <c r="B244" s="3"/>
      <c r="D244" s="434"/>
      <c r="E244" s="795" t="s">
        <v>528</v>
      </c>
      <c r="F244" s="795"/>
      <c r="G244" s="779"/>
      <c r="H244" s="777" t="s">
        <v>516</v>
      </c>
      <c r="I244" s="778"/>
      <c r="J244" s="779"/>
      <c r="K244" s="767" t="s">
        <v>513</v>
      </c>
      <c r="L244" s="768"/>
      <c r="N244" s="503">
        <v>43586</v>
      </c>
      <c r="O244" s="511"/>
      <c r="Q244" s="502">
        <v>43525</v>
      </c>
      <c r="R244" s="510"/>
      <c r="T244" s="494" t="s">
        <v>495</v>
      </c>
      <c r="U244" s="495"/>
      <c r="V244" s="496"/>
    </row>
    <row r="245" spans="2:22" s="147" customFormat="1" ht="22.5" customHeight="1">
      <c r="B245" s="151"/>
      <c r="C245" s="149"/>
      <c r="D245" s="437"/>
      <c r="T245" s="149"/>
      <c r="U245" s="149"/>
      <c r="V245" s="372"/>
    </row>
    <row r="246" ht="12.75">
      <c r="D246" s="434"/>
    </row>
    <row r="247" spans="3:4" ht="27">
      <c r="C247" s="155" t="s">
        <v>6</v>
      </c>
      <c r="D247" s="434"/>
    </row>
    <row r="248" ht="13.5" thickBot="1">
      <c r="D248" s="434"/>
    </row>
    <row r="249" spans="2:21" ht="16.5" thickBot="1">
      <c r="B249" s="93" t="s">
        <v>7</v>
      </c>
      <c r="C249" s="42"/>
      <c r="D249" s="438">
        <v>36</v>
      </c>
      <c r="U249" s="176"/>
    </row>
    <row r="250" spans="2:21" ht="16.5" thickBot="1">
      <c r="B250" s="93" t="s">
        <v>344</v>
      </c>
      <c r="C250" s="42"/>
      <c r="D250" s="439">
        <v>24</v>
      </c>
      <c r="U250" s="176"/>
    </row>
    <row r="251" spans="4:21" ht="17.25" thickBot="1" thickTop="1">
      <c r="D251" s="430">
        <f>LOOKUP(D250,D18:D29,E18:E29)</f>
        <v>1.2</v>
      </c>
      <c r="E251" s="800" t="s">
        <v>533</v>
      </c>
      <c r="T251" s="174"/>
      <c r="U251" s="483"/>
    </row>
    <row r="252" spans="2:22" ht="27.75" thickBot="1">
      <c r="B252" s="555" t="s">
        <v>357</v>
      </c>
      <c r="C252" s="556"/>
      <c r="D252" s="557"/>
      <c r="E252" s="801">
        <f>F288</f>
        <v>4304.375020295985</v>
      </c>
      <c r="T252" s="174"/>
      <c r="U252" s="486"/>
      <c r="V252" s="155"/>
    </row>
    <row r="253" spans="2:21" ht="26.25" customHeight="1" thickBot="1" thickTop="1">
      <c r="B253" s="558" t="s">
        <v>358</v>
      </c>
      <c r="C253" s="3"/>
      <c r="D253" s="559">
        <v>36</v>
      </c>
      <c r="T253" s="174"/>
      <c r="U253" s="487"/>
    </row>
    <row r="254" spans="2:21" ht="16.5" thickBot="1">
      <c r="B254" s="558" t="s">
        <v>359</v>
      </c>
      <c r="C254" s="3"/>
      <c r="D254" s="559">
        <v>36</v>
      </c>
      <c r="U254" s="176"/>
    </row>
    <row r="255" spans="2:21" ht="16.5" thickBot="1">
      <c r="B255" s="560" t="s">
        <v>491</v>
      </c>
      <c r="C255" s="3"/>
      <c r="D255" s="765">
        <v>1</v>
      </c>
      <c r="E255" s="1" t="s">
        <v>490</v>
      </c>
      <c r="H255" s="1" t="s">
        <v>490</v>
      </c>
      <c r="K255" s="1" t="s">
        <v>490</v>
      </c>
      <c r="N255" s="1" t="s">
        <v>490</v>
      </c>
      <c r="U255" s="176"/>
    </row>
    <row r="256" spans="2:21" ht="16.5" thickBot="1">
      <c r="B256" s="561" t="s">
        <v>394</v>
      </c>
      <c r="C256" s="562"/>
      <c r="D256" s="764">
        <v>0</v>
      </c>
      <c r="U256" s="176"/>
    </row>
    <row r="257" spans="2:21" ht="15.75">
      <c r="B257" s="743"/>
      <c r="C257" s="744"/>
      <c r="D257" s="431"/>
      <c r="U257" s="176"/>
    </row>
    <row r="258" spans="2:20" ht="27">
      <c r="B258" s="174"/>
      <c r="C258" s="174"/>
      <c r="D258" s="443"/>
      <c r="T258" s="155" t="s">
        <v>6</v>
      </c>
    </row>
    <row r="259" spans="2:22" ht="18.75" thickBot="1">
      <c r="B259" s="67" t="s">
        <v>5</v>
      </c>
      <c r="C259" s="98"/>
      <c r="D259" s="432">
        <f>canthormed*64.73</f>
        <v>2330.28</v>
      </c>
      <c r="U259" s="131"/>
      <c r="V259" s="131"/>
    </row>
    <row r="260" spans="2:22" ht="18.75" thickBot="1">
      <c r="B260" s="131"/>
      <c r="C260" s="489"/>
      <c r="D260" s="490"/>
      <c r="H260" s="1">
        <f>910.2/15</f>
        <v>60.68</v>
      </c>
      <c r="U260" s="131"/>
      <c r="V260" s="131"/>
    </row>
    <row r="261" spans="2:22" s="4" customFormat="1" ht="13.5" thickTop="1">
      <c r="B261" s="517"/>
      <c r="C261" s="518"/>
      <c r="D261" s="519"/>
      <c r="U261" s="6"/>
      <c r="V261" s="6"/>
    </row>
    <row r="262" spans="2:22" ht="33.75" thickBot="1">
      <c r="B262" s="358"/>
      <c r="D262" s="444"/>
      <c r="E262" s="795" t="s">
        <v>528</v>
      </c>
      <c r="F262" s="795"/>
      <c r="G262" s="779"/>
      <c r="H262" s="777" t="s">
        <v>516</v>
      </c>
      <c r="I262" s="778"/>
      <c r="J262" s="779"/>
      <c r="K262" s="767" t="s">
        <v>513</v>
      </c>
      <c r="L262" s="768"/>
      <c r="M262" s="372"/>
      <c r="N262" s="503">
        <v>43586</v>
      </c>
      <c r="O262" s="511"/>
      <c r="P262" s="372"/>
      <c r="Q262" s="502">
        <v>43525</v>
      </c>
      <c r="R262" s="510"/>
      <c r="S262" s="577"/>
      <c r="T262" s="494" t="s">
        <v>495</v>
      </c>
      <c r="U262" s="495"/>
      <c r="V262" s="372"/>
    </row>
    <row r="263" spans="2:22" s="7" customFormat="1" ht="13.5" thickBot="1">
      <c r="B263" s="536" t="s">
        <v>349</v>
      </c>
      <c r="C263" s="537" t="s">
        <v>348</v>
      </c>
      <c r="D263" s="538" t="s">
        <v>320</v>
      </c>
      <c r="E263" s="537" t="s">
        <v>321</v>
      </c>
      <c r="F263" s="539" t="s">
        <v>322</v>
      </c>
      <c r="G263" s="372"/>
      <c r="H263" s="537" t="s">
        <v>321</v>
      </c>
      <c r="I263" s="539" t="s">
        <v>322</v>
      </c>
      <c r="J263" s="372"/>
      <c r="K263" s="537" t="s">
        <v>321</v>
      </c>
      <c r="L263" s="539" t="s">
        <v>322</v>
      </c>
      <c r="M263" s="372"/>
      <c r="N263" s="537" t="s">
        <v>321</v>
      </c>
      <c r="O263" s="539" t="s">
        <v>322</v>
      </c>
      <c r="P263" s="372"/>
      <c r="Q263" s="537" t="s">
        <v>321</v>
      </c>
      <c r="R263" s="539" t="s">
        <v>322</v>
      </c>
      <c r="S263" s="372"/>
      <c r="T263" s="537" t="s">
        <v>321</v>
      </c>
      <c r="U263" s="539" t="s">
        <v>322</v>
      </c>
      <c r="V263" s="372"/>
    </row>
    <row r="264" spans="2:22" s="7" customFormat="1" ht="15">
      <c r="B264" s="699" t="s">
        <v>331</v>
      </c>
      <c r="C264" s="722">
        <f>canthormed</f>
        <v>36</v>
      </c>
      <c r="D264" s="701" t="s">
        <v>332</v>
      </c>
      <c r="E264" s="700">
        <f>indiceene20*punbashormed</f>
        <v>25897.100724000004</v>
      </c>
      <c r="F264" s="701"/>
      <c r="G264" s="404"/>
      <c r="H264" s="700">
        <f>indiceoct19*punbashormed</f>
        <v>23974.619724</v>
      </c>
      <c r="I264" s="701"/>
      <c r="J264" s="404"/>
      <c r="K264" s="700">
        <f>indicejul19*punbashormed</f>
        <v>21920.477904000003</v>
      </c>
      <c r="L264" s="701"/>
      <c r="M264" s="404"/>
      <c r="N264" s="700">
        <f>indicemay19*punbashormed</f>
        <v>20047.39884</v>
      </c>
      <c r="O264" s="701"/>
      <c r="P264" s="404"/>
      <c r="Q264" s="700">
        <f>indicemar19*punbashormed</f>
        <v>18075.515904000004</v>
      </c>
      <c r="R264" s="701"/>
      <c r="S264" s="404"/>
      <c r="T264" s="700">
        <f>indicedic18*punbashormed</f>
        <v>16432.202448</v>
      </c>
      <c r="U264" s="701"/>
      <c r="V264" s="404"/>
    </row>
    <row r="265" spans="2:22" s="7" customFormat="1" ht="12.75">
      <c r="B265" s="689" t="s">
        <v>296</v>
      </c>
      <c r="C265" s="566">
        <f>porantighormed</f>
        <v>1.2</v>
      </c>
      <c r="D265" s="680" t="s">
        <v>0</v>
      </c>
      <c r="E265" s="656">
        <f>E264*porantighormed</f>
        <v>31076.520868800002</v>
      </c>
      <c r="F265" s="680"/>
      <c r="G265" s="404"/>
      <c r="H265" s="656">
        <f>H264*porantighormed</f>
        <v>28769.5436688</v>
      </c>
      <c r="I265" s="680"/>
      <c r="J265" s="404"/>
      <c r="K265" s="656">
        <f>K264*porantighormed</f>
        <v>26304.573484800003</v>
      </c>
      <c r="L265" s="680"/>
      <c r="M265" s="404"/>
      <c r="N265" s="656">
        <f>N264*porantighormed</f>
        <v>24056.878608000003</v>
      </c>
      <c r="O265" s="680"/>
      <c r="P265" s="404"/>
      <c r="Q265" s="656">
        <f>Q264*porantighormed</f>
        <v>21690.619084800004</v>
      </c>
      <c r="R265" s="680"/>
      <c r="S265" s="404"/>
      <c r="T265" s="656">
        <f>T264*porantighormed</f>
        <v>19718.642937599998</v>
      </c>
      <c r="U265" s="680"/>
      <c r="V265" s="404"/>
    </row>
    <row r="266" spans="2:22" s="7" customFormat="1" ht="15.75">
      <c r="B266" s="702" t="s">
        <v>301</v>
      </c>
      <c r="C266" s="723">
        <f>E266/178.56</f>
        <v>36</v>
      </c>
      <c r="D266" s="724" t="s">
        <v>328</v>
      </c>
      <c r="E266" s="650">
        <f>IF(canthor06med&gt;36,36*178.56,178.56*canthor06med)</f>
        <v>6428.16</v>
      </c>
      <c r="F266" s="703"/>
      <c r="G266" s="404"/>
      <c r="H266" s="650">
        <f>IF(canthor06med&gt;36,36*165.3,165.3*canthor06med)</f>
        <v>5950.8</v>
      </c>
      <c r="I266" s="703"/>
      <c r="J266" s="404"/>
      <c r="K266" s="650">
        <f>IF(canthor06med&gt;36,36*151.14,151.14*canthor06med)</f>
        <v>5441.039999999999</v>
      </c>
      <c r="L266" s="703"/>
      <c r="M266" s="404"/>
      <c r="N266" s="650">
        <f>IF(canthor06med&gt;36,36*138.226,138.226*canthor06med)</f>
        <v>4976.136</v>
      </c>
      <c r="O266" s="703"/>
      <c r="P266" s="404"/>
      <c r="Q266" s="650">
        <f>IF(canthor06med&gt;36,36*124.63,124.63*canthor06med)</f>
        <v>4486.68</v>
      </c>
      <c r="R266" s="703"/>
      <c r="S266" s="404"/>
      <c r="T266" s="650">
        <f>IF(canthor06med&gt;36,36*113.3,113.3*canthor06med)</f>
        <v>4078.7999999999997</v>
      </c>
      <c r="U266" s="703"/>
      <c r="V266" s="404"/>
    </row>
    <row r="267" spans="2:22" s="7" customFormat="1" ht="12.75">
      <c r="B267" s="689" t="s">
        <v>302</v>
      </c>
      <c r="C267" s="566">
        <v>0.07</v>
      </c>
      <c r="D267" s="712" t="s">
        <v>333</v>
      </c>
      <c r="E267" s="656">
        <f>E266*0.07</f>
        <v>449.9712</v>
      </c>
      <c r="F267" s="680"/>
      <c r="G267" s="404"/>
      <c r="H267" s="656">
        <f>H266*0.07</f>
        <v>416.55600000000004</v>
      </c>
      <c r="I267" s="680"/>
      <c r="J267" s="404"/>
      <c r="K267" s="656">
        <f>K266*0.07</f>
        <v>380.8728</v>
      </c>
      <c r="L267" s="680"/>
      <c r="M267" s="404"/>
      <c r="N267" s="656">
        <f>N266*0.07</f>
        <v>348.32952000000006</v>
      </c>
      <c r="O267" s="680"/>
      <c r="P267" s="404"/>
      <c r="Q267" s="656">
        <f>Q266*0.07</f>
        <v>314.0676</v>
      </c>
      <c r="R267" s="680"/>
      <c r="S267" s="404"/>
      <c r="T267" s="656">
        <f>T266*0.07</f>
        <v>285.516</v>
      </c>
      <c r="U267" s="680"/>
      <c r="V267" s="404"/>
    </row>
    <row r="268" spans="2:22" s="7" customFormat="1" ht="15.75">
      <c r="B268" s="702" t="s">
        <v>435</v>
      </c>
      <c r="C268" s="723">
        <f>E268/143.18</f>
        <v>18</v>
      </c>
      <c r="D268" s="725" t="s">
        <v>434</v>
      </c>
      <c r="E268" s="650">
        <f>IF(canthormed&gt;18,18*143.18,143.18*canthormed)*adichsmedia</f>
        <v>2577.2400000000002</v>
      </c>
      <c r="F268" s="703"/>
      <c r="G268" s="404"/>
      <c r="H268" s="650">
        <f>IF(canthormed&gt;18,18*132.55,132.55*canthormed)*adichsmedia</f>
        <v>2385.9</v>
      </c>
      <c r="I268" s="703"/>
      <c r="J268" s="404"/>
      <c r="K268" s="650">
        <f>IF(canthormed&gt;18,18*121.193333,121.193333*canthormed)*adichsmedia</f>
        <v>2181.479994</v>
      </c>
      <c r="L268" s="703"/>
      <c r="M268" s="404"/>
      <c r="N268" s="650">
        <f>IF(canthormed&gt;18,18*110.8361111,110.8361111*canthormed)*adichsmedia</f>
        <v>1995.0499998</v>
      </c>
      <c r="O268" s="703"/>
      <c r="P268" s="404"/>
      <c r="Q268" s="650">
        <f>IF(canthormed&gt;18,18*99.934444,99.934444*canthormed)*adichsmedia</f>
        <v>1798.819992</v>
      </c>
      <c r="R268" s="703"/>
      <c r="S268" s="404"/>
      <c r="T268" s="650">
        <f>IF(canthormed&gt;18,18*90.85,90.85*canthormed)*adichsmedia</f>
        <v>1635.3</v>
      </c>
      <c r="U268" s="703"/>
      <c r="V268" s="404"/>
    </row>
    <row r="269" spans="2:22" s="7" customFormat="1" ht="15.75">
      <c r="B269" s="691" t="s">
        <v>303</v>
      </c>
      <c r="C269" s="715">
        <f>T269/80.6666</f>
        <v>30.00002479340892</v>
      </c>
      <c r="D269" s="680" t="s">
        <v>315</v>
      </c>
      <c r="E269" s="656">
        <f>IF(canthorincmed*80.6666&gt;2420,2420,canthorincmed*80.6666)</f>
        <v>2420</v>
      </c>
      <c r="F269" s="680"/>
      <c r="G269" s="404"/>
      <c r="H269" s="656">
        <f>IF(canthorincmed*80.6666&gt;2420,2420,canthorincmed*80.6666)</f>
        <v>2420</v>
      </c>
      <c r="I269" s="680"/>
      <c r="J269" s="404"/>
      <c r="K269" s="656">
        <f>IF(canthorincmed*80.6666&gt;2420,2420,canthorincmed*80.6666)</f>
        <v>2420</v>
      </c>
      <c r="L269" s="680"/>
      <c r="M269" s="404"/>
      <c r="N269" s="656">
        <f>IF(canthorincmed*80.6666&gt;2420,2420,canthorincmed*80.6666)</f>
        <v>2420</v>
      </c>
      <c r="O269" s="680"/>
      <c r="P269" s="404"/>
      <c r="Q269" s="656">
        <f>IF(canthorincmed*80.6666&gt;2420,2420,canthorincmed*80.6666)</f>
        <v>2420</v>
      </c>
      <c r="R269" s="680"/>
      <c r="S269" s="404"/>
      <c r="T269" s="656">
        <f>IF(canthorincmed*80.6666&gt;2420,2420,canthorincmed*80.6666)</f>
        <v>2420</v>
      </c>
      <c r="U269" s="680"/>
      <c r="V269" s="404"/>
    </row>
    <row r="270" spans="2:22" s="7" customFormat="1" ht="12.75">
      <c r="B270" s="702" t="s">
        <v>299</v>
      </c>
      <c r="C270" s="591">
        <v>0.07</v>
      </c>
      <c r="D270" s="704" t="s">
        <v>330</v>
      </c>
      <c r="E270" s="650">
        <f>(E264+E265+E268+E271+E274)*0.07</f>
        <v>4295.988311496</v>
      </c>
      <c r="F270" s="703"/>
      <c r="G270" s="404"/>
      <c r="H270" s="650">
        <f>(H264+H265+H268+H271+H274)*0.07</f>
        <v>3979.1614374960004</v>
      </c>
      <c r="I270" s="703"/>
      <c r="J270" s="404"/>
      <c r="K270" s="650">
        <f>(K264+K265+K268+K271+K274)*0.07</f>
        <v>3640.6391967960008</v>
      </c>
      <c r="L270" s="703"/>
      <c r="M270" s="404"/>
      <c r="N270" s="650">
        <f>(N264+N265+N268+N271+N274)*0.07</f>
        <v>3331.952921346001</v>
      </c>
      <c r="O270" s="703"/>
      <c r="P270" s="404"/>
      <c r="Q270" s="650">
        <f>(Q264+Q265+Q268+Q271+Q274)*0.07</f>
        <v>3001.946848656001</v>
      </c>
      <c r="R270" s="703"/>
      <c r="S270" s="404"/>
      <c r="T270" s="650">
        <f>(T264+T265+T268+T271+T274)*0.07</f>
        <v>2708.030176992</v>
      </c>
      <c r="U270" s="703"/>
      <c r="V270" s="404"/>
    </row>
    <row r="271" spans="2:22" s="7" customFormat="1" ht="15">
      <c r="B271" s="689" t="s">
        <v>293</v>
      </c>
      <c r="C271" s="726">
        <v>0</v>
      </c>
      <c r="D271" s="690" t="s">
        <v>351</v>
      </c>
      <c r="E271" s="660">
        <f>E264*C271</f>
        <v>0</v>
      </c>
      <c r="F271" s="680"/>
      <c r="G271" s="404"/>
      <c r="H271" s="660">
        <f>H264*C271</f>
        <v>0</v>
      </c>
      <c r="I271" s="680"/>
      <c r="J271" s="404"/>
      <c r="K271" s="660">
        <f>K264*C271</f>
        <v>0</v>
      </c>
      <c r="L271" s="680"/>
      <c r="M271" s="404"/>
      <c r="N271" s="660">
        <f>N264*C271</f>
        <v>0</v>
      </c>
      <c r="O271" s="680"/>
      <c r="P271" s="404"/>
      <c r="Q271" s="660">
        <f>Q264*C271</f>
        <v>0</v>
      </c>
      <c r="R271" s="680"/>
      <c r="S271" s="404"/>
      <c r="T271" s="660">
        <f>T264*C271</f>
        <v>0</v>
      </c>
      <c r="U271" s="680"/>
      <c r="V271" s="404"/>
    </row>
    <row r="272" spans="2:22" s="7" customFormat="1" ht="14.25">
      <c r="B272" s="705" t="s">
        <v>392</v>
      </c>
      <c r="C272" s="727">
        <f>cantkmhm</f>
        <v>0</v>
      </c>
      <c r="D272" s="728" t="s">
        <v>393</v>
      </c>
      <c r="E272" s="654">
        <f>IF(kmsemhsmed&lt;300,kmsemhsmed*3.7508*4,4501)</f>
        <v>0</v>
      </c>
      <c r="F272" s="703"/>
      <c r="G272" s="404"/>
      <c r="H272" s="654">
        <f>IF(kmsemhsmed&lt;300,kmsemhsmed*3.4725*4,4167)</f>
        <v>0</v>
      </c>
      <c r="I272" s="703"/>
      <c r="J272" s="404"/>
      <c r="K272" s="654">
        <f>IF(kmsemhsmed&lt;300,kmsemhsmed*3.175*4,3810)</f>
        <v>0</v>
      </c>
      <c r="L272" s="703"/>
      <c r="M272" s="404"/>
      <c r="N272" s="654">
        <f>IF(kmsemhsmed&lt;300,kmsemhsmed*2.9036*4,3484)</f>
        <v>0</v>
      </c>
      <c r="O272" s="703"/>
      <c r="P272" s="404"/>
      <c r="Q272" s="654">
        <f>IF(kmsemhsmed&lt;300,kmsemhsmed*2.9036*4,3484)</f>
        <v>0</v>
      </c>
      <c r="R272" s="703"/>
      <c r="S272" s="404"/>
      <c r="T272" s="654">
        <f>IF(kmsemhsmed&lt;300,kmsemhsmed*2.38*4,2856)</f>
        <v>0</v>
      </c>
      <c r="U272" s="703"/>
      <c r="V272" s="404"/>
    </row>
    <row r="273" spans="2:22" s="7" customFormat="1" ht="15.75">
      <c r="B273" s="693">
        <v>44</v>
      </c>
      <c r="C273" s="715">
        <f>T273/14</f>
        <v>30</v>
      </c>
      <c r="D273" s="716" t="s">
        <v>479</v>
      </c>
      <c r="E273" s="656">
        <f>IF(canthorincmed*14&gt;420,420,canthorincmed*14)</f>
        <v>420</v>
      </c>
      <c r="F273" s="680"/>
      <c r="G273" s="404"/>
      <c r="H273" s="656">
        <f>IF(canthorincmed*14&gt;420,420,canthorincmed*14)</f>
        <v>420</v>
      </c>
      <c r="I273" s="680"/>
      <c r="J273" s="404"/>
      <c r="K273" s="656">
        <f>IF(canthorincmed*14&gt;420,420,canthorincmed*14)</f>
        <v>420</v>
      </c>
      <c r="L273" s="680"/>
      <c r="M273" s="404"/>
      <c r="N273" s="656">
        <f>IF(canthorincmed*14&gt;420,420,canthorincmed*14)</f>
        <v>420</v>
      </c>
      <c r="O273" s="680"/>
      <c r="P273" s="404"/>
      <c r="Q273" s="656">
        <f>IF(canthorincmed*14&gt;420,420,canthorincmed*14)</f>
        <v>420</v>
      </c>
      <c r="R273" s="680"/>
      <c r="S273" s="404"/>
      <c r="T273" s="656">
        <f>IF(canthorincmed*14&gt;420,420,canthorincmed*14)</f>
        <v>420</v>
      </c>
      <c r="U273" s="680"/>
      <c r="V273" s="404"/>
    </row>
    <row r="274" spans="2:22" s="7" customFormat="1" ht="15.75">
      <c r="B274" s="706">
        <v>117</v>
      </c>
      <c r="C274" s="729"/>
      <c r="D274" s="724" t="s">
        <v>481</v>
      </c>
      <c r="E274" s="650">
        <f>IF(canthormed*60.68&gt;1820.4,1820.4,canthormed*60.68)</f>
        <v>1820.4</v>
      </c>
      <c r="F274" s="703"/>
      <c r="G274" s="404"/>
      <c r="H274" s="650">
        <f>IF(canthormed*57.14333&gt;1715.1,1715.1,canthormed*57.14333)</f>
        <v>1715.1</v>
      </c>
      <c r="I274" s="703"/>
      <c r="J274" s="404"/>
      <c r="K274" s="650">
        <f>IF(canthormed*53.42&gt;1602.6,1602.6,canthormed*53.42)</f>
        <v>1602.6</v>
      </c>
      <c r="L274" s="703"/>
      <c r="M274" s="404"/>
      <c r="N274" s="650">
        <f>IF(canthormed*50&gt;1500,1500,canthormed*50)</f>
        <v>1500</v>
      </c>
      <c r="O274" s="703"/>
      <c r="P274" s="404"/>
      <c r="Q274" s="650">
        <f>IF(canthormed*44&gt;1320,1320,canthormed*44)</f>
        <v>1320</v>
      </c>
      <c r="R274" s="703"/>
      <c r="S274" s="404"/>
      <c r="T274" s="650">
        <f>IF(canthormed*30&gt;900,900,canthormed*30)</f>
        <v>900</v>
      </c>
      <c r="U274" s="703"/>
      <c r="V274" s="404"/>
    </row>
    <row r="275" spans="2:22" s="7" customFormat="1" ht="15">
      <c r="B275" s="694" t="s">
        <v>340</v>
      </c>
      <c r="C275" s="268"/>
      <c r="D275" s="680"/>
      <c r="E275" s="669">
        <v>0</v>
      </c>
      <c r="F275" s="680"/>
      <c r="G275" s="404"/>
      <c r="H275" s="669">
        <v>0</v>
      </c>
      <c r="I275" s="680"/>
      <c r="J275" s="404"/>
      <c r="K275" s="669">
        <v>0</v>
      </c>
      <c r="L275" s="680"/>
      <c r="M275" s="404"/>
      <c r="N275" s="669">
        <v>0</v>
      </c>
      <c r="O275" s="680"/>
      <c r="P275" s="404"/>
      <c r="Q275" s="669">
        <v>0</v>
      </c>
      <c r="R275" s="680"/>
      <c r="S275" s="404"/>
      <c r="T275" s="669">
        <v>0</v>
      </c>
      <c r="U275" s="680"/>
      <c r="V275" s="372"/>
    </row>
    <row r="276" spans="2:22" s="7" customFormat="1" ht="15.75">
      <c r="B276" s="707"/>
      <c r="C276" s="602" t="s">
        <v>8</v>
      </c>
      <c r="D276" s="730"/>
      <c r="E276" s="665">
        <f>SUM(E264:E275)</f>
        <v>75385.381104296</v>
      </c>
      <c r="F276" s="703"/>
      <c r="G276" s="372"/>
      <c r="H276" s="665">
        <f>SUM(H264:H275)</f>
        <v>70031.68083029601</v>
      </c>
      <c r="I276" s="703"/>
      <c r="J276" s="372"/>
      <c r="K276" s="665">
        <f>SUM(K264:K275)</f>
        <v>64311.683379596005</v>
      </c>
      <c r="L276" s="703"/>
      <c r="M276" s="372"/>
      <c r="N276" s="665">
        <f>SUM(N264:N275)</f>
        <v>59095.74588914601</v>
      </c>
      <c r="O276" s="703"/>
      <c r="P276" s="372"/>
      <c r="Q276" s="665">
        <f>SUM(Q264:Q275)</f>
        <v>53527.64942945601</v>
      </c>
      <c r="R276" s="703"/>
      <c r="S276" s="372"/>
      <c r="T276" s="665">
        <f>SUM(T264:T275)</f>
        <v>48598.491562592004</v>
      </c>
      <c r="U276" s="703"/>
      <c r="V276" s="372"/>
    </row>
    <row r="277" spans="2:22" s="7" customFormat="1" ht="15">
      <c r="B277" s="696" t="s">
        <v>335</v>
      </c>
      <c r="C277" s="146"/>
      <c r="D277" s="712" t="s">
        <v>336</v>
      </c>
      <c r="E277" s="669">
        <v>0</v>
      </c>
      <c r="F277" s="670">
        <f>-E277</f>
        <v>0</v>
      </c>
      <c r="G277" s="372"/>
      <c r="H277" s="669">
        <v>0</v>
      </c>
      <c r="I277" s="670">
        <f>-H277</f>
        <v>0</v>
      </c>
      <c r="J277" s="372"/>
      <c r="K277" s="669">
        <v>0</v>
      </c>
      <c r="L277" s="670">
        <f>-K277</f>
        <v>0</v>
      </c>
      <c r="M277" s="372"/>
      <c r="N277" s="669">
        <v>0</v>
      </c>
      <c r="O277" s="670">
        <f>-N277</f>
        <v>0</v>
      </c>
      <c r="P277" s="372"/>
      <c r="Q277" s="669">
        <v>0</v>
      </c>
      <c r="R277" s="670">
        <f>-T277</f>
        <v>0</v>
      </c>
      <c r="S277" s="372"/>
      <c r="T277" s="669">
        <v>0</v>
      </c>
      <c r="U277" s="670">
        <f>-T277</f>
        <v>0</v>
      </c>
      <c r="V277" s="372"/>
    </row>
    <row r="278" spans="2:22" s="7" customFormat="1" ht="12.75">
      <c r="B278" s="708">
        <v>502</v>
      </c>
      <c r="C278" s="731">
        <v>0.16</v>
      </c>
      <c r="D278" s="725" t="s">
        <v>339</v>
      </c>
      <c r="E278" s="709"/>
      <c r="F278" s="710">
        <f>-(E264+E265+E270+E271+E266+E267+E268+F277+E274)*porjub</f>
        <v>-11607.260976687361</v>
      </c>
      <c r="G278" s="372"/>
      <c r="H278" s="709"/>
      <c r="I278" s="710">
        <f>-(H264+H265+H270+H271+H266+H267+H268+I277+H274)*porjub</f>
        <v>-10750.66893284736</v>
      </c>
      <c r="J278" s="372"/>
      <c r="K278" s="709"/>
      <c r="L278" s="710">
        <f>-(K264+K265+K270+K271+K266+K267+K268+L277+K274)*porjub</f>
        <v>-9835.46934073536</v>
      </c>
      <c r="M278" s="372"/>
      <c r="N278" s="709"/>
      <c r="O278" s="710">
        <f>-(N264+N265+N270+N271+N266+N267+N268+O277+N274)*porjub</f>
        <v>-9000.919342263362</v>
      </c>
      <c r="P278" s="372"/>
      <c r="Q278" s="709"/>
      <c r="R278" s="710">
        <f>-(Q264+Q265+Q270+Q271+Q266+Q267+Q268+R277+Q274)*porjub</f>
        <v>-8110.023908712962</v>
      </c>
      <c r="S278" s="372"/>
      <c r="T278" s="709"/>
      <c r="U278" s="710">
        <f>-(T264+T265+T270+T271+T266+T267+T268+U277+T274)*porjub</f>
        <v>-7321.358650014721</v>
      </c>
      <c r="V278" s="372"/>
    </row>
    <row r="279" spans="2:22" s="7" customFormat="1" ht="12.75">
      <c r="B279" s="684">
        <v>504</v>
      </c>
      <c r="C279" s="545">
        <v>0.006</v>
      </c>
      <c r="D279" s="680" t="s">
        <v>338</v>
      </c>
      <c r="E279" s="684"/>
      <c r="F279" s="683">
        <f>-(E264+E265+E270+E271+E266+E267+E268+F277+E274)*porley</f>
        <v>-435.272286625776</v>
      </c>
      <c r="G279" s="372"/>
      <c r="H279" s="684"/>
      <c r="I279" s="683">
        <f>-(H264+H265+H270+H271+H266+H267+H268+I277+H274)*porley</f>
        <v>-403.150084981776</v>
      </c>
      <c r="J279" s="372"/>
      <c r="K279" s="684"/>
      <c r="L279" s="683">
        <f>-(K264+K265+K270+K271+K266+K267+K268+L277+K274)*porley</f>
        <v>-368.83010027757604</v>
      </c>
      <c r="M279" s="372"/>
      <c r="N279" s="684"/>
      <c r="O279" s="683">
        <f>-(N264+N265+N270+N271+N266+N267+N268+O277+N274)*porley</f>
        <v>-337.5344753348761</v>
      </c>
      <c r="P279" s="372"/>
      <c r="Q279" s="684"/>
      <c r="R279" s="683">
        <f>-(Q264+Q265+Q270+Q271+Q266+Q267+Q268+R277+Q274)*porley</f>
        <v>-304.12589657673607</v>
      </c>
      <c r="S279" s="372"/>
      <c r="T279" s="684"/>
      <c r="U279" s="683">
        <f>-(T264+T265+T270+T271+T266+T267+T268+U277+T274)*porley</f>
        <v>-274.550949375552</v>
      </c>
      <c r="V279" s="372"/>
    </row>
    <row r="280" spans="2:22" s="7" customFormat="1" ht="12.75">
      <c r="B280" s="708">
        <v>505</v>
      </c>
      <c r="C280" s="591">
        <v>0.03</v>
      </c>
      <c r="D280" s="725" t="s">
        <v>337</v>
      </c>
      <c r="E280" s="709"/>
      <c r="F280" s="710">
        <f>-(E264+E265+E270+E271+E266+E267+E268+F277+E274)*poros</f>
        <v>-2176.36143312888</v>
      </c>
      <c r="G280" s="372"/>
      <c r="H280" s="709"/>
      <c r="I280" s="710">
        <f>-(H264+H265+H270+H271+H266+H267+H268+I277+H274)*poros</f>
        <v>-2015.75042490888</v>
      </c>
      <c r="J280" s="372"/>
      <c r="K280" s="709"/>
      <c r="L280" s="710">
        <f>-(K264+K265+K270+K271+K266+K267+K268+L277+K274)*poros</f>
        <v>-1844.15050138788</v>
      </c>
      <c r="M280" s="372"/>
      <c r="N280" s="709"/>
      <c r="O280" s="710">
        <f>-(N264+N265+N270+N271+N266+N267+N268+O277+N274)*poros</f>
        <v>-1687.6723766743803</v>
      </c>
      <c r="P280" s="372"/>
      <c r="Q280" s="709"/>
      <c r="R280" s="710">
        <f>-(Q264+Q265+Q270+Q271+Q266+Q267+Q268+R277+Q274)*poros</f>
        <v>-1520.6294828836803</v>
      </c>
      <c r="S280" s="372"/>
      <c r="T280" s="709"/>
      <c r="U280" s="710">
        <f>-(T264+T265+T270+T271+T266+T267+T268+U277+T274)*poros</f>
        <v>-1372.75474687776</v>
      </c>
      <c r="V280" s="372"/>
    </row>
    <row r="281" spans="2:22" s="7" customFormat="1" ht="12.75">
      <c r="B281" s="697">
        <v>332</v>
      </c>
      <c r="C281" s="548">
        <v>0</v>
      </c>
      <c r="D281" s="719" t="s">
        <v>471</v>
      </c>
      <c r="E281" s="682"/>
      <c r="F281" s="683">
        <f>-(E264+E265+E270+E271+E268+E267+E268+F277+E274)*C281</f>
        <v>0</v>
      </c>
      <c r="G281" s="372"/>
      <c r="H281" s="682"/>
      <c r="I281" s="683">
        <f>-(H264+H265+H270+H271+H268+H267+H268+I277+H274)*C281</f>
        <v>0</v>
      </c>
      <c r="J281" s="372"/>
      <c r="K281" s="682"/>
      <c r="L281" s="683">
        <f>-(K264+K265+K270+K271+K268+K267+K268+L277+K274)*C281</f>
        <v>0</v>
      </c>
      <c r="M281" s="372"/>
      <c r="N281" s="682"/>
      <c r="O281" s="683">
        <f>-(N264+N265+N270+N271+N268+N267+N268+O277+N274)*poragmer</f>
        <v>0</v>
      </c>
      <c r="P281" s="372"/>
      <c r="Q281" s="682"/>
      <c r="R281" s="683">
        <f>-(Q264+Q265+Q270+Q271+Q268+Q267+Q268+R277+Q274)*poragmer</f>
        <v>0</v>
      </c>
      <c r="S281" s="372"/>
      <c r="T281" s="682"/>
      <c r="U281" s="683">
        <f>-(T264+T265+T270+T271+T268+T267+T268+U277+T274)*poragmer</f>
        <v>0</v>
      </c>
      <c r="V281" s="372"/>
    </row>
    <row r="282" spans="2:22" s="7" customFormat="1" ht="15">
      <c r="B282" s="711" t="s">
        <v>2</v>
      </c>
      <c r="C282" s="732">
        <v>0</v>
      </c>
      <c r="D282" s="703"/>
      <c r="E282" s="708"/>
      <c r="F282" s="710">
        <f>-(E264+E265+E270+E271+E266+E267+E268+F277+E274)*C282</f>
        <v>0</v>
      </c>
      <c r="G282" s="372"/>
      <c r="H282" s="708"/>
      <c r="I282" s="710">
        <f>-(H264+H265+H270+H271+H266+H267+H268+I277+H274)*C282</f>
        <v>0</v>
      </c>
      <c r="J282" s="372"/>
      <c r="K282" s="708"/>
      <c r="L282" s="710">
        <f>-(K264+K265+K270+K271+K266+K267+K268+L277+K274)*C282</f>
        <v>0</v>
      </c>
      <c r="M282" s="372"/>
      <c r="N282" s="708"/>
      <c r="O282" s="710">
        <f>-(N264+N265+N270+N271+N266+N267+N268+O277+N274)*C282</f>
        <v>0</v>
      </c>
      <c r="P282" s="372"/>
      <c r="Q282" s="708"/>
      <c r="R282" s="710">
        <f>-(Q264+Q265+Q270+Q271+Q266+Q267+Q268+R277+Q274)*C282</f>
        <v>0</v>
      </c>
      <c r="S282" s="372"/>
      <c r="T282" s="708"/>
      <c r="U282" s="710">
        <f>-(T264+T265+T270+T271+T266+T267+T268+U277+T274)*C282</f>
        <v>0</v>
      </c>
      <c r="V282" s="372"/>
    </row>
    <row r="283" spans="2:22" s="7" customFormat="1" ht="16.5" thickBot="1">
      <c r="B283" s="685"/>
      <c r="C283" s="720"/>
      <c r="D283" s="721" t="s">
        <v>3</v>
      </c>
      <c r="E283" s="685"/>
      <c r="F283" s="686">
        <f>SUM(F278:F282)</f>
        <v>-14218.894696442017</v>
      </c>
      <c r="G283" s="372"/>
      <c r="H283" s="685"/>
      <c r="I283" s="686">
        <f>SUM(I278:I282)</f>
        <v>-13169.569442738017</v>
      </c>
      <c r="J283" s="372"/>
      <c r="K283" s="685"/>
      <c r="L283" s="686">
        <f>SUM(L278:L282)</f>
        <v>-12048.449942400815</v>
      </c>
      <c r="M283" s="372"/>
      <c r="N283" s="685"/>
      <c r="O283" s="686">
        <f>SUM(O278:O282)</f>
        <v>-11026.126194272618</v>
      </c>
      <c r="P283" s="372"/>
      <c r="Q283" s="685"/>
      <c r="R283" s="686">
        <f>SUM(R278:R282)</f>
        <v>-9934.779288173379</v>
      </c>
      <c r="S283" s="372"/>
      <c r="T283" s="685"/>
      <c r="U283" s="686">
        <f>SUM(U278:U282)</f>
        <v>-8968.664346268033</v>
      </c>
      <c r="V283" s="372"/>
    </row>
    <row r="284" spans="2:22" ht="13.5" thickBot="1">
      <c r="B284" s="687"/>
      <c r="C284" s="100"/>
      <c r="D284" s="445"/>
      <c r="E284" s="100"/>
      <c r="G284" s="372"/>
      <c r="H284" s="100"/>
      <c r="J284" s="372"/>
      <c r="K284" s="100"/>
      <c r="M284" s="372"/>
      <c r="N284" s="100"/>
      <c r="P284" s="372"/>
      <c r="Q284" s="100"/>
      <c r="S284" s="372"/>
      <c r="T284" s="100"/>
      <c r="V284" s="372"/>
    </row>
    <row r="285" spans="2:22" ht="24.75" thickBot="1" thickTop="1">
      <c r="B285" s="14"/>
      <c r="D285" s="446"/>
      <c r="E285" s="375" t="s">
        <v>4</v>
      </c>
      <c r="F285" s="376">
        <f>E276+F283</f>
        <v>61166.48640785398</v>
      </c>
      <c r="G285" s="372"/>
      <c r="H285" s="375" t="s">
        <v>4</v>
      </c>
      <c r="I285" s="376">
        <f>H276+I283</f>
        <v>56862.111387558</v>
      </c>
      <c r="J285" s="372"/>
      <c r="K285" s="375" t="s">
        <v>4</v>
      </c>
      <c r="L285" s="376">
        <f>K276+L283</f>
        <v>52263.23343719519</v>
      </c>
      <c r="M285" s="372"/>
      <c r="N285" s="375" t="s">
        <v>4</v>
      </c>
      <c r="O285" s="376">
        <f>N276+O283</f>
        <v>48069.61969487339</v>
      </c>
      <c r="P285" s="372"/>
      <c r="Q285" s="375" t="s">
        <v>4</v>
      </c>
      <c r="R285" s="376">
        <f>Q276+R283</f>
        <v>43592.870141282634</v>
      </c>
      <c r="S285" s="372"/>
      <c r="T285" s="375" t="s">
        <v>4</v>
      </c>
      <c r="U285" s="376">
        <f>T276+U283</f>
        <v>39629.827216323974</v>
      </c>
      <c r="V285" s="372"/>
    </row>
    <row r="286" spans="2:22" ht="24" thickTop="1">
      <c r="B286" s="14"/>
      <c r="D286" s="435"/>
      <c r="E286" s="116"/>
      <c r="F286" s="409"/>
      <c r="G286" s="372"/>
      <c r="H286" s="116"/>
      <c r="I286" s="409"/>
      <c r="J286" s="372"/>
      <c r="K286" s="116"/>
      <c r="L286" s="409"/>
      <c r="M286" s="372"/>
      <c r="N286" s="116"/>
      <c r="O286" s="409"/>
      <c r="P286" s="372"/>
      <c r="Q286" s="116"/>
      <c r="R286" s="409"/>
      <c r="S286" s="372"/>
      <c r="T286" s="116"/>
      <c r="U286" s="409"/>
      <c r="V286" s="372"/>
    </row>
    <row r="287" spans="2:22" ht="24" thickBot="1">
      <c r="B287" s="14"/>
      <c r="D287" s="435"/>
      <c r="E287" s="95" t="s">
        <v>496</v>
      </c>
      <c r="F287" s="409"/>
      <c r="G287" s="372"/>
      <c r="H287" s="95" t="s">
        <v>496</v>
      </c>
      <c r="I287" s="409"/>
      <c r="J287" s="372"/>
      <c r="K287" s="95" t="s">
        <v>496</v>
      </c>
      <c r="L287" s="409"/>
      <c r="M287" s="372"/>
      <c r="N287" s="95" t="s">
        <v>496</v>
      </c>
      <c r="O287" s="409"/>
      <c r="P287" s="372"/>
      <c r="R287" s="409"/>
      <c r="S287" s="372"/>
      <c r="T287" s="95"/>
      <c r="U287" s="409"/>
      <c r="V287" s="372"/>
    </row>
    <row r="288" spans="2:22" ht="18">
      <c r="B288" s="14"/>
      <c r="D288" s="435"/>
      <c r="E288" s="405" t="s">
        <v>372</v>
      </c>
      <c r="F288" s="406">
        <f>F285-I285</f>
        <v>4304.375020295985</v>
      </c>
      <c r="G288" s="372"/>
      <c r="H288" s="405" t="s">
        <v>372</v>
      </c>
      <c r="I288" s="406">
        <f>I285-L285</f>
        <v>4598.87795036281</v>
      </c>
      <c r="J288" s="372"/>
      <c r="K288" s="405" t="s">
        <v>372</v>
      </c>
      <c r="L288" s="406">
        <f>L285-O285</f>
        <v>4193.613742321795</v>
      </c>
      <c r="M288" s="372"/>
      <c r="N288" s="405" t="s">
        <v>372</v>
      </c>
      <c r="O288" s="406">
        <f>O285-R285</f>
        <v>4476.749553590758</v>
      </c>
      <c r="P288" s="372"/>
      <c r="Q288" s="405" t="s">
        <v>372</v>
      </c>
      <c r="R288" s="406">
        <f>R285-U285</f>
        <v>3963.0429249586596</v>
      </c>
      <c r="S288" s="372"/>
      <c r="T288" s="405"/>
      <c r="U288" s="406"/>
      <c r="V288" s="372"/>
    </row>
    <row r="289" spans="3:22" ht="18.75" thickBot="1">
      <c r="C289" s="3"/>
      <c r="D289" s="447"/>
      <c r="E289" s="407" t="s">
        <v>373</v>
      </c>
      <c r="F289" s="408">
        <f>F288/U285</f>
        <v>0.10861452907175342</v>
      </c>
      <c r="G289" s="412"/>
      <c r="H289" s="407" t="s">
        <v>373</v>
      </c>
      <c r="I289" s="408">
        <f>I288/U285</f>
        <v>0.11604587436779135</v>
      </c>
      <c r="J289" s="412"/>
      <c r="K289" s="407" t="s">
        <v>373</v>
      </c>
      <c r="L289" s="408">
        <f>L288/U285</f>
        <v>0.10581963225402098</v>
      </c>
      <c r="M289" s="412"/>
      <c r="N289" s="407" t="s">
        <v>373</v>
      </c>
      <c r="O289" s="408">
        <f>O288/U285</f>
        <v>0.1129641451413327</v>
      </c>
      <c r="P289" s="412"/>
      <c r="Q289" s="407" t="s">
        <v>373</v>
      </c>
      <c r="R289" s="408">
        <f>R288/U285</f>
        <v>0.10000151914178008</v>
      </c>
      <c r="S289" s="412"/>
      <c r="T289" s="407"/>
      <c r="U289" s="408"/>
      <c r="V289" s="412"/>
    </row>
    <row r="290" spans="2:22" ht="27.75" customHeight="1" thickBot="1">
      <c r="B290" s="117"/>
      <c r="C290" s="176"/>
      <c r="D290" s="448"/>
      <c r="E290" s="4" t="s">
        <v>482</v>
      </c>
      <c r="G290" s="413"/>
      <c r="H290" s="4" t="s">
        <v>482</v>
      </c>
      <c r="J290" s="413"/>
      <c r="K290" s="4" t="s">
        <v>482</v>
      </c>
      <c r="M290" s="413"/>
      <c r="N290" s="4" t="s">
        <v>482</v>
      </c>
      <c r="P290" s="413"/>
      <c r="Q290" s="95" t="s">
        <v>496</v>
      </c>
      <c r="S290" s="413"/>
      <c r="T290" s="4"/>
      <c r="V290" s="413"/>
    </row>
    <row r="291" spans="2:22" ht="28.5" customHeight="1" thickBot="1">
      <c r="B291" s="117"/>
      <c r="C291" s="176"/>
      <c r="D291" s="448"/>
      <c r="E291" s="783" t="s">
        <v>526</v>
      </c>
      <c r="F291" s="420">
        <f>F285-U285</f>
        <v>21536.65919153001</v>
      </c>
      <c r="G291" s="414"/>
      <c r="H291" s="783" t="s">
        <v>526</v>
      </c>
      <c r="I291" s="420">
        <f>I285-U285</f>
        <v>17232.284171234023</v>
      </c>
      <c r="J291" s="414"/>
      <c r="K291" s="419" t="s">
        <v>372</v>
      </c>
      <c r="L291" s="420">
        <f>L285-U285</f>
        <v>12633.406220871213</v>
      </c>
      <c r="M291" s="414"/>
      <c r="N291" s="419" t="s">
        <v>372</v>
      </c>
      <c r="O291" s="420">
        <f>O285-U285</f>
        <v>8439.792478549418</v>
      </c>
      <c r="P291" s="414"/>
      <c r="Q291" s="419" t="s">
        <v>372</v>
      </c>
      <c r="R291" s="420">
        <f>R285-U285</f>
        <v>3963.0429249586596</v>
      </c>
      <c r="S291" s="414"/>
      <c r="T291" s="419"/>
      <c r="U291" s="420"/>
      <c r="V291" s="414"/>
    </row>
    <row r="292" spans="2:22" ht="28.5" customHeight="1" thickBot="1">
      <c r="B292" s="117"/>
      <c r="C292" s="176"/>
      <c r="D292" s="448"/>
      <c r="E292" s="783" t="s">
        <v>527</v>
      </c>
      <c r="F292" s="422">
        <f>F291/U285</f>
        <v>0.5434456999766786</v>
      </c>
      <c r="G292" s="415"/>
      <c r="H292" s="783" t="s">
        <v>527</v>
      </c>
      <c r="I292" s="422">
        <f>I291/U285</f>
        <v>0.4348311709049251</v>
      </c>
      <c r="J292" s="415"/>
      <c r="K292" s="421" t="s">
        <v>373</v>
      </c>
      <c r="L292" s="422">
        <f>L291/U285</f>
        <v>0.3187852965371338</v>
      </c>
      <c r="M292" s="415"/>
      <c r="N292" s="421" t="s">
        <v>373</v>
      </c>
      <c r="O292" s="422">
        <f>O291/U285</f>
        <v>0.21296566428311278</v>
      </c>
      <c r="P292" s="415"/>
      <c r="Q292" s="421" t="s">
        <v>373</v>
      </c>
      <c r="R292" s="422">
        <f>R291/U285</f>
        <v>0.10000151914178008</v>
      </c>
      <c r="S292" s="415"/>
      <c r="T292" s="421"/>
      <c r="U292" s="422"/>
      <c r="V292" s="415"/>
    </row>
    <row r="293" spans="2:22" ht="28.5" customHeight="1" thickBot="1">
      <c r="B293" s="117"/>
      <c r="C293" s="176"/>
      <c r="D293" s="448"/>
      <c r="E293" s="456"/>
      <c r="F293" s="457"/>
      <c r="G293" s="415"/>
      <c r="H293" s="456"/>
      <c r="I293" s="457"/>
      <c r="J293" s="415"/>
      <c r="K293" s="456"/>
      <c r="L293" s="457"/>
      <c r="M293" s="415"/>
      <c r="N293" s="456"/>
      <c r="O293" s="457"/>
      <c r="P293" s="415"/>
      <c r="Q293" s="456"/>
      <c r="R293" s="457"/>
      <c r="S293" s="415"/>
      <c r="T293" s="456"/>
      <c r="U293" s="457"/>
      <c r="V293" s="415"/>
    </row>
    <row r="294" spans="2:22" ht="28.5" customHeight="1" thickBot="1" thickTop="1">
      <c r="B294" s="117"/>
      <c r="C294" s="176"/>
      <c r="D294" s="448"/>
      <c r="E294" s="458" t="s">
        <v>483</v>
      </c>
      <c r="F294" s="459"/>
      <c r="G294" s="415"/>
      <c r="H294" s="458" t="s">
        <v>483</v>
      </c>
      <c r="I294" s="459"/>
      <c r="J294" s="415"/>
      <c r="K294" s="458" t="s">
        <v>483</v>
      </c>
      <c r="L294" s="459"/>
      <c r="M294" s="415"/>
      <c r="N294" s="458" t="s">
        <v>483</v>
      </c>
      <c r="O294" s="459"/>
      <c r="P294" s="415"/>
      <c r="Q294" s="458" t="s">
        <v>483</v>
      </c>
      <c r="R294" s="459"/>
      <c r="S294" s="415"/>
      <c r="T294" s="458" t="s">
        <v>483</v>
      </c>
      <c r="U294" s="459"/>
      <c r="V294" s="415"/>
    </row>
    <row r="295" spans="2:22" ht="28.5" customHeight="1" thickBot="1">
      <c r="B295" s="117"/>
      <c r="C295" s="176"/>
      <c r="D295" s="448"/>
      <c r="E295" s="460" t="s">
        <v>484</v>
      </c>
      <c r="F295" s="461">
        <f>(E264+E265+E266+E267+E268+E270+E271+E274)*0.5</f>
        <v>36272.690552148</v>
      </c>
      <c r="G295" s="415"/>
      <c r="H295" s="460" t="s">
        <v>484</v>
      </c>
      <c r="I295" s="461">
        <f>(H264+H265+H266+H267+H268+H270+H271+H274)*0.5</f>
        <v>33595.840415148</v>
      </c>
      <c r="J295" s="415"/>
      <c r="K295" s="460" t="s">
        <v>484</v>
      </c>
      <c r="L295" s="461">
        <f>(K264+K265+K266+K267+K268+K270+K271+K274)*0.5</f>
        <v>30735.841689798002</v>
      </c>
      <c r="M295" s="415"/>
      <c r="N295" s="460" t="s">
        <v>484</v>
      </c>
      <c r="O295" s="461">
        <f>(N264+N265+N266+N267+N268+N270+N271+N274)*0.5</f>
        <v>28127.872944573006</v>
      </c>
      <c r="P295" s="415"/>
      <c r="Q295" s="460" t="s">
        <v>484</v>
      </c>
      <c r="R295" s="461">
        <f>(Q264+Q265+Q266+Q267+Q268+Q270+Q271+Q274)*0.5</f>
        <v>25343.824714728005</v>
      </c>
      <c r="S295" s="415"/>
      <c r="T295" s="460" t="s">
        <v>484</v>
      </c>
      <c r="U295" s="461">
        <f>(T264+T265+T266+T267+T268+T270+T271+T274)*0.5</f>
        <v>22879.245781296002</v>
      </c>
      <c r="V295" s="415"/>
    </row>
    <row r="296" spans="2:22" ht="28.5" customHeight="1" thickBot="1">
      <c r="B296" s="117"/>
      <c r="C296" s="176"/>
      <c r="D296" s="448"/>
      <c r="E296" s="462" t="s">
        <v>485</v>
      </c>
      <c r="F296" s="463"/>
      <c r="G296" s="415"/>
      <c r="H296" s="462" t="s">
        <v>485</v>
      </c>
      <c r="I296" s="463"/>
      <c r="J296" s="415"/>
      <c r="K296" s="462" t="s">
        <v>485</v>
      </c>
      <c r="L296" s="463"/>
      <c r="M296" s="415"/>
      <c r="N296" s="462" t="s">
        <v>485</v>
      </c>
      <c r="O296" s="463"/>
      <c r="P296" s="415"/>
      <c r="Q296" s="462" t="s">
        <v>485</v>
      </c>
      <c r="R296" s="463"/>
      <c r="S296" s="415"/>
      <c r="T296" s="462" t="s">
        <v>485</v>
      </c>
      <c r="U296" s="463"/>
      <c r="V296" s="415"/>
    </row>
    <row r="297" spans="2:22" ht="28.5" customHeight="1">
      <c r="B297" s="117"/>
      <c r="C297" s="176"/>
      <c r="D297" s="448"/>
      <c r="E297" s="476" t="s">
        <v>489</v>
      </c>
      <c r="F297" s="475">
        <f>F295*0.804</f>
        <v>29163.243203926995</v>
      </c>
      <c r="G297" s="415"/>
      <c r="H297" s="476" t="s">
        <v>489</v>
      </c>
      <c r="I297" s="475">
        <f>I295*0.804</f>
        <v>27011.05569377899</v>
      </c>
      <c r="J297" s="415"/>
      <c r="K297" s="476" t="s">
        <v>489</v>
      </c>
      <c r="L297" s="475">
        <f>L295*0.804</f>
        <v>24711.616718597594</v>
      </c>
      <c r="M297" s="415"/>
      <c r="N297" s="476" t="s">
        <v>489</v>
      </c>
      <c r="O297" s="475">
        <f>O295*0.804</f>
        <v>22614.8098474367</v>
      </c>
      <c r="P297" s="415"/>
      <c r="Q297" s="476" t="s">
        <v>489</v>
      </c>
      <c r="R297" s="475">
        <f>R295*0.804</f>
        <v>20376.435070641317</v>
      </c>
      <c r="S297" s="415"/>
      <c r="T297" s="476" t="s">
        <v>489</v>
      </c>
      <c r="U297" s="475">
        <f>U295*0.804</f>
        <v>18394.913608161987</v>
      </c>
      <c r="V297" s="415"/>
    </row>
    <row r="298" spans="2:22" ht="28.5" customHeight="1">
      <c r="B298" s="117"/>
      <c r="C298" s="176"/>
      <c r="D298" s="448"/>
      <c r="E298" s="464" t="s">
        <v>486</v>
      </c>
      <c r="F298" s="465"/>
      <c r="G298" s="415"/>
      <c r="H298" s="464" t="s">
        <v>486</v>
      </c>
      <c r="I298" s="465"/>
      <c r="J298" s="415"/>
      <c r="K298" s="464" t="s">
        <v>486</v>
      </c>
      <c r="L298" s="465"/>
      <c r="M298" s="415"/>
      <c r="N298" s="464" t="s">
        <v>486</v>
      </c>
      <c r="O298" s="465"/>
      <c r="P298" s="415"/>
      <c r="Q298" s="464" t="s">
        <v>486</v>
      </c>
      <c r="R298" s="465"/>
      <c r="S298" s="415"/>
      <c r="T298" s="464" t="s">
        <v>486</v>
      </c>
      <c r="U298" s="465"/>
      <c r="V298" s="415"/>
    </row>
    <row r="299" spans="2:22" ht="28.5" customHeight="1">
      <c r="B299" s="117"/>
      <c r="C299" s="176"/>
      <c r="D299" s="448"/>
      <c r="E299" s="464">
        <v>502</v>
      </c>
      <c r="F299" s="466">
        <f>-(E264+E265+E270+E271+E266+E267+E268+F277+E274+F295)*0.16</f>
        <v>-17410.89146503104</v>
      </c>
      <c r="G299" s="415"/>
      <c r="H299" s="464">
        <v>502</v>
      </c>
      <c r="I299" s="466">
        <f>-(H264+H265+H270+H271+H266+H267+H268+I277+H274+I295)*0.16</f>
        <v>-16126.00339927104</v>
      </c>
      <c r="J299" s="415"/>
      <c r="K299" s="464">
        <v>502</v>
      </c>
      <c r="L299" s="466">
        <f>-(K264+K265+K270+K271+K266+K267+K268+L277+K274+L295)*0.16</f>
        <v>-14753.20401110304</v>
      </c>
      <c r="M299" s="415"/>
      <c r="N299" s="464">
        <v>502</v>
      </c>
      <c r="O299" s="466">
        <f>-(N264+N265+N270+N271+N266+N267+N268+O277+N274+O295)*0.16</f>
        <v>-13501.379013395044</v>
      </c>
      <c r="P299" s="415"/>
      <c r="Q299" s="464">
        <v>502</v>
      </c>
      <c r="R299" s="466">
        <f>-(Q264+Q265+Q270+Q271+Q266+Q267+Q268+R277+Q274+R295)*0.16</f>
        <v>-12165.035863069443</v>
      </c>
      <c r="S299" s="415"/>
      <c r="T299" s="464">
        <v>502</v>
      </c>
      <c r="U299" s="466">
        <f>-(T264+T265+T270+T271+T266+T267+T268+U277+T274+U295)*0.16</f>
        <v>-10982.03797502208</v>
      </c>
      <c r="V299" s="415"/>
    </row>
    <row r="300" spans="2:22" ht="28.5" customHeight="1">
      <c r="B300" s="117"/>
      <c r="C300" s="176"/>
      <c r="D300" s="448"/>
      <c r="E300" s="464">
        <v>504</v>
      </c>
      <c r="F300" s="466">
        <f>-(E264+E265+E270+E271+E266+E267+E268+F277+E274+F295)*0.006</f>
        <v>-652.908429938664</v>
      </c>
      <c r="G300" s="415"/>
      <c r="H300" s="464">
        <v>504</v>
      </c>
      <c r="I300" s="466">
        <f>-(H264+H265+H270+H271+H266+H267+H268+I277+H274+I295)*0.006</f>
        <v>-604.725127472664</v>
      </c>
      <c r="J300" s="415"/>
      <c r="K300" s="464">
        <v>504</v>
      </c>
      <c r="L300" s="466">
        <f>-(K264+K265+K270+K271+K266+K267+K268+L277+K274+L295)*0.006</f>
        <v>-553.245150416364</v>
      </c>
      <c r="M300" s="415"/>
      <c r="N300" s="464">
        <v>504</v>
      </c>
      <c r="O300" s="466">
        <f>-(N264+N265+N270+N271+N266+N267+N268+O277+N274+O295)*0.006</f>
        <v>-506.30171300231416</v>
      </c>
      <c r="P300" s="415"/>
      <c r="Q300" s="464">
        <v>504</v>
      </c>
      <c r="R300" s="466">
        <f>-(Q264+Q265+Q270+Q271+Q266+Q267+Q268+R277+Q274+R295)*0.006</f>
        <v>-456.1888448651041</v>
      </c>
      <c r="S300" s="415"/>
      <c r="T300" s="464">
        <v>504</v>
      </c>
      <c r="U300" s="466">
        <f>-(T264+T265+T270+T271+T266+T267+T268+U277+T274+U295)*0.006</f>
        <v>-411.82642406332803</v>
      </c>
      <c r="V300" s="415"/>
    </row>
    <row r="301" spans="2:22" ht="28.5" customHeight="1">
      <c r="B301" s="117"/>
      <c r="C301" s="176"/>
      <c r="D301" s="448"/>
      <c r="E301" s="464">
        <v>505</v>
      </c>
      <c r="F301" s="466">
        <f>-(E264+E265+E270+E271+E266+E267+E268+F277+E274+F295)*0.03</f>
        <v>-3264.5421496933195</v>
      </c>
      <c r="G301" s="415"/>
      <c r="H301" s="464">
        <v>505</v>
      </c>
      <c r="I301" s="466">
        <f>-(H264+H265+H270+H271+H266+H267+H268+I277+H274+I295)*0.03</f>
        <v>-3023.6256373633196</v>
      </c>
      <c r="J301" s="415"/>
      <c r="K301" s="464">
        <v>505</v>
      </c>
      <c r="L301" s="466">
        <f>-(K264+K265+K270+K271+K266+K267+K268+L277+K274+L295)*0.03</f>
        <v>-2766.22575208182</v>
      </c>
      <c r="M301" s="415"/>
      <c r="N301" s="464">
        <v>505</v>
      </c>
      <c r="O301" s="466">
        <f>-(N264+N265+N270+N271+N266+N267+N268+O277+N274+O295)*0.03</f>
        <v>-2531.5085650115707</v>
      </c>
      <c r="P301" s="415"/>
      <c r="Q301" s="464">
        <v>505</v>
      </c>
      <c r="R301" s="466">
        <f>-(Q264+Q265+Q270+Q271+Q266+Q267+Q268+R277+Q274+R295)*0.03</f>
        <v>-2280.9442243255203</v>
      </c>
      <c r="S301" s="415"/>
      <c r="T301" s="464">
        <v>505</v>
      </c>
      <c r="U301" s="466">
        <f>-(T264+T265+T270+T271+T266+T267+T268+U277+T274+U295)*0.03</f>
        <v>-2059.13212031664</v>
      </c>
      <c r="V301" s="415"/>
    </row>
    <row r="302" spans="2:22" ht="15.75">
      <c r="B302" s="117"/>
      <c r="C302" s="176"/>
      <c r="D302" s="448"/>
      <c r="E302" s="467"/>
      <c r="F302" s="465"/>
      <c r="G302" s="415"/>
      <c r="H302" s="467"/>
      <c r="I302" s="465"/>
      <c r="J302" s="415"/>
      <c r="K302" s="467"/>
      <c r="L302" s="465"/>
      <c r="M302" s="415"/>
      <c r="N302" s="467"/>
      <c r="O302" s="465"/>
      <c r="P302" s="415"/>
      <c r="Q302" s="467"/>
      <c r="R302" s="465"/>
      <c r="S302" s="415"/>
      <c r="T302" s="467"/>
      <c r="U302" s="465"/>
      <c r="V302" s="415"/>
    </row>
    <row r="303" spans="2:22" ht="28.5" customHeight="1" thickBot="1">
      <c r="B303" s="117"/>
      <c r="C303" s="176"/>
      <c r="D303" s="448"/>
      <c r="E303" s="468" t="s">
        <v>487</v>
      </c>
      <c r="F303" s="469"/>
      <c r="G303" s="415"/>
      <c r="H303" s="468" t="s">
        <v>487</v>
      </c>
      <c r="I303" s="469"/>
      <c r="J303" s="415"/>
      <c r="K303" s="468" t="s">
        <v>487</v>
      </c>
      <c r="L303" s="469"/>
      <c r="M303" s="415"/>
      <c r="N303" s="468" t="s">
        <v>487</v>
      </c>
      <c r="O303" s="469"/>
      <c r="P303" s="415"/>
      <c r="Q303" s="468" t="s">
        <v>487</v>
      </c>
      <c r="R303" s="469"/>
      <c r="S303" s="415"/>
      <c r="T303" s="468" t="s">
        <v>487</v>
      </c>
      <c r="U303" s="469"/>
      <c r="V303" s="415"/>
    </row>
    <row r="304" spans="2:22" ht="28.5" customHeight="1" thickBot="1">
      <c r="B304" s="117"/>
      <c r="C304" s="176"/>
      <c r="D304" s="448"/>
      <c r="E304" s="468"/>
      <c r="F304" s="470">
        <f>E276+F295+F296+F299+F300+F301</f>
        <v>90329.72961178096</v>
      </c>
      <c r="G304" s="415"/>
      <c r="H304" s="468"/>
      <c r="I304" s="470">
        <f>H276+I295+I296+I299+I300+I301</f>
        <v>83873.167081337</v>
      </c>
      <c r="J304" s="415"/>
      <c r="K304" s="468"/>
      <c r="L304" s="470">
        <f>K276+L295+L296+L299+L300+L301</f>
        <v>76974.85015579278</v>
      </c>
      <c r="M304" s="415"/>
      <c r="N304" s="468"/>
      <c r="O304" s="470">
        <f>N276+O295+O296+O299+O300+O301</f>
        <v>70684.42954231011</v>
      </c>
      <c r="P304" s="415"/>
      <c r="Q304" s="468"/>
      <c r="R304" s="470">
        <f>Q276+R295+R296+R299+R300+R301</f>
        <v>63969.30521192396</v>
      </c>
      <c r="S304" s="415"/>
      <c r="T304" s="468"/>
      <c r="U304" s="470">
        <f>T276+U295+U296+U299+U300+U301</f>
        <v>58024.740824485954</v>
      </c>
      <c r="V304" s="415"/>
    </row>
    <row r="305" spans="2:22" ht="28.5" customHeight="1">
      <c r="B305" s="117"/>
      <c r="C305" s="176"/>
      <c r="D305" s="448"/>
      <c r="E305" s="471" t="s">
        <v>488</v>
      </c>
      <c r="F305" s="472"/>
      <c r="G305" s="415"/>
      <c r="H305" s="471" t="s">
        <v>488</v>
      </c>
      <c r="I305" s="472"/>
      <c r="J305" s="415"/>
      <c r="K305" s="471" t="s">
        <v>488</v>
      </c>
      <c r="L305" s="472"/>
      <c r="M305" s="415"/>
      <c r="N305" s="471" t="s">
        <v>488</v>
      </c>
      <c r="O305" s="472"/>
      <c r="P305" s="415"/>
      <c r="Q305" s="471" t="s">
        <v>488</v>
      </c>
      <c r="R305" s="472"/>
      <c r="S305" s="415"/>
      <c r="T305" s="471" t="s">
        <v>488</v>
      </c>
      <c r="U305" s="472"/>
      <c r="V305" s="415"/>
    </row>
    <row r="306" spans="2:22" ht="28.5" customHeight="1" thickBot="1">
      <c r="B306" s="117"/>
      <c r="C306" s="176"/>
      <c r="D306" s="448"/>
      <c r="E306" s="473"/>
      <c r="F306" s="477">
        <f>F304-F285+F281</f>
        <v>29163.243203926977</v>
      </c>
      <c r="G306" s="415"/>
      <c r="H306" s="473"/>
      <c r="I306" s="477">
        <f>I304-I285+I281</f>
        <v>27011.055693779002</v>
      </c>
      <c r="J306" s="415"/>
      <c r="K306" s="473"/>
      <c r="L306" s="477">
        <f>L304-L285+L281</f>
        <v>24711.616718597594</v>
      </c>
      <c r="M306" s="415"/>
      <c r="N306" s="473"/>
      <c r="O306" s="477">
        <f>O304-O285+O281</f>
        <v>22614.80984743672</v>
      </c>
      <c r="P306" s="415"/>
      <c r="Q306" s="473"/>
      <c r="R306" s="477">
        <f>R304-R285+R281</f>
        <v>20376.435070641324</v>
      </c>
      <c r="S306" s="415"/>
      <c r="T306" s="473"/>
      <c r="U306" s="477">
        <f>U304-U285+U281</f>
        <v>18394.91360816198</v>
      </c>
      <c r="V306" s="415"/>
    </row>
    <row r="307" spans="2:22" ht="28.5" customHeight="1" thickTop="1">
      <c r="B307" s="117"/>
      <c r="C307" s="176"/>
      <c r="D307" s="448"/>
      <c r="E307" s="456"/>
      <c r="G307" s="415"/>
      <c r="H307" s="456"/>
      <c r="J307" s="415"/>
      <c r="K307" s="456"/>
      <c r="M307" s="415"/>
      <c r="N307" s="456"/>
      <c r="P307" s="415"/>
      <c r="Q307" s="456"/>
      <c r="S307" s="415"/>
      <c r="T307" s="456"/>
      <c r="V307" s="415"/>
    </row>
    <row r="308" spans="4:22" ht="18" customHeight="1">
      <c r="D308" s="434"/>
      <c r="F308" s="515">
        <f>(F306-L306)/L306</f>
        <v>0.18014306939210317</v>
      </c>
      <c r="G308" s="372"/>
      <c r="I308" s="515">
        <f>(I306-O306)/O306</f>
        <v>0.1943967637136942</v>
      </c>
      <c r="J308" s="372"/>
      <c r="L308" s="515">
        <f>(L306-R306)/R306</f>
        <v>0.21275466650211375</v>
      </c>
      <c r="M308" s="372"/>
      <c r="O308" s="515">
        <f>(O306-U306)/U306</f>
        <v>0.22940560250320163</v>
      </c>
      <c r="P308" s="372"/>
      <c r="R308" s="515">
        <f>(R306-U306)/U306</f>
        <v>0.107721161658521</v>
      </c>
      <c r="S308" s="372"/>
      <c r="U308" s="478"/>
      <c r="V308" s="372"/>
    </row>
    <row r="309" spans="4:22" ht="33">
      <c r="D309" s="434"/>
      <c r="E309" s="795" t="s">
        <v>528</v>
      </c>
      <c r="F309" s="795"/>
      <c r="G309" s="779"/>
      <c r="H309" s="777" t="s">
        <v>516</v>
      </c>
      <c r="I309" s="778"/>
      <c r="J309" s="779"/>
      <c r="K309" s="767" t="s">
        <v>513</v>
      </c>
      <c r="L309" s="768"/>
      <c r="M309" s="496"/>
      <c r="N309" s="503">
        <v>43586</v>
      </c>
      <c r="O309" s="511"/>
      <c r="P309" s="496"/>
      <c r="Q309" s="502">
        <v>43525</v>
      </c>
      <c r="R309" s="510"/>
      <c r="S309" s="508"/>
      <c r="T309" s="494" t="s">
        <v>495</v>
      </c>
      <c r="U309" s="495"/>
      <c r="V309" s="496"/>
    </row>
    <row r="310" spans="3:22" s="147" customFormat="1" ht="22.5" customHeight="1">
      <c r="C310" s="150"/>
      <c r="D310" s="449"/>
      <c r="G310" s="372"/>
      <c r="J310" s="372"/>
      <c r="M310" s="372"/>
      <c r="P310" s="372"/>
      <c r="S310" s="372"/>
      <c r="V310" s="372"/>
    </row>
    <row r="311" ht="12.75">
      <c r="D311" s="434"/>
    </row>
    <row r="312" spans="3:21" ht="27.75" thickBot="1">
      <c r="C312" s="155" t="s">
        <v>9</v>
      </c>
      <c r="D312" s="434"/>
      <c r="F312" s="3"/>
      <c r="I312" s="3"/>
      <c r="L312" s="3"/>
      <c r="O312" s="3"/>
      <c r="R312" s="3"/>
      <c r="U312" s="3"/>
    </row>
    <row r="313" spans="2:21" ht="16.5" thickBot="1">
      <c r="B313" s="93" t="s">
        <v>7</v>
      </c>
      <c r="C313" s="42"/>
      <c r="D313" s="438">
        <v>36</v>
      </c>
      <c r="F313" s="176"/>
      <c r="I313" s="176"/>
      <c r="L313" s="176"/>
      <c r="O313" s="176"/>
      <c r="R313" s="176"/>
      <c r="U313" s="176"/>
    </row>
    <row r="314" spans="2:21" ht="16.5" thickBot="1">
      <c r="B314" s="93" t="s">
        <v>344</v>
      </c>
      <c r="C314" s="42"/>
      <c r="D314" s="439">
        <v>24</v>
      </c>
      <c r="F314" s="176"/>
      <c r="I314" s="176"/>
      <c r="L314" s="176">
        <f>3484*1.334/1.22</f>
        <v>3809.5540983606556</v>
      </c>
      <c r="M314" s="1">
        <f>L314/1200</f>
        <v>3.174628415300546</v>
      </c>
      <c r="O314" s="176"/>
      <c r="U314" s="176"/>
    </row>
    <row r="315" spans="2:21" ht="17.25" thickBot="1" thickTop="1">
      <c r="B315" s="174"/>
      <c r="C315" s="174"/>
      <c r="D315" s="450">
        <f>LOOKUP(D314,D18:D29,E18:E29)</f>
        <v>1.2</v>
      </c>
      <c r="E315" s="800" t="s">
        <v>533</v>
      </c>
      <c r="F315" s="3"/>
      <c r="I315" s="3"/>
      <c r="L315" s="3"/>
      <c r="O315" s="3"/>
      <c r="T315" s="174"/>
      <c r="U315" s="3"/>
    </row>
    <row r="316" spans="2:21" s="516" customFormat="1" ht="21" thickBot="1">
      <c r="B316" s="563" t="s">
        <v>357</v>
      </c>
      <c r="C316" s="564"/>
      <c r="D316" s="440"/>
      <c r="E316" s="801">
        <f>F346</f>
        <v>5136.814466879994</v>
      </c>
      <c r="F316" s="522"/>
      <c r="I316" s="522"/>
      <c r="L316" s="522"/>
      <c r="O316" s="522"/>
      <c r="T316" s="521"/>
      <c r="U316" s="522" t="s">
        <v>9</v>
      </c>
    </row>
    <row r="317" spans="2:21" ht="17.25" thickBot="1" thickTop="1">
      <c r="B317" s="395" t="s">
        <v>358</v>
      </c>
      <c r="C317" s="137"/>
      <c r="D317" s="441">
        <v>36</v>
      </c>
      <c r="F317" s="176"/>
      <c r="I317" s="176"/>
      <c r="L317" s="176"/>
      <c r="O317" s="176"/>
      <c r="T317" s="174"/>
      <c r="U317" s="176"/>
    </row>
    <row r="318" spans="2:21" ht="16.5" thickBot="1">
      <c r="B318" s="395" t="s">
        <v>359</v>
      </c>
      <c r="C318" s="137"/>
      <c r="D318" s="441">
        <v>36</v>
      </c>
      <c r="F318" s="176"/>
      <c r="I318" s="176"/>
      <c r="L318" s="176"/>
      <c r="O318" s="176"/>
      <c r="T318" s="174"/>
      <c r="U318" s="176"/>
    </row>
    <row r="319" spans="2:21" ht="16.5" thickBot="1">
      <c r="B319" s="399" t="s">
        <v>394</v>
      </c>
      <c r="C319" s="280"/>
      <c r="D319" s="442">
        <v>0</v>
      </c>
      <c r="F319" s="3"/>
      <c r="I319" s="3"/>
      <c r="L319" s="3"/>
      <c r="O319" s="3"/>
      <c r="T319" s="174"/>
      <c r="U319" s="3"/>
    </row>
    <row r="320" spans="2:22" ht="27">
      <c r="B320" s="131" t="s">
        <v>5</v>
      </c>
      <c r="C320" s="489"/>
      <c r="D320" s="490">
        <f>D313*86.9</f>
        <v>3128.4</v>
      </c>
      <c r="E320" s="174"/>
      <c r="F320" s="178"/>
      <c r="G320" s="155" t="s">
        <v>9</v>
      </c>
      <c r="H320" s="174"/>
      <c r="I320" s="178"/>
      <c r="J320" s="155" t="s">
        <v>9</v>
      </c>
      <c r="K320" s="174"/>
      <c r="L320" s="178"/>
      <c r="M320" s="155" t="s">
        <v>9</v>
      </c>
      <c r="N320" s="174"/>
      <c r="O320" s="178"/>
      <c r="P320" s="155" t="s">
        <v>9</v>
      </c>
      <c r="Q320" s="174"/>
      <c r="R320" s="178"/>
      <c r="S320" s="155" t="s">
        <v>9</v>
      </c>
      <c r="T320" s="174"/>
      <c r="U320" s="178"/>
      <c r="V320" s="155" t="s">
        <v>9</v>
      </c>
    </row>
    <row r="321" spans="2:22" s="516" customFormat="1" ht="27.75" customHeight="1">
      <c r="B321" s="611"/>
      <c r="C321" s="612"/>
      <c r="D321" s="788"/>
      <c r="E321" s="521"/>
      <c r="F321" s="176"/>
      <c r="G321" s="522"/>
      <c r="H321" s="521"/>
      <c r="I321" s="176"/>
      <c r="J321" s="522"/>
      <c r="K321" s="521"/>
      <c r="L321" s="176"/>
      <c r="M321" s="522"/>
      <c r="N321" s="521"/>
      <c r="O321" s="176"/>
      <c r="P321" s="522"/>
      <c r="Q321" s="521"/>
      <c r="R321" s="176"/>
      <c r="S321" s="522"/>
      <c r="T321" s="521"/>
      <c r="U321" s="176"/>
      <c r="V321" s="522"/>
    </row>
    <row r="322" spans="2:22" ht="36" thickBot="1">
      <c r="B322" s="359"/>
      <c r="C322" s="374"/>
      <c r="D322" s="444"/>
      <c r="E322" s="795" t="s">
        <v>528</v>
      </c>
      <c r="F322" s="795"/>
      <c r="G322" s="779"/>
      <c r="H322" s="777" t="s">
        <v>516</v>
      </c>
      <c r="I322" s="778"/>
      <c r="J322" s="779"/>
      <c r="K322" s="767" t="s">
        <v>513</v>
      </c>
      <c r="L322" s="768"/>
      <c r="M322" s="577"/>
      <c r="N322" s="503">
        <v>43586</v>
      </c>
      <c r="O322" s="511"/>
      <c r="P322" s="577"/>
      <c r="Q322" s="502">
        <v>43525</v>
      </c>
      <c r="R322" s="510"/>
      <c r="S322" s="577"/>
      <c r="T322" s="494" t="s">
        <v>495</v>
      </c>
      <c r="U322" s="495"/>
      <c r="V322" s="372"/>
    </row>
    <row r="323" spans="2:22" ht="13.5" thickBot="1">
      <c r="B323" s="81" t="s">
        <v>349</v>
      </c>
      <c r="C323" s="124" t="s">
        <v>348</v>
      </c>
      <c r="D323" s="433" t="s">
        <v>320</v>
      </c>
      <c r="E323" s="124" t="s">
        <v>321</v>
      </c>
      <c r="F323" s="125" t="s">
        <v>322</v>
      </c>
      <c r="G323" s="372"/>
      <c r="H323" s="124" t="s">
        <v>321</v>
      </c>
      <c r="I323" s="125" t="s">
        <v>322</v>
      </c>
      <c r="J323" s="372"/>
      <c r="K323" s="124" t="s">
        <v>321</v>
      </c>
      <c r="L323" s="125" t="s">
        <v>322</v>
      </c>
      <c r="M323" s="372"/>
      <c r="N323" s="124" t="s">
        <v>321</v>
      </c>
      <c r="O323" s="125" t="s">
        <v>322</v>
      </c>
      <c r="P323" s="372"/>
      <c r="Q323" s="124" t="s">
        <v>321</v>
      </c>
      <c r="R323" s="125" t="s">
        <v>322</v>
      </c>
      <c r="S323" s="372"/>
      <c r="T323" s="124" t="s">
        <v>321</v>
      </c>
      <c r="U323" s="125" t="s">
        <v>322</v>
      </c>
      <c r="V323" s="372"/>
    </row>
    <row r="324" spans="2:22" s="7" customFormat="1" ht="15">
      <c r="B324" s="688" t="s">
        <v>331</v>
      </c>
      <c r="C324" s="713">
        <f>canthorsup</f>
        <v>36</v>
      </c>
      <c r="D324" s="679" t="s">
        <v>332</v>
      </c>
      <c r="E324" s="648">
        <f>indiceene20*punbashorsup</f>
        <v>34766.847720000005</v>
      </c>
      <c r="F324" s="679"/>
      <c r="G324" s="481"/>
      <c r="H324" s="648">
        <f>indiceoct19*punbashorsup</f>
        <v>32185.91772</v>
      </c>
      <c r="I324" s="679"/>
      <c r="J324" s="481"/>
      <c r="K324" s="648">
        <f>indicejul19*punbashorsup</f>
        <v>29428.23312</v>
      </c>
      <c r="L324" s="679"/>
      <c r="M324" s="481"/>
      <c r="N324" s="648">
        <f>indicemay19*punbashorsup</f>
        <v>26913.6252</v>
      </c>
      <c r="O324" s="679"/>
      <c r="P324" s="481"/>
      <c r="Q324" s="648">
        <f>indicemar19*punbashorsup</f>
        <v>24266.37312</v>
      </c>
      <c r="R324" s="679"/>
      <c r="S324" s="481"/>
      <c r="T324" s="648">
        <f>indicedic18*punbashorsup</f>
        <v>22060.22544</v>
      </c>
      <c r="U324" s="679"/>
      <c r="V324" s="481"/>
    </row>
    <row r="325" spans="2:22" s="7" customFormat="1" ht="12.75">
      <c r="B325" s="702" t="s">
        <v>296</v>
      </c>
      <c r="C325" s="591">
        <f>porantighorsup</f>
        <v>1.2</v>
      </c>
      <c r="D325" s="703" t="s">
        <v>0</v>
      </c>
      <c r="E325" s="650">
        <f>E324*porantighorsup</f>
        <v>41720.217264000006</v>
      </c>
      <c r="F325" s="703"/>
      <c r="G325" s="481"/>
      <c r="H325" s="650">
        <f>H324*porantighorsup</f>
        <v>38623.101264</v>
      </c>
      <c r="I325" s="703"/>
      <c r="J325" s="481"/>
      <c r="K325" s="650">
        <f>K324*porantighorsup</f>
        <v>35313.879744</v>
      </c>
      <c r="L325" s="703"/>
      <c r="M325" s="481"/>
      <c r="N325" s="650">
        <f>N324*porantighorsup</f>
        <v>32296.350239999996</v>
      </c>
      <c r="O325" s="703"/>
      <c r="P325" s="481"/>
      <c r="Q325" s="650">
        <f>Q324*porantighorsup</f>
        <v>29119.647743999998</v>
      </c>
      <c r="R325" s="703"/>
      <c r="S325" s="481"/>
      <c r="T325" s="650">
        <f>T324*porantighorsup</f>
        <v>26472.270527999997</v>
      </c>
      <c r="U325" s="703"/>
      <c r="V325" s="481"/>
    </row>
    <row r="326" spans="2:22" s="7" customFormat="1" ht="15.75">
      <c r="B326" s="689" t="s">
        <v>301</v>
      </c>
      <c r="C326" s="714">
        <f>T326/113.3</f>
        <v>17</v>
      </c>
      <c r="D326" s="712" t="s">
        <v>328</v>
      </c>
      <c r="E326" s="656">
        <f>IF(canthor06sup&gt;17,17*178.56,178.56*canthor06sup)</f>
        <v>3035.52</v>
      </c>
      <c r="F326" s="680"/>
      <c r="G326" s="481"/>
      <c r="H326" s="656">
        <f>IF(canthor06sup&gt;17,17*165.3,165.3*canthor06sup)</f>
        <v>2810.1000000000004</v>
      </c>
      <c r="I326" s="680"/>
      <c r="J326" s="481"/>
      <c r="K326" s="656">
        <f>IF(canthor06sup&gt;17,17*151.14,151.14*canthor06sup)</f>
        <v>2569.3799999999997</v>
      </c>
      <c r="L326" s="680"/>
      <c r="M326" s="481"/>
      <c r="N326" s="656">
        <f>IF(canthor06sup&gt;17,17*138.226,138.226*canthor06sup)</f>
        <v>2349.842</v>
      </c>
      <c r="O326" s="680"/>
      <c r="P326" s="481"/>
      <c r="Q326" s="656">
        <f>IF(canthor06sup&gt;17,17*124.63,124.63*canthor06sup)</f>
        <v>2118.71</v>
      </c>
      <c r="R326" s="680"/>
      <c r="S326" s="481"/>
      <c r="T326" s="656">
        <f>IF(canthor06sup&gt;17,17*113.3,113.3*canthor06sup)</f>
        <v>1926.1</v>
      </c>
      <c r="U326" s="680"/>
      <c r="V326" s="481"/>
    </row>
    <row r="327" spans="2:22" s="7" customFormat="1" ht="12.75">
      <c r="B327" s="702" t="s">
        <v>302</v>
      </c>
      <c r="C327" s="591">
        <v>0.07</v>
      </c>
      <c r="D327" s="724" t="s">
        <v>333</v>
      </c>
      <c r="E327" s="650">
        <f>E326*0.07</f>
        <v>212.48640000000003</v>
      </c>
      <c r="F327" s="703"/>
      <c r="G327" s="481"/>
      <c r="H327" s="650">
        <f>H326*0.07</f>
        <v>196.70700000000005</v>
      </c>
      <c r="I327" s="703"/>
      <c r="J327" s="481"/>
      <c r="K327" s="650">
        <f>K326*0.07</f>
        <v>179.8566</v>
      </c>
      <c r="L327" s="703"/>
      <c r="M327" s="481"/>
      <c r="N327" s="650">
        <f>N326*0.07</f>
        <v>164.48894</v>
      </c>
      <c r="O327" s="703"/>
      <c r="P327" s="481"/>
      <c r="Q327" s="650">
        <f>Q326*0.07</f>
        <v>148.30970000000002</v>
      </c>
      <c r="R327" s="703"/>
      <c r="S327" s="481"/>
      <c r="T327" s="650">
        <f>T326*0.07</f>
        <v>134.827</v>
      </c>
      <c r="U327" s="703"/>
      <c r="V327" s="481"/>
    </row>
    <row r="328" spans="2:22" s="7" customFormat="1" ht="15.75">
      <c r="B328" s="691" t="s">
        <v>303</v>
      </c>
      <c r="C328" s="715">
        <f>T328/100.8333</f>
        <v>24.000007933886923</v>
      </c>
      <c r="D328" s="680" t="s">
        <v>315</v>
      </c>
      <c r="E328" s="656">
        <f>IF(canthorincsup*100.8333&gt;2420,2420,canthorincsup*100.83333)</f>
        <v>2420</v>
      </c>
      <c r="F328" s="680"/>
      <c r="G328" s="481"/>
      <c r="H328" s="656">
        <f>IF(canthorincsup*100.8333&gt;2420,2420,canthorincsup*100.83333)</f>
        <v>2420</v>
      </c>
      <c r="I328" s="680"/>
      <c r="J328" s="481"/>
      <c r="K328" s="656">
        <f>IF(canthorincsup*100.8333&gt;2420,2420,canthorincsup*100.83333)</f>
        <v>2420</v>
      </c>
      <c r="L328" s="680"/>
      <c r="M328" s="481"/>
      <c r="N328" s="656">
        <f>IF(canthorincsup*100.8333&gt;2420,2420,canthorincsup*100.83333)</f>
        <v>2420</v>
      </c>
      <c r="O328" s="680"/>
      <c r="P328" s="481"/>
      <c r="Q328" s="656">
        <f>IF(canthorincsup*100.8333&gt;2420,2420,canthorincsup*100.83333)</f>
        <v>2420</v>
      </c>
      <c r="R328" s="680"/>
      <c r="S328" s="481"/>
      <c r="T328" s="656">
        <f>IF(canthorincsup*100.8333&gt;2420,2420,canthorincsup*100.83333)</f>
        <v>2420</v>
      </c>
      <c r="U328" s="680"/>
      <c r="V328" s="481"/>
    </row>
    <row r="329" spans="2:22" s="7" customFormat="1" ht="12.75">
      <c r="B329" s="702" t="s">
        <v>299</v>
      </c>
      <c r="C329" s="591">
        <v>0.07</v>
      </c>
      <c r="D329" s="704" t="s">
        <v>330</v>
      </c>
      <c r="E329" s="650">
        <f>(E324+E325+E332)*0.07</f>
        <v>5481.522548880001</v>
      </c>
      <c r="F329" s="703"/>
      <c r="G329" s="481"/>
      <c r="H329" s="650">
        <f>(H324+H325+H332)*0.07</f>
        <v>5079.32522888</v>
      </c>
      <c r="I329" s="703"/>
      <c r="J329" s="481"/>
      <c r="K329" s="650">
        <f>(K324+K325+K332)*0.07</f>
        <v>4644.106100479999</v>
      </c>
      <c r="L329" s="703"/>
      <c r="M329" s="481"/>
      <c r="N329" s="650">
        <f>(N324+N325+N332)*0.07</f>
        <v>4249.6982808</v>
      </c>
      <c r="O329" s="703"/>
      <c r="P329" s="481"/>
      <c r="Q329" s="650">
        <f>(Q324+Q325+Q332)*0.07</f>
        <v>3829.4214604800004</v>
      </c>
      <c r="R329" s="703"/>
      <c r="S329" s="481"/>
      <c r="T329" s="650">
        <f>(T324+T325+T332)*0.07</f>
        <v>3460.27471776</v>
      </c>
      <c r="U329" s="703"/>
      <c r="V329" s="481"/>
    </row>
    <row r="330" spans="2:22" s="7" customFormat="1" ht="12.75">
      <c r="B330" s="692" t="s">
        <v>392</v>
      </c>
      <c r="C330" s="241">
        <f>cantkmhs</f>
        <v>0</v>
      </c>
      <c r="D330" s="716" t="s">
        <v>393</v>
      </c>
      <c r="E330" s="660">
        <f>IF(kmsemhssup&lt;300,kmsemhssup*3.7508*4,4501)</f>
        <v>0</v>
      </c>
      <c r="F330" s="770"/>
      <c r="G330" s="481"/>
      <c r="H330" s="660">
        <f>IF(kmsemhssup&lt;300,kmsemhssup*3.4725*4,4167)</f>
        <v>0</v>
      </c>
      <c r="I330" s="770"/>
      <c r="J330" s="481"/>
      <c r="K330" s="660">
        <f>IF(kmsemhssup&lt;300,kmsemhssup*3.175*4,3810)</f>
        <v>0</v>
      </c>
      <c r="L330" s="770"/>
      <c r="M330" s="481"/>
      <c r="N330" s="660">
        <f>IF(kmsemhssup&lt;300,kmsemhssup*2.9036*4,3484)</f>
        <v>0</v>
      </c>
      <c r="O330" s="680"/>
      <c r="P330" s="481"/>
      <c r="Q330" s="660">
        <f>IF(kmsemhssup&lt;300,kmsemhssup*2.9036*4,3484)</f>
        <v>0</v>
      </c>
      <c r="R330" s="680"/>
      <c r="S330" s="481"/>
      <c r="T330" s="660">
        <f>IF(kmsemhssup&lt;300,kmsemhssup*2.38*4,2856)</f>
        <v>0</v>
      </c>
      <c r="U330" s="680"/>
      <c r="V330" s="481"/>
    </row>
    <row r="331" spans="2:22" s="7" customFormat="1" ht="15.75">
      <c r="B331" s="706">
        <v>44</v>
      </c>
      <c r="C331" s="729">
        <f>T331/17.5</f>
        <v>24</v>
      </c>
      <c r="D331" s="728" t="s">
        <v>479</v>
      </c>
      <c r="E331" s="650">
        <f>IF(canthorincsup*17.5&gt;420,420,canthorincsup*17.5)</f>
        <v>420</v>
      </c>
      <c r="F331" s="703"/>
      <c r="G331" s="481"/>
      <c r="H331" s="650">
        <f>IF(canthorincsup*17.5&gt;420,420,canthorincsup*17.5)</f>
        <v>420</v>
      </c>
      <c r="I331" s="703"/>
      <c r="J331" s="481"/>
      <c r="K331" s="650">
        <f>IF(canthorincsup*17.5&gt;420,420,canthorincsup*17.5)</f>
        <v>420</v>
      </c>
      <c r="L331" s="703"/>
      <c r="M331" s="481"/>
      <c r="N331" s="650">
        <f>IF(canthorincsup*17.5&gt;420,420,canthorincsup*17.5)</f>
        <v>420</v>
      </c>
      <c r="O331" s="703"/>
      <c r="P331" s="481"/>
      <c r="Q331" s="650">
        <f>IF(canthorincsup*17.5&gt;420,420,canthorincsup*17.5)</f>
        <v>420</v>
      </c>
      <c r="R331" s="703"/>
      <c r="S331" s="481"/>
      <c r="T331" s="650">
        <f>IF(canthorincsup*17.5&gt;420,420,canthorincsup*17.5)</f>
        <v>420</v>
      </c>
      <c r="U331" s="703"/>
      <c r="V331" s="481"/>
    </row>
    <row r="332" spans="2:22" s="7" customFormat="1" ht="15.75">
      <c r="B332" s="693">
        <v>117</v>
      </c>
      <c r="C332" s="715"/>
      <c r="D332" s="712" t="s">
        <v>481</v>
      </c>
      <c r="E332" s="656">
        <f>IF(canthorsup*60.68&gt;1820.4,1820.4,canthorsup*60.68)</f>
        <v>1820.4</v>
      </c>
      <c r="F332" s="680"/>
      <c r="G332" s="481"/>
      <c r="H332" s="656">
        <f>IF(canthorsup*57.14333&gt;1715.1,1752.77,canthorsup*57.14333)</f>
        <v>1752.77</v>
      </c>
      <c r="I332" s="680"/>
      <c r="J332" s="481"/>
      <c r="K332" s="656">
        <f>IF(canthorsup*53.42&gt;1602.6,1602.26,canthorsup*53.42)</f>
        <v>1602.26</v>
      </c>
      <c r="L332" s="680"/>
      <c r="M332" s="481"/>
      <c r="N332" s="656">
        <f>IF(canthorsup*50&gt;1500,1500,canthorsup*50)</f>
        <v>1500</v>
      </c>
      <c r="O332" s="680"/>
      <c r="P332" s="481"/>
      <c r="Q332" s="656">
        <f>IF(canthorsup*44&gt;1320,1320,canthorsup*44)</f>
        <v>1320</v>
      </c>
      <c r="R332" s="680"/>
      <c r="S332" s="481"/>
      <c r="T332" s="656">
        <f>IF(canthorincsup*30&gt;900,900,canthorincsup*30)</f>
        <v>900</v>
      </c>
      <c r="U332" s="680"/>
      <c r="V332" s="481"/>
    </row>
    <row r="333" spans="2:22" s="7" customFormat="1" ht="15">
      <c r="B333" s="734" t="s">
        <v>340</v>
      </c>
      <c r="C333" s="584"/>
      <c r="D333" s="703"/>
      <c r="E333" s="667">
        <v>0</v>
      </c>
      <c r="F333" s="703"/>
      <c r="G333" s="481"/>
      <c r="H333" s="667">
        <v>0</v>
      </c>
      <c r="I333" s="703"/>
      <c r="J333" s="481"/>
      <c r="K333" s="667">
        <v>0</v>
      </c>
      <c r="L333" s="703"/>
      <c r="M333" s="481"/>
      <c r="N333" s="667">
        <v>0</v>
      </c>
      <c r="O333" s="703"/>
      <c r="P333" s="481"/>
      <c r="Q333" s="667">
        <v>0</v>
      </c>
      <c r="R333" s="703"/>
      <c r="S333" s="481"/>
      <c r="T333" s="667">
        <v>0</v>
      </c>
      <c r="U333" s="703"/>
      <c r="V333" s="481"/>
    </row>
    <row r="334" spans="2:22" s="7" customFormat="1" ht="15.75">
      <c r="B334" s="695"/>
      <c r="C334" s="714" t="s">
        <v>8</v>
      </c>
      <c r="D334" s="717"/>
      <c r="E334" s="681">
        <f>SUM(E324:E333)</f>
        <v>89876.99393288001</v>
      </c>
      <c r="F334" s="680"/>
      <c r="G334" s="481"/>
      <c r="H334" s="681">
        <f>SUM(H324:H333)</f>
        <v>83487.92121288</v>
      </c>
      <c r="I334" s="680"/>
      <c r="J334" s="481"/>
      <c r="K334" s="681">
        <f>SUM(K324:K333)</f>
        <v>76577.71556448</v>
      </c>
      <c r="L334" s="680"/>
      <c r="M334" s="481"/>
      <c r="N334" s="681">
        <f>SUM(N324:N333)</f>
        <v>70314.0046608</v>
      </c>
      <c r="O334" s="680"/>
      <c r="P334" s="481"/>
      <c r="Q334" s="681">
        <f>SUM(Q324:Q333)</f>
        <v>63642.462024479995</v>
      </c>
      <c r="R334" s="680"/>
      <c r="S334" s="481"/>
      <c r="T334" s="681">
        <f>SUM(T324:T333)</f>
        <v>57793.697685759995</v>
      </c>
      <c r="U334" s="680"/>
      <c r="V334" s="481"/>
    </row>
    <row r="335" spans="2:22" s="7" customFormat="1" ht="15">
      <c r="B335" s="735" t="s">
        <v>335</v>
      </c>
      <c r="C335" s="598"/>
      <c r="D335" s="724" t="s">
        <v>336</v>
      </c>
      <c r="E335" s="667">
        <v>0</v>
      </c>
      <c r="F335" s="736">
        <f>-K335</f>
        <v>0</v>
      </c>
      <c r="G335" s="481"/>
      <c r="H335" s="667">
        <v>0</v>
      </c>
      <c r="I335" s="736">
        <f>-N335</f>
        <v>0</v>
      </c>
      <c r="J335" s="481"/>
      <c r="K335" s="667">
        <v>0</v>
      </c>
      <c r="L335" s="736">
        <f>-Q335</f>
        <v>0</v>
      </c>
      <c r="M335" s="481"/>
      <c r="N335" s="667">
        <v>0</v>
      </c>
      <c r="O335" s="736">
        <f>-T335</f>
        <v>0</v>
      </c>
      <c r="P335" s="481"/>
      <c r="Q335" s="667">
        <v>0</v>
      </c>
      <c r="R335" s="736">
        <f>-T335</f>
        <v>0</v>
      </c>
      <c r="S335" s="481"/>
      <c r="T335" s="667">
        <v>0</v>
      </c>
      <c r="U335" s="736">
        <f>-T335</f>
        <v>0</v>
      </c>
      <c r="V335" s="481"/>
    </row>
    <row r="336" spans="2:22" s="7" customFormat="1" ht="12.75">
      <c r="B336" s="684">
        <v>502</v>
      </c>
      <c r="C336" s="565">
        <v>0.16</v>
      </c>
      <c r="D336" s="718" t="s">
        <v>339</v>
      </c>
      <c r="E336" s="733"/>
      <c r="F336" s="683">
        <f>-(E324+E325+E329+E326+E327+F335+E332)*porjub</f>
        <v>-13925.919029260802</v>
      </c>
      <c r="G336" s="481"/>
      <c r="H336" s="733"/>
      <c r="I336" s="683">
        <f>-(H324+H325+H329+H326+H327+I335+H332)*porjub</f>
        <v>-12903.6673940608</v>
      </c>
      <c r="J336" s="481"/>
      <c r="K336" s="733"/>
      <c r="L336" s="683">
        <f>-(K324+K325+K329+K326+K327+L335+K332)*porjub</f>
        <v>-11798.034490316799</v>
      </c>
      <c r="M336" s="481"/>
      <c r="N336" s="733"/>
      <c r="O336" s="683">
        <f>-(N324+N325+N329+N326+N327+O335+N332)*porjub</f>
        <v>-10795.840745728</v>
      </c>
      <c r="P336" s="481"/>
      <c r="Q336" s="733"/>
      <c r="R336" s="683">
        <f>-(Q324+Q325+Q329+Q326+Q327+R335+Q332)*porjub</f>
        <v>-9728.3939239168</v>
      </c>
      <c r="S336" s="481"/>
      <c r="T336" s="733"/>
      <c r="U336" s="683">
        <f>-(T324+T325+T329+T326+T327+U335+T332)*porjub</f>
        <v>-8792.591629721599</v>
      </c>
      <c r="V336" s="481"/>
    </row>
    <row r="337" spans="2:22" s="7" customFormat="1" ht="12.75">
      <c r="B337" s="708">
        <v>504</v>
      </c>
      <c r="C337" s="573">
        <v>0.006</v>
      </c>
      <c r="D337" s="703" t="s">
        <v>338</v>
      </c>
      <c r="E337" s="708"/>
      <c r="F337" s="710">
        <f>-(E324+E325+E329+E326+E327+F335+E332)*porley</f>
        <v>-522.22196359728</v>
      </c>
      <c r="G337" s="481"/>
      <c r="H337" s="708"/>
      <c r="I337" s="710">
        <f>-(H324+H325+H329+H326+H327+I335+H332)*porley</f>
        <v>-483.88752727728</v>
      </c>
      <c r="J337" s="481"/>
      <c r="K337" s="708"/>
      <c r="L337" s="710">
        <f>-(K324+K325+K329+K326+K327+L335+K332)*porley</f>
        <v>-442.42629338688</v>
      </c>
      <c r="M337" s="481"/>
      <c r="N337" s="708"/>
      <c r="O337" s="710">
        <f>-(N324+N325+N329+N326+N327+O335+N332)*porley</f>
        <v>-404.8440279648</v>
      </c>
      <c r="P337" s="481"/>
      <c r="Q337" s="708"/>
      <c r="R337" s="710">
        <f>-(Q324+Q325+Q329+Q326+Q327+R335+Q332)*porley</f>
        <v>-364.81477214688</v>
      </c>
      <c r="S337" s="481"/>
      <c r="T337" s="708"/>
      <c r="U337" s="710">
        <f>-(T324+T325+T329+T326+T327+U335+T332)*porley</f>
        <v>-329.72218611456</v>
      </c>
      <c r="V337" s="481"/>
    </row>
    <row r="338" spans="2:22" s="7" customFormat="1" ht="12.75">
      <c r="B338" s="684">
        <v>505</v>
      </c>
      <c r="C338" s="566">
        <v>0.03</v>
      </c>
      <c r="D338" s="718" t="s">
        <v>337</v>
      </c>
      <c r="E338" s="682"/>
      <c r="F338" s="683">
        <f>-(E324+E325+E329+E326+E327+F335+E332)*poros</f>
        <v>-2611.1098179864002</v>
      </c>
      <c r="G338" s="481"/>
      <c r="H338" s="682"/>
      <c r="I338" s="683">
        <f>-(H324+H325+H329+H326+H327+I335+H332)*poros</f>
        <v>-2419.4376363864</v>
      </c>
      <c r="J338" s="481"/>
      <c r="K338" s="682"/>
      <c r="L338" s="683">
        <f>-(K324+K325+K329+K326+K327+L335+K332)*poros</f>
        <v>-2212.1314669343997</v>
      </c>
      <c r="M338" s="481"/>
      <c r="N338" s="682"/>
      <c r="O338" s="683">
        <f>-(N324+N325+N329+N326+N327+O335+N332)*poros</f>
        <v>-2024.220139824</v>
      </c>
      <c r="P338" s="481"/>
      <c r="Q338" s="682"/>
      <c r="R338" s="683">
        <f>-(Q324+Q325+Q329+Q326+Q327+R335+Q332)*poros</f>
        <v>-1824.0738607344</v>
      </c>
      <c r="S338" s="481"/>
      <c r="T338" s="682"/>
      <c r="U338" s="683">
        <f>-(T324+T325+T329+T326+T327+U335+T332)*poros</f>
        <v>-1648.6109305727998</v>
      </c>
      <c r="V338" s="481"/>
    </row>
    <row r="339" spans="2:22" s="7" customFormat="1" ht="12.75">
      <c r="B339" s="737">
        <v>332</v>
      </c>
      <c r="C339" s="575">
        <v>0</v>
      </c>
      <c r="D339" s="738" t="s">
        <v>471</v>
      </c>
      <c r="E339" s="709"/>
      <c r="F339" s="710">
        <f>-(E324+E325+E329+E326+E327+F335+E332)*poragmer-E328*poragmer</f>
        <v>0</v>
      </c>
      <c r="G339" s="481"/>
      <c r="H339" s="709"/>
      <c r="I339" s="710">
        <f>-(H324+H325+H329+H326+H327+I335+H332)*poragmer-H328*poragmer</f>
        <v>0</v>
      </c>
      <c r="J339" s="481"/>
      <c r="K339" s="709"/>
      <c r="L339" s="710">
        <f>-(K324+K325+K329+K326+K327+L335+K332)*poragmer-K328*poragmer</f>
        <v>0</v>
      </c>
      <c r="M339" s="481"/>
      <c r="N339" s="709"/>
      <c r="O339" s="710">
        <f>-(N324+N325+N329+N326+N327+O335+N332)*poragmer-N328*poragmer</f>
        <v>0</v>
      </c>
      <c r="P339" s="481"/>
      <c r="Q339" s="709"/>
      <c r="R339" s="710">
        <f>-(Q324+Q325+Q329+Q326+Q327+R335+Q332)*poragmer-Q328*poragmer</f>
        <v>0</v>
      </c>
      <c r="S339" s="481"/>
      <c r="T339" s="709"/>
      <c r="U339" s="710">
        <f>-(T324+T325+T329+T326+T327+U335+T332)*poragmer-T328*poragmer</f>
        <v>0</v>
      </c>
      <c r="V339" s="481"/>
    </row>
    <row r="340" spans="2:22" s="7" customFormat="1" ht="15">
      <c r="B340" s="698" t="s">
        <v>2</v>
      </c>
      <c r="C340" s="541">
        <v>0</v>
      </c>
      <c r="D340" s="680"/>
      <c r="E340" s="684"/>
      <c r="F340" s="683">
        <f>-(E325+E324+E329+E326+E327+F335+E332)*C340</f>
        <v>0</v>
      </c>
      <c r="G340" s="481"/>
      <c r="H340" s="684"/>
      <c r="I340" s="683">
        <f>-(H325+H324+H329+H326+H327+I335+H332)*C340</f>
        <v>0</v>
      </c>
      <c r="J340" s="481"/>
      <c r="K340" s="684"/>
      <c r="L340" s="683">
        <f>-(K325+K324+K329+K326+K327+L335+K332)*C340</f>
        <v>0</v>
      </c>
      <c r="M340" s="481"/>
      <c r="N340" s="684"/>
      <c r="O340" s="683">
        <f>-(N325+N324+N329+N326+N327+O335+N332)*C340</f>
        <v>0</v>
      </c>
      <c r="P340" s="481"/>
      <c r="Q340" s="684"/>
      <c r="R340" s="683">
        <f>-(Q325+Q324+Q329+Q326+Q327+R335+Q332)*C340</f>
        <v>0</v>
      </c>
      <c r="S340" s="481"/>
      <c r="T340" s="684"/>
      <c r="U340" s="683">
        <f>-(T325+T324+T329+T326+T327+U335+T332)*C340</f>
        <v>0</v>
      </c>
      <c r="V340" s="481"/>
    </row>
    <row r="341" spans="2:22" s="7" customFormat="1" ht="16.5" thickBot="1">
      <c r="B341" s="739"/>
      <c r="C341" s="740"/>
      <c r="D341" s="741" t="s">
        <v>3</v>
      </c>
      <c r="E341" s="739"/>
      <c r="F341" s="742">
        <f>SUM(F336:F340)</f>
        <v>-17059.25081084448</v>
      </c>
      <c r="G341" s="481"/>
      <c r="H341" s="739"/>
      <c r="I341" s="742">
        <f>SUM(I336:I340)</f>
        <v>-15806.99255772448</v>
      </c>
      <c r="J341" s="481"/>
      <c r="K341" s="739"/>
      <c r="L341" s="742">
        <f>SUM(L336:L340)</f>
        <v>-14452.592250638078</v>
      </c>
      <c r="M341" s="481"/>
      <c r="N341" s="739"/>
      <c r="O341" s="742">
        <f>SUM(O336:O340)</f>
        <v>-13224.904913516799</v>
      </c>
      <c r="P341" s="481"/>
      <c r="Q341" s="739"/>
      <c r="R341" s="742">
        <f>SUM(R336:R340)</f>
        <v>-11917.282556798078</v>
      </c>
      <c r="S341" s="481"/>
      <c r="T341" s="739"/>
      <c r="U341" s="742">
        <f>SUM(U336:U340)</f>
        <v>-10770.92474640896</v>
      </c>
      <c r="V341" s="481"/>
    </row>
    <row r="342" spans="4:22" ht="13.5" thickBot="1">
      <c r="D342" s="434"/>
      <c r="G342" s="372"/>
      <c r="J342" s="372"/>
      <c r="M342" s="372"/>
      <c r="P342" s="372"/>
      <c r="S342" s="372"/>
      <c r="V342" s="372"/>
    </row>
    <row r="343" spans="2:22" ht="24.75" thickBot="1" thickTop="1">
      <c r="B343" s="166"/>
      <c r="D343" s="435"/>
      <c r="E343" s="375" t="s">
        <v>4</v>
      </c>
      <c r="F343" s="376">
        <f>E334+F341</f>
        <v>72817.74312203552</v>
      </c>
      <c r="G343" s="372"/>
      <c r="H343" s="375" t="s">
        <v>4</v>
      </c>
      <c r="I343" s="376">
        <f>H334+I341</f>
        <v>67680.92865515553</v>
      </c>
      <c r="J343" s="372"/>
      <c r="K343" s="375" t="s">
        <v>4</v>
      </c>
      <c r="L343" s="376">
        <f>K334+L341</f>
        <v>62125.12331384192</v>
      </c>
      <c r="M343" s="372"/>
      <c r="N343" s="375" t="s">
        <v>4</v>
      </c>
      <c r="O343" s="376">
        <f>N334+O341</f>
        <v>57089.099747283195</v>
      </c>
      <c r="P343" s="372"/>
      <c r="Q343" s="375" t="s">
        <v>4</v>
      </c>
      <c r="R343" s="376">
        <f>Q334+R341</f>
        <v>51725.17946768192</v>
      </c>
      <c r="S343" s="372"/>
      <c r="T343" s="375" t="s">
        <v>4</v>
      </c>
      <c r="U343" s="376">
        <f>T334+U341</f>
        <v>47022.77293935104</v>
      </c>
      <c r="V343" s="372"/>
    </row>
    <row r="344" spans="2:22" ht="24" thickTop="1">
      <c r="B344" s="166"/>
      <c r="D344" s="785"/>
      <c r="E344" s="116"/>
      <c r="F344" s="784"/>
      <c r="G344" s="372"/>
      <c r="H344" s="116"/>
      <c r="I344" s="784"/>
      <c r="J344" s="372"/>
      <c r="K344" s="116"/>
      <c r="L344" s="409"/>
      <c r="M344" s="372"/>
      <c r="N344" s="116"/>
      <c r="O344" s="409"/>
      <c r="P344" s="372"/>
      <c r="Q344" s="116"/>
      <c r="R344" s="409"/>
      <c r="S344" s="372"/>
      <c r="T344" s="116"/>
      <c r="U344" s="409"/>
      <c r="V344" s="372"/>
    </row>
    <row r="345" spans="2:22" ht="24" thickBot="1">
      <c r="B345" s="166"/>
      <c r="D345" s="785"/>
      <c r="E345" s="95" t="s">
        <v>496</v>
      </c>
      <c r="F345" s="409"/>
      <c r="G345" s="372"/>
      <c r="H345" s="95" t="s">
        <v>496</v>
      </c>
      <c r="I345" s="409"/>
      <c r="J345" s="372"/>
      <c r="K345" s="95" t="s">
        <v>496</v>
      </c>
      <c r="L345" s="409"/>
      <c r="M345" s="372"/>
      <c r="N345" s="95" t="s">
        <v>496</v>
      </c>
      <c r="O345" s="409"/>
      <c r="P345" s="372"/>
      <c r="R345" s="409"/>
      <c r="S345" s="372"/>
      <c r="T345" s="95"/>
      <c r="U345" s="409"/>
      <c r="V345" s="372"/>
    </row>
    <row r="346" spans="2:22" ht="18">
      <c r="B346" s="166"/>
      <c r="D346" s="785"/>
      <c r="E346" s="405" t="s">
        <v>372</v>
      </c>
      <c r="F346" s="406">
        <f>F343-I343</f>
        <v>5136.814466879994</v>
      </c>
      <c r="G346" s="372"/>
      <c r="H346" s="405" t="s">
        <v>372</v>
      </c>
      <c r="I346" s="406">
        <f>I343-L343</f>
        <v>5555.805341313608</v>
      </c>
      <c r="J346" s="372"/>
      <c r="K346" s="405" t="s">
        <v>372</v>
      </c>
      <c r="L346" s="406">
        <f>L343-O343</f>
        <v>5036.023566558724</v>
      </c>
      <c r="M346" s="372"/>
      <c r="N346" s="405" t="s">
        <v>372</v>
      </c>
      <c r="O346" s="406">
        <f>O343-R343</f>
        <v>5363.920279601276</v>
      </c>
      <c r="P346" s="372"/>
      <c r="Q346" s="405" t="s">
        <v>372</v>
      </c>
      <c r="R346" s="406">
        <f>R343-U343</f>
        <v>4702.406528330881</v>
      </c>
      <c r="S346" s="372"/>
      <c r="T346" s="405"/>
      <c r="U346" s="406"/>
      <c r="V346" s="372"/>
    </row>
    <row r="347" spans="4:22" s="3" customFormat="1" ht="18.75" thickBot="1">
      <c r="D347" s="786"/>
      <c r="E347" s="407" t="s">
        <v>373</v>
      </c>
      <c r="F347" s="408">
        <f>F346/U343</f>
        <v>0.10924099422008453</v>
      </c>
      <c r="G347" s="412"/>
      <c r="H347" s="407" t="s">
        <v>373</v>
      </c>
      <c r="I347" s="408">
        <f>I346/U343</f>
        <v>0.11815137632311404</v>
      </c>
      <c r="J347" s="412"/>
      <c r="K347" s="407" t="s">
        <v>373</v>
      </c>
      <c r="L347" s="408">
        <f>L346/U343</f>
        <v>0.1070975455457312</v>
      </c>
      <c r="M347" s="412"/>
      <c r="N347" s="407" t="s">
        <v>373</v>
      </c>
      <c r="O347" s="408">
        <f>O346/U343</f>
        <v>0.11407069265182522</v>
      </c>
      <c r="P347" s="412"/>
      <c r="Q347" s="407" t="s">
        <v>373</v>
      </c>
      <c r="R347" s="408">
        <f>R346/U343</f>
        <v>0.10000274833634214</v>
      </c>
      <c r="S347" s="412"/>
      <c r="T347" s="407"/>
      <c r="U347" s="408"/>
      <c r="V347" s="412"/>
    </row>
    <row r="348" spans="2:22" s="3" customFormat="1" ht="27.75" customHeight="1" thickBot="1">
      <c r="B348" s="368"/>
      <c r="C348" s="176"/>
      <c r="D348" s="787"/>
      <c r="E348" s="4" t="s">
        <v>482</v>
      </c>
      <c r="G348" s="413"/>
      <c r="H348" s="4" t="s">
        <v>482</v>
      </c>
      <c r="J348" s="413"/>
      <c r="K348" s="4" t="s">
        <v>482</v>
      </c>
      <c r="M348" s="413"/>
      <c r="N348" s="4" t="s">
        <v>482</v>
      </c>
      <c r="P348" s="413"/>
      <c r="Q348" s="95" t="s">
        <v>496</v>
      </c>
      <c r="S348" s="413"/>
      <c r="T348" s="4"/>
      <c r="V348" s="413"/>
    </row>
    <row r="349" spans="2:22" s="3" customFormat="1" ht="28.5" customHeight="1" thickBot="1">
      <c r="B349" s="368"/>
      <c r="C349" s="176"/>
      <c r="D349" s="448"/>
      <c r="E349" s="783" t="s">
        <v>526</v>
      </c>
      <c r="F349" s="420">
        <f>F343-U343</f>
        <v>25794.970182684483</v>
      </c>
      <c r="G349" s="414"/>
      <c r="H349" s="783" t="s">
        <v>526</v>
      </c>
      <c r="I349" s="420">
        <f>I343-U343</f>
        <v>20658.15571580449</v>
      </c>
      <c r="J349" s="414"/>
      <c r="K349" s="419" t="s">
        <v>372</v>
      </c>
      <c r="L349" s="420">
        <f>L343-U343</f>
        <v>15102.350374490881</v>
      </c>
      <c r="M349" s="414"/>
      <c r="N349" s="419" t="s">
        <v>372</v>
      </c>
      <c r="O349" s="420">
        <f>O343-U343</f>
        <v>10066.326807932157</v>
      </c>
      <c r="P349" s="414"/>
      <c r="Q349" s="419" t="s">
        <v>372</v>
      </c>
      <c r="R349" s="420">
        <f>R343-U343</f>
        <v>4702.406528330881</v>
      </c>
      <c r="S349" s="414"/>
      <c r="T349" s="419"/>
      <c r="U349" s="420"/>
      <c r="V349" s="414"/>
    </row>
    <row r="350" spans="2:22" s="3" customFormat="1" ht="28.5" customHeight="1" thickBot="1">
      <c r="B350" s="368"/>
      <c r="C350" s="176"/>
      <c r="D350" s="448"/>
      <c r="E350" s="783" t="s">
        <v>527</v>
      </c>
      <c r="F350" s="422">
        <f>F349/U343</f>
        <v>0.5485633570770971</v>
      </c>
      <c r="G350" s="373"/>
      <c r="H350" s="783" t="s">
        <v>527</v>
      </c>
      <c r="I350" s="422">
        <f>I349/U343</f>
        <v>0.4393223628570126</v>
      </c>
      <c r="J350" s="373"/>
      <c r="K350" s="421" t="s">
        <v>373</v>
      </c>
      <c r="L350" s="422">
        <f>L349/U343</f>
        <v>0.32117098653389853</v>
      </c>
      <c r="M350" s="373"/>
      <c r="N350" s="421" t="s">
        <v>373</v>
      </c>
      <c r="O350" s="422">
        <f>O349/U343</f>
        <v>0.21407344098816736</v>
      </c>
      <c r="P350" s="373"/>
      <c r="Q350" s="421" t="s">
        <v>373</v>
      </c>
      <c r="R350" s="422">
        <f>R349/U343</f>
        <v>0.10000274833634214</v>
      </c>
      <c r="S350" s="373"/>
      <c r="T350" s="421"/>
      <c r="U350" s="422"/>
      <c r="V350" s="373"/>
    </row>
    <row r="351" spans="4:22" ht="13.5" thickBot="1">
      <c r="D351" s="434"/>
      <c r="G351" s="372"/>
      <c r="J351" s="372"/>
      <c r="M351" s="372"/>
      <c r="P351" s="372"/>
      <c r="S351" s="372"/>
      <c r="V351" s="372"/>
    </row>
    <row r="352" spans="4:22" ht="17.25" thickBot="1" thickTop="1">
      <c r="D352" s="434"/>
      <c r="E352" s="458" t="s">
        <v>483</v>
      </c>
      <c r="F352" s="459"/>
      <c r="G352" s="372"/>
      <c r="H352" s="458" t="s">
        <v>483</v>
      </c>
      <c r="I352" s="459"/>
      <c r="J352" s="372"/>
      <c r="K352" s="458" t="s">
        <v>483</v>
      </c>
      <c r="L352" s="459"/>
      <c r="M352" s="372"/>
      <c r="N352" s="458" t="s">
        <v>483</v>
      </c>
      <c r="O352" s="459"/>
      <c r="P352" s="372"/>
      <c r="Q352" s="458" t="s">
        <v>483</v>
      </c>
      <c r="R352" s="459"/>
      <c r="S352" s="372"/>
      <c r="T352" s="458" t="s">
        <v>483</v>
      </c>
      <c r="U352" s="459"/>
      <c r="V352" s="372"/>
    </row>
    <row r="353" spans="4:22" ht="16.5" thickBot="1">
      <c r="D353" s="434"/>
      <c r="E353" s="460" t="s">
        <v>484</v>
      </c>
      <c r="F353" s="461">
        <f>(E324+E325+E326+E327+E329+E332)*0.5</f>
        <v>43518.496966440005</v>
      </c>
      <c r="G353" s="372"/>
      <c r="H353" s="460" t="s">
        <v>484</v>
      </c>
      <c r="I353" s="461">
        <f>(H324+H325+H326+H327+H329+H332)*0.5</f>
        <v>40323.96060644</v>
      </c>
      <c r="J353" s="372"/>
      <c r="K353" s="460" t="s">
        <v>484</v>
      </c>
      <c r="L353" s="461">
        <f>(K324+K325+K326+K327+K329+K332)*0.5</f>
        <v>36868.85778224</v>
      </c>
      <c r="M353" s="372"/>
      <c r="N353" s="460" t="s">
        <v>484</v>
      </c>
      <c r="O353" s="461">
        <f>(N324+N325+N326+N327+N329+N332)*0.5</f>
        <v>33737.0023304</v>
      </c>
      <c r="P353" s="372"/>
      <c r="Q353" s="460" t="s">
        <v>484</v>
      </c>
      <c r="R353" s="461">
        <f>(Q324+Q325+Q326+Q327+Q329+Q332)*0.5</f>
        <v>30401.231012239998</v>
      </c>
      <c r="S353" s="372"/>
      <c r="T353" s="460" t="s">
        <v>484</v>
      </c>
      <c r="U353" s="461">
        <f>(T324+T325+T326+T327+T329+T332)*0.5</f>
        <v>27476.848842879997</v>
      </c>
      <c r="V353" s="372"/>
    </row>
    <row r="354" spans="4:22" ht="16.5" thickBot="1">
      <c r="D354" s="434"/>
      <c r="E354" s="462" t="s">
        <v>485</v>
      </c>
      <c r="F354" s="463"/>
      <c r="G354" s="372"/>
      <c r="H354" s="462" t="s">
        <v>485</v>
      </c>
      <c r="I354" s="463"/>
      <c r="J354" s="372"/>
      <c r="K354" s="462" t="s">
        <v>485</v>
      </c>
      <c r="L354" s="463"/>
      <c r="M354" s="372"/>
      <c r="N354" s="462" t="s">
        <v>485</v>
      </c>
      <c r="O354" s="463"/>
      <c r="P354" s="372"/>
      <c r="Q354" s="462" t="s">
        <v>485</v>
      </c>
      <c r="R354" s="463"/>
      <c r="S354" s="372"/>
      <c r="T354" s="462" t="s">
        <v>485</v>
      </c>
      <c r="U354" s="463"/>
      <c r="V354" s="372"/>
    </row>
    <row r="355" spans="4:22" ht="12.75">
      <c r="D355" s="434"/>
      <c r="E355" s="476" t="s">
        <v>489</v>
      </c>
      <c r="F355" s="475">
        <f>F353*0.804</f>
        <v>34988.87156101777</v>
      </c>
      <c r="G355" s="372"/>
      <c r="H355" s="476" t="s">
        <v>489</v>
      </c>
      <c r="I355" s="475">
        <f>I353*0.804</f>
        <v>32420.46432757776</v>
      </c>
      <c r="J355" s="372"/>
      <c r="K355" s="476" t="s">
        <v>489</v>
      </c>
      <c r="L355" s="475">
        <f>L353*0.804</f>
        <v>29642.56165692096</v>
      </c>
      <c r="M355" s="372"/>
      <c r="N355" s="476" t="s">
        <v>489</v>
      </c>
      <c r="O355" s="475">
        <f>O353*0.804</f>
        <v>27124.5498736416</v>
      </c>
      <c r="P355" s="372"/>
      <c r="Q355" s="476" t="s">
        <v>489</v>
      </c>
      <c r="R355" s="475">
        <f>R353*0.804</f>
        <v>24442.58973384096</v>
      </c>
      <c r="S355" s="372"/>
      <c r="T355" s="476" t="s">
        <v>489</v>
      </c>
      <c r="U355" s="475">
        <f>U353*0.804</f>
        <v>22091.38646967552</v>
      </c>
      <c r="V355" s="372"/>
    </row>
    <row r="356" spans="4:22" ht="15.75">
      <c r="D356" s="434"/>
      <c r="E356" s="464" t="s">
        <v>486</v>
      </c>
      <c r="F356" s="465"/>
      <c r="G356" s="372"/>
      <c r="H356" s="464" t="s">
        <v>486</v>
      </c>
      <c r="I356" s="465"/>
      <c r="J356" s="372"/>
      <c r="K356" s="464" t="s">
        <v>486</v>
      </c>
      <c r="L356" s="465"/>
      <c r="M356" s="372"/>
      <c r="N356" s="464" t="s">
        <v>486</v>
      </c>
      <c r="O356" s="465"/>
      <c r="P356" s="372"/>
      <c r="Q356" s="464" t="s">
        <v>486</v>
      </c>
      <c r="R356" s="465"/>
      <c r="S356" s="372"/>
      <c r="T356" s="464" t="s">
        <v>486</v>
      </c>
      <c r="U356" s="465"/>
      <c r="V356" s="372"/>
    </row>
    <row r="357" spans="4:22" ht="15.75">
      <c r="D357" s="434"/>
      <c r="E357" s="464">
        <v>502</v>
      </c>
      <c r="F357" s="466">
        <f>-(E324+E325+E329+E326+E327+F335+E332+F353)*0.16</f>
        <v>-20888.878543891205</v>
      </c>
      <c r="G357" s="372"/>
      <c r="H357" s="464">
        <v>502</v>
      </c>
      <c r="I357" s="466">
        <f>-(H324+H325+H329+H326+H327+I335+H332+I353)*0.16</f>
        <v>-19355.5010910912</v>
      </c>
      <c r="J357" s="372"/>
      <c r="K357" s="464">
        <v>502</v>
      </c>
      <c r="L357" s="466">
        <f>-(K324+K325+K329+K326+K327+L335+K332+L353)*0.16</f>
        <v>-17697.051735475197</v>
      </c>
      <c r="M357" s="372"/>
      <c r="N357" s="464">
        <v>502</v>
      </c>
      <c r="O357" s="466">
        <f>-(N324+N325+N329+N326+N327+O335+N332+O353)*0.16</f>
        <v>-16193.761118592001</v>
      </c>
      <c r="P357" s="372"/>
      <c r="Q357" s="464">
        <v>502</v>
      </c>
      <c r="R357" s="466">
        <f>-(Q324+Q325+Q329+Q326+Q327+R335+Q332+R353)*0.16</f>
        <v>-14592.5908858752</v>
      </c>
      <c r="S357" s="372"/>
      <c r="T357" s="464">
        <v>502</v>
      </c>
      <c r="U357" s="466">
        <f>-(T324+T325+T329+T326+T327+U335+T332+U353)*0.16</f>
        <v>-13188.8874445824</v>
      </c>
      <c r="V357" s="372"/>
    </row>
    <row r="358" spans="4:22" ht="15.75">
      <c r="D358" s="434"/>
      <c r="E358" s="464">
        <v>504</v>
      </c>
      <c r="F358" s="466">
        <f>-(E324+E325+E329+E326+E327+F335+E332+F353)*0.006</f>
        <v>-783.3329453959202</v>
      </c>
      <c r="G358" s="372"/>
      <c r="H358" s="464">
        <v>504</v>
      </c>
      <c r="I358" s="466">
        <f>-(H324+H325+H329+H326+H327+I335+H332+I353)*0.006</f>
        <v>-725.83129091592</v>
      </c>
      <c r="J358" s="372"/>
      <c r="K358" s="464">
        <v>504</v>
      </c>
      <c r="L358" s="466">
        <f>-(K324+K325+K329+K326+K327+L335+K332+L353)*0.006</f>
        <v>-663.6394400803199</v>
      </c>
      <c r="M358" s="372"/>
      <c r="N358" s="464">
        <v>504</v>
      </c>
      <c r="O358" s="466">
        <f>-(N324+N325+N329+N326+N327+O335+N332+O353)*0.006</f>
        <v>-607.2660419472</v>
      </c>
      <c r="P358" s="372"/>
      <c r="Q358" s="464">
        <v>504</v>
      </c>
      <c r="R358" s="466">
        <f>-(Q324+Q325+Q329+Q326+Q327+R335+Q332+R353)*0.006</f>
        <v>-547.22215822032</v>
      </c>
      <c r="S358" s="372"/>
      <c r="T358" s="464">
        <v>504</v>
      </c>
      <c r="U358" s="466">
        <f>-(T324+T325+T329+T326+T327+U335+T332+U353)*0.006</f>
        <v>-494.58327917184</v>
      </c>
      <c r="V358" s="372"/>
    </row>
    <row r="359" spans="4:22" ht="15.75">
      <c r="D359" s="434"/>
      <c r="E359" s="464">
        <v>505</v>
      </c>
      <c r="F359" s="466">
        <f>-(E324+E325+E329+E326+E327+F335+E332+F353)*0.03</f>
        <v>-3916.6647269796003</v>
      </c>
      <c r="G359" s="372"/>
      <c r="H359" s="464">
        <v>505</v>
      </c>
      <c r="I359" s="466">
        <f>-(H324+H325+H329+H326+H327+I335+H332+I353)*0.03</f>
        <v>-3629.1564545796</v>
      </c>
      <c r="J359" s="372"/>
      <c r="K359" s="464">
        <v>505</v>
      </c>
      <c r="L359" s="466">
        <f>-(K324+K325+K329+K326+K327+L335+K332+L353)*0.03</f>
        <v>-3318.1972004015997</v>
      </c>
      <c r="M359" s="372"/>
      <c r="N359" s="464">
        <v>505</v>
      </c>
      <c r="O359" s="466">
        <f>-(N324+N325+N329+N326+N327+O335+N332+O353)*0.03</f>
        <v>-3036.330209736</v>
      </c>
      <c r="P359" s="372"/>
      <c r="Q359" s="464">
        <v>505</v>
      </c>
      <c r="R359" s="466">
        <f>-(Q324+Q325+Q329+Q326+Q327+R335+Q332+R353)*0.03</f>
        <v>-2736.1107911015997</v>
      </c>
      <c r="S359" s="372"/>
      <c r="T359" s="464">
        <v>505</v>
      </c>
      <c r="U359" s="466">
        <f>-(T324+T325+T329+T326+T327+U335+T332+U353)*0.03</f>
        <v>-2472.9163958592</v>
      </c>
      <c r="V359" s="372"/>
    </row>
    <row r="360" spans="4:22" ht="15.75">
      <c r="D360" s="434"/>
      <c r="E360" s="467"/>
      <c r="F360" s="465"/>
      <c r="G360" s="372"/>
      <c r="H360" s="467"/>
      <c r="I360" s="465"/>
      <c r="J360" s="372"/>
      <c r="K360" s="467"/>
      <c r="L360" s="465"/>
      <c r="M360" s="372"/>
      <c r="N360" s="467"/>
      <c r="O360" s="465"/>
      <c r="P360" s="372"/>
      <c r="Q360" s="467"/>
      <c r="R360" s="465"/>
      <c r="S360" s="372"/>
      <c r="T360" s="467"/>
      <c r="U360" s="465"/>
      <c r="V360" s="372"/>
    </row>
    <row r="361" spans="4:22" ht="15.75" thickBot="1">
      <c r="D361" s="434"/>
      <c r="E361" s="468" t="s">
        <v>487</v>
      </c>
      <c r="F361" s="469"/>
      <c r="G361" s="372"/>
      <c r="H361" s="468" t="s">
        <v>487</v>
      </c>
      <c r="I361" s="469"/>
      <c r="J361" s="372"/>
      <c r="K361" s="468" t="s">
        <v>487</v>
      </c>
      <c r="L361" s="469"/>
      <c r="M361" s="372"/>
      <c r="N361" s="468" t="s">
        <v>487</v>
      </c>
      <c r="O361" s="469"/>
      <c r="P361" s="372"/>
      <c r="Q361" s="468" t="s">
        <v>487</v>
      </c>
      <c r="R361" s="469"/>
      <c r="S361" s="372"/>
      <c r="T361" s="468" t="s">
        <v>487</v>
      </c>
      <c r="U361" s="469"/>
      <c r="V361" s="372"/>
    </row>
    <row r="362" spans="4:22" ht="16.5" thickBot="1">
      <c r="D362" s="434"/>
      <c r="E362" s="468"/>
      <c r="F362" s="470">
        <f>E334+F353+F354+F357+F358+F359</f>
        <v>107806.61468305331</v>
      </c>
      <c r="G362" s="372"/>
      <c r="H362" s="468"/>
      <c r="I362" s="470">
        <f>H334+I353+I354+I357+I358+I359</f>
        <v>100101.39298273329</v>
      </c>
      <c r="J362" s="372"/>
      <c r="K362" s="468"/>
      <c r="L362" s="470">
        <f>K334+L353+L354+L357+L358+L359</f>
        <v>91767.68497076287</v>
      </c>
      <c r="M362" s="372"/>
      <c r="N362" s="468"/>
      <c r="O362" s="470">
        <f>N334+O353+O354+O357+O358+O359</f>
        <v>84213.64962092481</v>
      </c>
      <c r="P362" s="372"/>
      <c r="Q362" s="468"/>
      <c r="R362" s="470">
        <f>Q334+R353+R354+R357+R358+R359</f>
        <v>76167.76920152288</v>
      </c>
      <c r="S362" s="372"/>
      <c r="T362" s="468"/>
      <c r="U362" s="470">
        <f>T334+U353+U354+U357+U358+U359</f>
        <v>69114.15940902656</v>
      </c>
      <c r="V362" s="372"/>
    </row>
    <row r="363" spans="4:22" ht="15.75">
      <c r="D363" s="434"/>
      <c r="E363" s="471" t="s">
        <v>488</v>
      </c>
      <c r="F363" s="472"/>
      <c r="G363" s="372"/>
      <c r="H363" s="471" t="s">
        <v>488</v>
      </c>
      <c r="I363" s="472"/>
      <c r="J363" s="372"/>
      <c r="K363" s="471" t="s">
        <v>488</v>
      </c>
      <c r="L363" s="472"/>
      <c r="M363" s="372"/>
      <c r="N363" s="471" t="s">
        <v>488</v>
      </c>
      <c r="O363" s="472"/>
      <c r="P363" s="372"/>
      <c r="Q363" s="471" t="s">
        <v>488</v>
      </c>
      <c r="R363" s="472"/>
      <c r="S363" s="372"/>
      <c r="T363" s="471" t="s">
        <v>488</v>
      </c>
      <c r="U363" s="472"/>
      <c r="V363" s="372"/>
    </row>
    <row r="364" spans="4:22" ht="21" thickBot="1">
      <c r="D364" s="434"/>
      <c r="E364" s="473"/>
      <c r="F364" s="477">
        <f>F362-F343+F339</f>
        <v>34988.87156101779</v>
      </c>
      <c r="G364" s="372"/>
      <c r="H364" s="473"/>
      <c r="I364" s="477">
        <f>I362-I343+I339</f>
        <v>32420.464327577763</v>
      </c>
      <c r="J364" s="372"/>
      <c r="K364" s="473"/>
      <c r="L364" s="477">
        <f>L362-L343+L339</f>
        <v>29642.561656920952</v>
      </c>
      <c r="M364" s="372"/>
      <c r="N364" s="473"/>
      <c r="O364" s="477">
        <f>O362-O343+O339</f>
        <v>27124.54987364162</v>
      </c>
      <c r="P364" s="372"/>
      <c r="Q364" s="473"/>
      <c r="R364" s="477">
        <f>R362-R343+R339</f>
        <v>24442.589733840963</v>
      </c>
      <c r="S364" s="372"/>
      <c r="T364" s="473"/>
      <c r="U364" s="477">
        <f>U362-U343+U339</f>
        <v>22091.38646967552</v>
      </c>
      <c r="V364" s="372"/>
    </row>
    <row r="365" spans="4:22" ht="13.5" thickTop="1">
      <c r="D365" s="434"/>
      <c r="G365" s="372"/>
      <c r="J365" s="372"/>
      <c r="M365" s="372"/>
      <c r="P365" s="372"/>
      <c r="S365" s="372"/>
      <c r="V365" s="372"/>
    </row>
    <row r="366" spans="4:22" ht="20.25">
      <c r="D366" s="434"/>
      <c r="F366" s="520">
        <f>(F364-L364)/L364</f>
        <v>0.18035924040487167</v>
      </c>
      <c r="G366" s="372"/>
      <c r="I366" s="520">
        <f>(I364-O364)/O364</f>
        <v>0.19524432584529147</v>
      </c>
      <c r="J366" s="372"/>
      <c r="L366" s="520">
        <f>(L364-R364)/R364</f>
        <v>0.2127422658443015</v>
      </c>
      <c r="M366" s="372"/>
      <c r="O366" s="520">
        <f>(O364-U364)/U364</f>
        <v>0.22783374917980093</v>
      </c>
      <c r="P366" s="372"/>
      <c r="R366" s="520">
        <f>(R364-U364)/U364</f>
        <v>0.10643076963018605</v>
      </c>
      <c r="S366" s="372"/>
      <c r="U366" s="478"/>
      <c r="V366" s="372"/>
    </row>
    <row r="367" spans="4:22" ht="12.75">
      <c r="D367" s="434"/>
      <c r="G367" s="372"/>
      <c r="J367" s="372"/>
      <c r="M367" s="372"/>
      <c r="P367" s="372"/>
      <c r="S367" s="372"/>
      <c r="V367" s="372"/>
    </row>
    <row r="368" spans="4:22" ht="12.75">
      <c r="D368" s="434"/>
      <c r="G368" s="372"/>
      <c r="J368" s="372"/>
      <c r="M368" s="372"/>
      <c r="P368" s="372"/>
      <c r="S368" s="372"/>
      <c r="V368" s="372"/>
    </row>
    <row r="369" spans="1:22" ht="12.75">
      <c r="A369" s="14"/>
      <c r="D369" s="434"/>
      <c r="G369" s="372"/>
      <c r="J369" s="372"/>
      <c r="M369" s="372"/>
      <c r="P369" s="372"/>
      <c r="S369" s="372"/>
      <c r="V369" s="372"/>
    </row>
    <row r="370" spans="1:22" ht="33">
      <c r="A370" s="14"/>
      <c r="B370" s="96"/>
      <c r="C370" s="167"/>
      <c r="D370" s="451"/>
      <c r="E370" s="795" t="s">
        <v>528</v>
      </c>
      <c r="F370" s="795"/>
      <c r="G370" s="779"/>
      <c r="H370" s="777" t="s">
        <v>516</v>
      </c>
      <c r="I370" s="778"/>
      <c r="J370" s="779"/>
      <c r="K370" s="767" t="s">
        <v>513</v>
      </c>
      <c r="L370" s="768"/>
      <c r="M370" s="496"/>
      <c r="N370" s="503">
        <v>43586</v>
      </c>
      <c r="O370" s="511"/>
      <c r="P370" s="496"/>
      <c r="Q370" s="502">
        <v>43525</v>
      </c>
      <c r="R370" s="510"/>
      <c r="S370" s="496"/>
      <c r="T370" s="494" t="s">
        <v>495</v>
      </c>
      <c r="U370" s="495"/>
      <c r="V370" s="496"/>
    </row>
    <row r="371" spans="1:19" ht="16.5" thickBot="1">
      <c r="A371" s="162" t="s">
        <v>370</v>
      </c>
      <c r="C371" s="7"/>
      <c r="D371" s="447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5.75" thickTop="1">
      <c r="A372" s="157" t="s">
        <v>10</v>
      </c>
      <c r="B372" s="158"/>
      <c r="C372" s="159"/>
      <c r="D372" s="452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</row>
    <row r="373" spans="1:19" ht="15">
      <c r="A373" s="160" t="s">
        <v>11</v>
      </c>
      <c r="B373" s="154"/>
      <c r="C373" s="156"/>
      <c r="D373" s="437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ht="15">
      <c r="A374" s="163" t="s">
        <v>356</v>
      </c>
      <c r="B374" s="154"/>
      <c r="C374" s="156"/>
      <c r="D374" s="437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</row>
    <row r="375" spans="1:19" ht="15.75" thickBot="1">
      <c r="A375" s="164" t="s">
        <v>12</v>
      </c>
      <c r="B375" s="175"/>
      <c r="C375" s="161"/>
      <c r="D375" s="453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ht="15.75" thickTop="1">
      <c r="A376" s="396" t="s">
        <v>475</v>
      </c>
      <c r="B376" s="397"/>
      <c r="C376" s="398"/>
      <c r="D376" s="454"/>
      <c r="E376" s="758"/>
      <c r="F376" s="758"/>
      <c r="G376" s="758"/>
      <c r="H376" s="758"/>
      <c r="I376" s="758"/>
      <c r="J376" s="758"/>
      <c r="K376" s="758"/>
      <c r="L376" s="758"/>
      <c r="M376" s="758"/>
      <c r="N376" s="758"/>
      <c r="O376" s="758"/>
      <c r="P376" s="758"/>
      <c r="Q376" s="758"/>
      <c r="R376" s="758"/>
      <c r="S376" s="758"/>
    </row>
    <row r="377" spans="1:13" ht="12.75">
      <c r="A377" s="12"/>
      <c r="B377" s="12"/>
      <c r="C377" s="5"/>
      <c r="D377" s="15"/>
      <c r="E377" s="15"/>
      <c r="F377" s="15"/>
      <c r="G377" s="15"/>
      <c r="H377" s="15"/>
      <c r="I377" s="15"/>
      <c r="J377" s="15"/>
      <c r="K377" s="15"/>
      <c r="L377" s="15"/>
      <c r="M377" s="15"/>
    </row>
    <row r="378" spans="1:13" ht="12.75">
      <c r="A378" s="12"/>
      <c r="B378" s="12"/>
      <c r="C378" s="5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1:13" ht="15.75">
      <c r="A379" s="12"/>
      <c r="B379" s="5"/>
      <c r="C379" s="118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0" ht="12.75">
      <c r="A380" s="12"/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5.75">
      <c r="A381" s="12"/>
      <c r="B381" s="5"/>
      <c r="C381" s="14"/>
      <c r="D381" s="16"/>
      <c r="E381" s="16"/>
      <c r="F381" s="16"/>
      <c r="G381" s="16"/>
      <c r="H381" s="16"/>
      <c r="I381" s="16"/>
      <c r="J381" s="16"/>
    </row>
    <row r="382" spans="1:10" ht="18">
      <c r="A382" s="12"/>
      <c r="B382" s="18"/>
      <c r="C382" s="5"/>
      <c r="D382" s="12"/>
      <c r="E382" s="5"/>
      <c r="F382" s="5"/>
      <c r="G382" s="17"/>
      <c r="H382" s="5"/>
      <c r="I382" s="12"/>
      <c r="J382" s="5"/>
    </row>
    <row r="383" spans="1:10" ht="12.75">
      <c r="A383" s="12"/>
      <c r="B383" s="5"/>
      <c r="C383" s="5"/>
      <c r="D383" s="5"/>
      <c r="E383" s="5"/>
      <c r="F383" s="5"/>
      <c r="G383" s="12"/>
      <c r="H383" s="5"/>
      <c r="I383" s="12"/>
      <c r="J383" s="5"/>
    </row>
    <row r="384" spans="1:10" ht="12.75">
      <c r="A384" s="12"/>
      <c r="B384" s="5"/>
      <c r="C384" s="5"/>
      <c r="D384" s="5"/>
      <c r="E384" s="5"/>
      <c r="F384" s="5"/>
      <c r="G384" s="5"/>
      <c r="H384" s="5"/>
      <c r="I384" s="12"/>
      <c r="J384" s="5"/>
    </row>
    <row r="385" spans="1:10" ht="12.75">
      <c r="A385" s="12"/>
      <c r="B385" s="12"/>
      <c r="C385" s="5"/>
      <c r="D385" s="5"/>
      <c r="E385" s="5"/>
      <c r="F385" s="12"/>
      <c r="G385" s="5"/>
      <c r="H385" s="5"/>
      <c r="I385" s="5"/>
      <c r="J385" s="5"/>
    </row>
    <row r="386" spans="1:10" ht="12.75">
      <c r="A386" s="12"/>
      <c r="B386" s="12"/>
      <c r="C386" s="5"/>
      <c r="D386" s="5"/>
      <c r="E386" s="5"/>
      <c r="F386" s="12"/>
      <c r="G386" s="5"/>
      <c r="H386" s="5"/>
      <c r="I386" s="12"/>
      <c r="J386" s="5"/>
    </row>
    <row r="387" spans="1:10" ht="12.75">
      <c r="A387" s="12"/>
      <c r="B387" s="12"/>
      <c r="C387" s="5"/>
      <c r="D387" s="5"/>
      <c r="E387" s="5"/>
      <c r="F387" s="12"/>
      <c r="G387" s="5"/>
      <c r="H387" s="5"/>
      <c r="I387" s="13"/>
      <c r="J387" s="5"/>
    </row>
    <row r="388" spans="1:10" ht="12.75">
      <c r="A388" s="12"/>
      <c r="B388" s="12"/>
      <c r="C388" s="5"/>
      <c r="D388" s="5"/>
      <c r="E388" s="5"/>
      <c r="F388" s="12"/>
      <c r="G388" s="5"/>
      <c r="H388" s="5"/>
      <c r="I388" s="6"/>
      <c r="J388" s="5"/>
    </row>
    <row r="389" spans="1:10" ht="12.75">
      <c r="A389" s="12"/>
      <c r="B389" s="12"/>
      <c r="C389" s="5"/>
      <c r="D389" s="12"/>
      <c r="E389" s="5"/>
      <c r="F389" s="12"/>
      <c r="G389" s="5"/>
      <c r="H389" s="5"/>
      <c r="I389" s="13"/>
      <c r="J389" s="5"/>
    </row>
    <row r="390" spans="1:10" ht="12.75">
      <c r="A390" s="19"/>
      <c r="B390" s="13"/>
      <c r="C390" s="5"/>
      <c r="D390" s="12"/>
      <c r="E390" s="5"/>
      <c r="F390" s="19"/>
      <c r="G390" s="6"/>
      <c r="H390" s="5"/>
      <c r="I390" s="6"/>
      <c r="J390" s="5"/>
    </row>
    <row r="391" spans="1:10" ht="12.75">
      <c r="A391" s="5"/>
      <c r="B391" s="12"/>
      <c r="C391" s="5"/>
      <c r="D391" s="12"/>
      <c r="E391" s="5"/>
      <c r="F391" s="13"/>
      <c r="G391" s="6"/>
      <c r="H391" s="20"/>
      <c r="I391" s="6"/>
      <c r="J391" s="5"/>
    </row>
    <row r="392" spans="1:10" ht="12.75">
      <c r="A392" s="5"/>
      <c r="B392" s="12"/>
      <c r="C392" s="5"/>
      <c r="D392" s="5"/>
      <c r="E392" s="5"/>
      <c r="F392" s="13"/>
      <c r="G392" s="6"/>
      <c r="H392" s="6"/>
      <c r="I392" s="6"/>
      <c r="J392" s="5"/>
    </row>
    <row r="393" spans="1:10" ht="12.75">
      <c r="A393" s="5"/>
      <c r="B393" s="5"/>
      <c r="C393" s="5"/>
      <c r="D393" s="12"/>
      <c r="E393" s="5"/>
      <c r="F393" s="6"/>
      <c r="G393" s="6"/>
      <c r="H393" s="20"/>
      <c r="I393" s="5"/>
      <c r="J393" s="5"/>
    </row>
    <row r="394" spans="1:11" ht="12.75">
      <c r="A394" s="5"/>
      <c r="B394" s="5"/>
      <c r="C394" s="20"/>
      <c r="D394" s="13"/>
      <c r="E394" s="5"/>
      <c r="F394" s="6"/>
      <c r="G394" s="6"/>
      <c r="H394" s="6"/>
      <c r="I394" s="5"/>
      <c r="J394" s="5"/>
      <c r="K394" s="5"/>
    </row>
    <row r="395" spans="1:11" ht="12.75">
      <c r="A395" s="5"/>
      <c r="B395" s="5"/>
      <c r="C395" s="5"/>
      <c r="D395" s="5"/>
      <c r="E395" s="5"/>
      <c r="F395" s="13"/>
      <c r="G395" s="6"/>
      <c r="H395" s="6"/>
      <c r="I395" s="5"/>
      <c r="J395" s="5"/>
      <c r="K395" s="5"/>
    </row>
    <row r="396" spans="1:11" ht="12.75">
      <c r="A396" s="5"/>
      <c r="B396" s="5"/>
      <c r="C396" s="20"/>
      <c r="D396" s="13"/>
      <c r="E396" s="5"/>
      <c r="F396" s="5"/>
      <c r="G396" s="5"/>
      <c r="H396" s="13"/>
      <c r="I396" s="5"/>
      <c r="J396" s="5"/>
      <c r="K396" s="5"/>
    </row>
    <row r="397" spans="1:11" ht="12.75">
      <c r="A397" s="5"/>
      <c r="B397" s="5"/>
      <c r="C397" s="5"/>
      <c r="D397" s="5"/>
      <c r="E397" s="5"/>
      <c r="F397" s="5"/>
      <c r="G397" s="5"/>
      <c r="H397" s="5"/>
      <c r="I397" s="12"/>
      <c r="J397" s="5"/>
      <c r="K397" s="5"/>
    </row>
    <row r="398" spans="1:11" ht="12.75">
      <c r="A398" s="5"/>
      <c r="B398" s="6"/>
      <c r="C398" s="5"/>
      <c r="D398" s="12"/>
      <c r="E398" s="5"/>
      <c r="F398" s="5"/>
      <c r="G398" s="5"/>
      <c r="H398" s="5"/>
      <c r="I398" s="12"/>
      <c r="J398" s="5"/>
      <c r="K398" s="5"/>
    </row>
    <row r="399" spans="1:11" ht="12.75">
      <c r="A399" s="5"/>
      <c r="B399" s="5"/>
      <c r="C399" s="5"/>
      <c r="D399" s="12"/>
      <c r="E399" s="5"/>
      <c r="F399" s="5"/>
      <c r="G399" s="5"/>
      <c r="H399" s="5"/>
      <c r="I399" s="12"/>
      <c r="J399" s="5"/>
      <c r="K399" s="5"/>
    </row>
    <row r="400" spans="1:11" ht="12.75">
      <c r="A400" s="12"/>
      <c r="B400" s="12"/>
      <c r="C400" s="5"/>
      <c r="D400" s="5"/>
      <c r="E400" s="5"/>
      <c r="F400" s="12"/>
      <c r="G400" s="12"/>
      <c r="H400" s="5"/>
      <c r="I400" s="5"/>
      <c r="J400" s="5"/>
      <c r="K400" s="5"/>
    </row>
    <row r="401" spans="1:11" ht="12.75">
      <c r="A401" s="12"/>
      <c r="B401" s="12"/>
      <c r="C401" s="5"/>
      <c r="D401" s="5"/>
      <c r="E401" s="5"/>
      <c r="F401" s="12"/>
      <c r="G401" s="12"/>
      <c r="H401" s="5"/>
      <c r="I401" s="12"/>
      <c r="J401" s="5"/>
      <c r="K401" s="5"/>
    </row>
    <row r="402" spans="1:11" ht="12.75">
      <c r="A402" s="12"/>
      <c r="B402" s="12"/>
      <c r="C402" s="5"/>
      <c r="D402" s="5"/>
      <c r="E402" s="5"/>
      <c r="F402" s="12"/>
      <c r="G402" s="12"/>
      <c r="H402" s="5"/>
      <c r="I402" s="12"/>
      <c r="J402" s="5"/>
      <c r="K402" s="5"/>
    </row>
    <row r="403" spans="1:11" ht="12.75">
      <c r="A403" s="12"/>
      <c r="B403" s="12"/>
      <c r="C403" s="5"/>
      <c r="D403" s="5"/>
      <c r="E403" s="5"/>
      <c r="F403" s="12"/>
      <c r="G403" s="12"/>
      <c r="H403" s="5"/>
      <c r="I403" s="5"/>
      <c r="J403" s="5"/>
      <c r="K403" s="5"/>
    </row>
    <row r="404" spans="1:11" ht="12.75">
      <c r="A404" s="12"/>
      <c r="B404" s="12"/>
      <c r="C404" s="5"/>
      <c r="D404" s="12"/>
      <c r="E404" s="5"/>
      <c r="F404" s="12"/>
      <c r="G404" s="12"/>
      <c r="H404" s="5"/>
      <c r="I404" s="12"/>
      <c r="J404" s="5"/>
      <c r="K404" s="5"/>
    </row>
    <row r="405" spans="1:11" ht="12.75">
      <c r="A405" s="19"/>
      <c r="B405" s="12"/>
      <c r="C405" s="5"/>
      <c r="D405" s="12"/>
      <c r="E405" s="5"/>
      <c r="F405" s="19"/>
      <c r="G405" s="12"/>
      <c r="H405" s="5"/>
      <c r="I405" s="5"/>
      <c r="J405" s="5"/>
      <c r="K405" s="5"/>
    </row>
    <row r="406" spans="1:11" ht="12.75">
      <c r="A406" s="5"/>
      <c r="B406" s="5"/>
      <c r="C406" s="5"/>
      <c r="D406" s="12"/>
      <c r="E406" s="5"/>
      <c r="F406" s="13"/>
      <c r="G406" s="5"/>
      <c r="H406" s="5"/>
      <c r="I406" s="5"/>
      <c r="J406" s="5"/>
      <c r="K406" s="5"/>
    </row>
    <row r="407" spans="1:11" ht="12.75">
      <c r="A407" s="5"/>
      <c r="B407" s="12"/>
      <c r="C407" s="5"/>
      <c r="D407" s="5"/>
      <c r="E407" s="5"/>
      <c r="F407" s="13"/>
      <c r="G407" s="12"/>
      <c r="H407" s="5"/>
      <c r="I407" s="5"/>
      <c r="J407" s="5"/>
      <c r="K407" s="5"/>
    </row>
    <row r="408" spans="1:11" ht="12.75">
      <c r="A408" s="5"/>
      <c r="B408" s="5"/>
      <c r="C408" s="5"/>
      <c r="D408" s="12"/>
      <c r="E408" s="5"/>
      <c r="F408" s="6"/>
      <c r="G408" s="12"/>
      <c r="H408" s="5"/>
      <c r="I408" s="5"/>
      <c r="J408" s="5"/>
      <c r="K408" s="5"/>
    </row>
    <row r="409" spans="1:11" ht="12.75">
      <c r="A409" s="5"/>
      <c r="B409" s="5"/>
      <c r="C409" s="20"/>
      <c r="D409" s="12"/>
      <c r="E409" s="5"/>
      <c r="F409" s="6"/>
      <c r="G409" s="5"/>
      <c r="H409" s="6"/>
      <c r="I409" s="5"/>
      <c r="J409" s="5"/>
      <c r="K409" s="5"/>
    </row>
    <row r="410" spans="1:11" ht="12.75">
      <c r="A410" s="5"/>
      <c r="B410" s="5"/>
      <c r="C410" s="5"/>
      <c r="D410" s="5"/>
      <c r="E410" s="5"/>
      <c r="F410" s="13"/>
      <c r="G410" s="6"/>
      <c r="H410" s="5"/>
      <c r="I410" s="5"/>
      <c r="J410" s="5"/>
      <c r="K410" s="5"/>
    </row>
    <row r="411" spans="1:11" ht="12.75">
      <c r="A411" s="5"/>
      <c r="B411" s="5"/>
      <c r="C411" s="20"/>
      <c r="D411" s="12"/>
      <c r="E411" s="5"/>
      <c r="F411" s="13"/>
      <c r="G411" s="6"/>
      <c r="H411" s="13"/>
      <c r="I411" s="5"/>
      <c r="J411" s="5"/>
      <c r="K411" s="5"/>
    </row>
    <row r="412" spans="1:11" ht="12.75">
      <c r="A412" s="5"/>
      <c r="B412" s="5"/>
      <c r="C412" s="5"/>
      <c r="D412" s="5"/>
      <c r="E412" s="5"/>
      <c r="F412" s="13"/>
      <c r="G412" s="6"/>
      <c r="H412" s="13"/>
      <c r="I412" s="5"/>
      <c r="J412" s="5"/>
      <c r="K412" s="5"/>
    </row>
    <row r="413" spans="1:11" ht="12.75">
      <c r="A413" s="5"/>
      <c r="B413" s="6"/>
      <c r="C413" s="5"/>
      <c r="D413" s="5"/>
      <c r="E413" s="5"/>
      <c r="F413" s="5"/>
      <c r="G413" s="5"/>
      <c r="H413" s="13"/>
      <c r="I413" s="12"/>
      <c r="J413" s="5"/>
      <c r="K413" s="5"/>
    </row>
    <row r="414" spans="1:11" ht="12.75">
      <c r="A414" s="5"/>
      <c r="B414" s="5"/>
      <c r="C414" s="5"/>
      <c r="D414" s="5"/>
      <c r="E414" s="5"/>
      <c r="F414" s="5"/>
      <c r="G414" s="5"/>
      <c r="H414" s="5"/>
      <c r="I414" s="12"/>
      <c r="J414" s="5"/>
      <c r="K414" s="5"/>
    </row>
    <row r="415" spans="1:11" ht="12.75">
      <c r="A415" s="5"/>
      <c r="B415" s="5"/>
      <c r="C415" s="5"/>
      <c r="D415" s="5"/>
      <c r="E415" s="5"/>
      <c r="F415" s="5"/>
      <c r="G415" s="5"/>
      <c r="H415" s="5"/>
      <c r="I415" s="12"/>
      <c r="J415" s="5"/>
      <c r="K415" s="5"/>
    </row>
    <row r="416" spans="1:11" ht="12.75">
      <c r="A416" s="12"/>
      <c r="B416" s="12"/>
      <c r="C416" s="5"/>
      <c r="D416" s="5"/>
      <c r="E416" s="5"/>
      <c r="F416" s="12"/>
      <c r="G416" s="12"/>
      <c r="H416" s="5"/>
      <c r="I416" s="5"/>
      <c r="J416" s="5"/>
      <c r="K416" s="5"/>
    </row>
    <row r="417" spans="1:11" ht="12.75">
      <c r="A417" s="12"/>
      <c r="B417" s="12"/>
      <c r="C417" s="5"/>
      <c r="D417" s="5"/>
      <c r="E417" s="5"/>
      <c r="F417" s="12"/>
      <c r="G417" s="12"/>
      <c r="H417" s="5"/>
      <c r="I417" s="12"/>
      <c r="J417" s="5"/>
      <c r="K417" s="5"/>
    </row>
    <row r="418" spans="1:11" ht="12.75">
      <c r="A418" s="12"/>
      <c r="B418" s="12"/>
      <c r="C418" s="5"/>
      <c r="D418" s="5"/>
      <c r="E418" s="5"/>
      <c r="F418" s="12"/>
      <c r="G418" s="12"/>
      <c r="H418" s="5"/>
      <c r="I418" s="12"/>
      <c r="J418" s="5"/>
      <c r="K418" s="5"/>
    </row>
    <row r="419" spans="1:11" ht="12.75">
      <c r="A419" s="12"/>
      <c r="B419" s="12"/>
      <c r="C419" s="5"/>
      <c r="D419" s="5"/>
      <c r="E419" s="5"/>
      <c r="F419" s="12"/>
      <c r="G419" s="12"/>
      <c r="H419" s="5"/>
      <c r="I419" s="5"/>
      <c r="J419" s="5"/>
      <c r="K419" s="5"/>
    </row>
    <row r="420" spans="1:11" ht="12.75">
      <c r="A420" s="12"/>
      <c r="B420" s="12"/>
      <c r="C420" s="5"/>
      <c r="D420" s="12"/>
      <c r="E420" s="5"/>
      <c r="F420" s="12"/>
      <c r="G420" s="12"/>
      <c r="H420" s="5"/>
      <c r="I420" s="12"/>
      <c r="J420" s="5"/>
      <c r="K420" s="5"/>
    </row>
    <row r="421" spans="1:11" ht="12.75">
      <c r="A421" s="19"/>
      <c r="B421" s="12"/>
      <c r="C421" s="5"/>
      <c r="D421" s="12"/>
      <c r="E421" s="5"/>
      <c r="F421" s="19"/>
      <c r="G421" s="12"/>
      <c r="H421" s="5"/>
      <c r="I421" s="5"/>
      <c r="J421" s="5"/>
      <c r="K421" s="5"/>
    </row>
    <row r="422" spans="1:11" ht="12.75">
      <c r="A422" s="5"/>
      <c r="B422" s="5"/>
      <c r="C422" s="5"/>
      <c r="D422" s="12"/>
      <c r="E422" s="5"/>
      <c r="F422" s="13"/>
      <c r="G422" s="5"/>
      <c r="H422" s="20"/>
      <c r="I422" s="5"/>
      <c r="J422" s="5"/>
      <c r="K422" s="5"/>
    </row>
    <row r="423" spans="1:11" ht="12.75">
      <c r="A423" s="5"/>
      <c r="B423" s="12"/>
      <c r="C423" s="5"/>
      <c r="D423" s="5"/>
      <c r="E423" s="5"/>
      <c r="F423" s="13"/>
      <c r="G423" s="12"/>
      <c r="H423" s="6"/>
      <c r="I423" s="5"/>
      <c r="J423" s="5"/>
      <c r="K423" s="5"/>
    </row>
    <row r="424" spans="1:11" ht="12.75">
      <c r="A424" s="5"/>
      <c r="B424" s="5"/>
      <c r="C424" s="5"/>
      <c r="D424" s="12"/>
      <c r="E424" s="5"/>
      <c r="F424" s="6"/>
      <c r="G424" s="12"/>
      <c r="H424" s="20"/>
      <c r="I424" s="5"/>
      <c r="J424" s="5"/>
      <c r="K424" s="5"/>
    </row>
    <row r="425" spans="1:11" ht="12.75">
      <c r="A425" s="5"/>
      <c r="B425" s="5"/>
      <c r="C425" s="20"/>
      <c r="D425" s="12"/>
      <c r="E425" s="5"/>
      <c r="F425" s="6"/>
      <c r="G425" s="5"/>
      <c r="H425" s="5"/>
      <c r="I425" s="5"/>
      <c r="J425" s="5"/>
      <c r="K425" s="5"/>
    </row>
    <row r="426" spans="1:11" ht="12.75">
      <c r="A426" s="5"/>
      <c r="B426" s="5"/>
      <c r="C426" s="5"/>
      <c r="D426" s="5"/>
      <c r="E426" s="5"/>
      <c r="F426" s="13"/>
      <c r="G426" s="5"/>
      <c r="H426" s="5"/>
      <c r="I426" s="5"/>
      <c r="J426" s="5"/>
      <c r="K426" s="5"/>
    </row>
    <row r="427" spans="1:11" ht="12.75">
      <c r="A427" s="5"/>
      <c r="B427" s="5"/>
      <c r="C427" s="20"/>
      <c r="D427" s="12"/>
      <c r="E427" s="5"/>
      <c r="F427" s="5"/>
      <c r="G427" s="5"/>
      <c r="H427" s="12"/>
      <c r="I427" s="5"/>
      <c r="J427" s="5"/>
      <c r="K427" s="5"/>
    </row>
    <row r="428" spans="1:11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9" ht="12.75">
      <c r="A429" s="5"/>
      <c r="B429" s="5"/>
      <c r="C429" s="5"/>
      <c r="D429" s="5"/>
      <c r="E429" s="5"/>
      <c r="F429" s="5"/>
      <c r="G429" s="5"/>
      <c r="H429" s="5"/>
      <c r="I429" s="5"/>
    </row>
    <row r="430" spans="1:8" ht="12.75">
      <c r="A430" s="5"/>
      <c r="B430" s="5"/>
      <c r="C430" s="5"/>
      <c r="D430" s="5"/>
      <c r="E430" s="5"/>
      <c r="F430" s="5"/>
      <c r="G430" s="5"/>
      <c r="H430" s="5"/>
    </row>
    <row r="431" spans="1:8" ht="12.75">
      <c r="A431" s="5"/>
      <c r="B431" s="5"/>
      <c r="C431" s="5"/>
      <c r="D431" s="5"/>
      <c r="E431" s="5"/>
      <c r="F431" s="5"/>
      <c r="G431" s="5"/>
      <c r="H431" s="5"/>
    </row>
    <row r="432" spans="1:8" ht="12.75">
      <c r="A432" s="5"/>
      <c r="B432" s="5"/>
      <c r="C432" s="5"/>
      <c r="D432" s="5"/>
      <c r="E432" s="5"/>
      <c r="F432" s="5"/>
      <c r="G432" s="5"/>
      <c r="H432" s="5"/>
    </row>
    <row r="433" spans="3:8" ht="12.75">
      <c r="C433" s="5"/>
      <c r="D433" s="5"/>
      <c r="E433" s="5"/>
      <c r="H433" s="5"/>
    </row>
    <row r="434" spans="3:5" ht="12.75">
      <c r="C434" s="5"/>
      <c r="D434" s="5"/>
      <c r="E434" s="5"/>
    </row>
    <row r="435" spans="3:5" ht="12.75">
      <c r="C435" s="5"/>
      <c r="D435" s="5"/>
      <c r="E435" s="5"/>
    </row>
    <row r="436" spans="3:5" ht="12.75">
      <c r="C436" s="5"/>
      <c r="D436" s="5"/>
      <c r="E436" s="5"/>
    </row>
  </sheetData>
  <sheetProtection password="DFB3" sheet="1" selectLockedCells="1"/>
  <hyperlinks>
    <hyperlink ref="A375" r:id="rId1" display="www.agmeruruguay.com.ar"/>
    <hyperlink ref="A6" location="Cargos!A1" display="Cargos"/>
    <hyperlink ref="A374" r:id="rId2" display="victorhutt@victorhutt.com.ar"/>
    <hyperlink ref="A376" r:id="rId3" display="www.facebook.com/agmeruruguay-188015884570012/"/>
  </hyperlinks>
  <printOptions/>
  <pageMargins left="0.7874015748031497" right="0.7874015748031497" top="0.5905511811023623" bottom="0.5905511811023623" header="0.5905511811023623" footer="0"/>
  <pageSetup horizontalDpi="360" verticalDpi="360" orientation="landscape" paperSize="5" scale="82" r:id="rId6"/>
  <rowBreaks count="1" manualBreakCount="1">
    <brk id="217" max="255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345"/>
  <sheetViews>
    <sheetView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7.7109375" style="0" bestFit="1" customWidth="1"/>
    <col min="2" max="2" width="51.8515625" style="0" customWidth="1"/>
    <col min="3" max="3" width="8.7109375" style="0" bestFit="1" customWidth="1"/>
    <col min="4" max="4" width="14.28125" style="384" hidden="1" customWidth="1"/>
    <col min="5" max="5" width="19.57421875" style="145" hidden="1" customWidth="1"/>
    <col min="6" max="6" width="23.00390625" style="145" hidden="1" customWidth="1"/>
    <col min="7" max="8" width="18.7109375" style="145" hidden="1" customWidth="1"/>
    <col min="9" max="9" width="13.8515625" style="363" hidden="1" customWidth="1"/>
    <col min="10" max="10" width="14.421875" style="305" hidden="1" customWidth="1"/>
    <col min="11" max="11" width="13.00390625" style="305" hidden="1" customWidth="1"/>
    <col min="12" max="12" width="18.00390625" style="305" customWidth="1"/>
    <col min="13" max="13" width="12.421875" style="305" hidden="1" customWidth="1"/>
    <col min="14" max="14" width="12.421875" style="305" customWidth="1"/>
    <col min="15" max="15" width="13.28125" style="145" customWidth="1"/>
    <col min="16" max="16" width="7.00390625" style="0" customWidth="1"/>
    <col min="17" max="17" width="6.00390625" style="0" customWidth="1"/>
    <col min="18" max="18" width="8.57421875" style="0" customWidth="1"/>
  </cols>
  <sheetData>
    <row r="1" spans="1:19" ht="13.5" thickBot="1">
      <c r="A1" s="21"/>
      <c r="B1" s="132" t="s">
        <v>350</v>
      </c>
      <c r="C1" s="22"/>
      <c r="D1" s="380"/>
      <c r="E1" s="142" t="s">
        <v>13</v>
      </c>
      <c r="F1" s="142"/>
      <c r="G1" s="142"/>
      <c r="H1" s="142"/>
      <c r="I1" s="142"/>
      <c r="J1" s="302"/>
      <c r="K1" s="302"/>
      <c r="L1" s="302"/>
      <c r="M1" s="302"/>
      <c r="N1" s="302"/>
      <c r="O1" s="142"/>
      <c r="P1" s="23" t="s">
        <v>14</v>
      </c>
      <c r="Q1" s="24" t="s">
        <v>15</v>
      </c>
      <c r="R1" s="24" t="s">
        <v>16</v>
      </c>
      <c r="S1" s="283" t="s">
        <v>387</v>
      </c>
    </row>
    <row r="2" spans="1:19" ht="12.75">
      <c r="A2" s="25" t="s">
        <v>17</v>
      </c>
      <c r="B2" s="26" t="s">
        <v>18</v>
      </c>
      <c r="C2" s="25" t="s">
        <v>19</v>
      </c>
      <c r="D2" s="381" t="s">
        <v>395</v>
      </c>
      <c r="E2" s="143" t="s">
        <v>367</v>
      </c>
      <c r="F2" s="301" t="s">
        <v>408</v>
      </c>
      <c r="G2" s="301" t="s">
        <v>432</v>
      </c>
      <c r="H2" s="393" t="s">
        <v>468</v>
      </c>
      <c r="I2" s="143" t="s">
        <v>389</v>
      </c>
      <c r="J2" s="303" t="s">
        <v>375</v>
      </c>
      <c r="K2" s="303" t="s">
        <v>429</v>
      </c>
      <c r="L2" s="394" t="s">
        <v>474</v>
      </c>
      <c r="M2" s="303" t="s">
        <v>430</v>
      </c>
      <c r="N2" s="303" t="s">
        <v>473</v>
      </c>
      <c r="O2" s="143" t="s">
        <v>467</v>
      </c>
      <c r="P2" s="27" t="s">
        <v>20</v>
      </c>
      <c r="Q2" s="27" t="s">
        <v>21</v>
      </c>
      <c r="R2" s="27" t="s">
        <v>22</v>
      </c>
      <c r="S2" s="284" t="s">
        <v>388</v>
      </c>
    </row>
    <row r="3" spans="1:19" ht="12.75">
      <c r="A3" s="28">
        <v>461</v>
      </c>
      <c r="B3" s="29" t="s">
        <v>461</v>
      </c>
      <c r="C3" s="28">
        <v>2220</v>
      </c>
      <c r="D3" s="382"/>
      <c r="E3" s="144"/>
      <c r="F3" s="193"/>
      <c r="G3" s="193">
        <v>7</v>
      </c>
      <c r="H3" s="193">
        <v>7</v>
      </c>
      <c r="I3" s="360"/>
      <c r="J3" s="304"/>
      <c r="K3" s="304"/>
      <c r="L3" s="304">
        <v>7</v>
      </c>
      <c r="M3" s="304">
        <v>521.4</v>
      </c>
      <c r="N3" s="390">
        <f>M3</f>
        <v>521.4</v>
      </c>
      <c r="O3" s="192">
        <f aca="true" t="shared" si="0" ref="O3:O66">C3+G3+M3</f>
        <v>2748.4</v>
      </c>
      <c r="P3" s="30">
        <v>0</v>
      </c>
      <c r="Q3" s="28">
        <v>0</v>
      </c>
      <c r="R3" s="28">
        <v>0</v>
      </c>
      <c r="S3" s="281"/>
    </row>
    <row r="4" spans="1:19" ht="12.75">
      <c r="A4" s="28">
        <v>462</v>
      </c>
      <c r="B4" s="29" t="s">
        <v>461</v>
      </c>
      <c r="C4" s="28">
        <v>2220</v>
      </c>
      <c r="D4" s="382"/>
      <c r="E4" s="144"/>
      <c r="F4" s="193"/>
      <c r="G4" s="193">
        <v>7</v>
      </c>
      <c r="H4" s="193">
        <v>7</v>
      </c>
      <c r="I4" s="360"/>
      <c r="J4" s="304"/>
      <c r="K4" s="304"/>
      <c r="L4" s="304">
        <v>7</v>
      </c>
      <c r="M4" s="304">
        <v>521.4</v>
      </c>
      <c r="N4" s="390">
        <f aca="true" t="shared" si="1" ref="N4:N67">M4</f>
        <v>521.4</v>
      </c>
      <c r="O4" s="192">
        <f t="shared" si="0"/>
        <v>2748.4</v>
      </c>
      <c r="P4" s="30">
        <v>0</v>
      </c>
      <c r="Q4" s="28">
        <v>0</v>
      </c>
      <c r="R4" s="28">
        <v>0</v>
      </c>
      <c r="S4" s="281"/>
    </row>
    <row r="5" spans="1:19" ht="12.75">
      <c r="A5" s="28">
        <v>470</v>
      </c>
      <c r="B5" s="29" t="s">
        <v>462</v>
      </c>
      <c r="C5" s="28">
        <v>1580</v>
      </c>
      <c r="D5" s="382"/>
      <c r="E5" s="144"/>
      <c r="F5" s="193"/>
      <c r="G5" s="193">
        <v>90</v>
      </c>
      <c r="H5" s="193">
        <v>90</v>
      </c>
      <c r="I5" s="360"/>
      <c r="J5" s="304"/>
      <c r="K5" s="304"/>
      <c r="L5" s="304">
        <v>90</v>
      </c>
      <c r="M5" s="304">
        <v>347.6</v>
      </c>
      <c r="N5" s="390">
        <f t="shared" si="1"/>
        <v>347.6</v>
      </c>
      <c r="O5" s="192">
        <f t="shared" si="0"/>
        <v>2017.6</v>
      </c>
      <c r="P5" s="30">
        <v>0</v>
      </c>
      <c r="Q5" s="28">
        <v>0</v>
      </c>
      <c r="R5" s="28">
        <v>0</v>
      </c>
      <c r="S5" s="281"/>
    </row>
    <row r="6" spans="1:19" ht="12.75">
      <c r="A6" s="28">
        <v>600</v>
      </c>
      <c r="B6" s="29" t="s">
        <v>23</v>
      </c>
      <c r="C6" s="28">
        <v>1300</v>
      </c>
      <c r="D6" s="382">
        <v>127</v>
      </c>
      <c r="E6" s="144">
        <v>127</v>
      </c>
      <c r="F6" s="193">
        <v>127</v>
      </c>
      <c r="G6" s="193">
        <v>127</v>
      </c>
      <c r="H6" s="193">
        <v>127</v>
      </c>
      <c r="I6" s="360">
        <f aca="true" t="shared" si="2" ref="I6:I69">A6</f>
        <v>600</v>
      </c>
      <c r="J6" s="304">
        <v>0</v>
      </c>
      <c r="K6" s="304">
        <v>0</v>
      </c>
      <c r="L6" s="304">
        <v>127</v>
      </c>
      <c r="M6" s="304">
        <v>0</v>
      </c>
      <c r="N6" s="390">
        <f t="shared" si="1"/>
        <v>0</v>
      </c>
      <c r="O6" s="192">
        <f t="shared" si="0"/>
        <v>1427</v>
      </c>
      <c r="P6" s="30">
        <v>0</v>
      </c>
      <c r="Q6" s="28">
        <v>0</v>
      </c>
      <c r="R6" s="28">
        <v>0</v>
      </c>
      <c r="S6" s="281"/>
    </row>
    <row r="7" spans="1:19" ht="12.75">
      <c r="A7" s="28">
        <v>603</v>
      </c>
      <c r="B7" s="29" t="s">
        <v>24</v>
      </c>
      <c r="C7" s="28">
        <v>3146</v>
      </c>
      <c r="D7" s="382">
        <v>0</v>
      </c>
      <c r="E7" s="144">
        <v>0</v>
      </c>
      <c r="F7" s="193">
        <v>0</v>
      </c>
      <c r="G7" s="193">
        <v>0</v>
      </c>
      <c r="H7" s="193">
        <v>0</v>
      </c>
      <c r="I7" s="360">
        <f t="shared" si="2"/>
        <v>603</v>
      </c>
      <c r="J7" s="304">
        <v>0</v>
      </c>
      <c r="K7" s="304">
        <v>0</v>
      </c>
      <c r="L7" s="304">
        <v>0</v>
      </c>
      <c r="M7" s="304">
        <v>0</v>
      </c>
      <c r="N7" s="390">
        <f t="shared" si="1"/>
        <v>0</v>
      </c>
      <c r="O7" s="192">
        <f t="shared" si="0"/>
        <v>3146</v>
      </c>
      <c r="P7" s="30">
        <v>0</v>
      </c>
      <c r="Q7" s="28">
        <v>0</v>
      </c>
      <c r="R7" s="28">
        <v>0</v>
      </c>
      <c r="S7" s="281"/>
    </row>
    <row r="8" spans="1:19" ht="12.75">
      <c r="A8" s="28">
        <v>604</v>
      </c>
      <c r="B8" s="29" t="s">
        <v>376</v>
      </c>
      <c r="C8" s="28">
        <v>1610</v>
      </c>
      <c r="D8" s="382">
        <v>87</v>
      </c>
      <c r="E8" s="144">
        <v>87</v>
      </c>
      <c r="F8" s="193">
        <v>87</v>
      </c>
      <c r="G8" s="193">
        <v>87</v>
      </c>
      <c r="H8" s="193">
        <v>87</v>
      </c>
      <c r="I8" s="360">
        <f t="shared" si="2"/>
        <v>604</v>
      </c>
      <c r="J8" s="304">
        <v>388.2</v>
      </c>
      <c r="K8" s="304">
        <v>388.2</v>
      </c>
      <c r="L8" s="304">
        <v>87</v>
      </c>
      <c r="M8" s="304">
        <v>388.2</v>
      </c>
      <c r="N8" s="390">
        <f t="shared" si="1"/>
        <v>388.2</v>
      </c>
      <c r="O8" s="192">
        <f t="shared" si="0"/>
        <v>2085.2</v>
      </c>
      <c r="P8" s="30">
        <v>0</v>
      </c>
      <c r="Q8" s="28">
        <v>0</v>
      </c>
      <c r="R8" s="28">
        <v>0</v>
      </c>
      <c r="S8" s="281"/>
    </row>
    <row r="9" spans="1:21" ht="12.75">
      <c r="A9" s="28">
        <v>605</v>
      </c>
      <c r="B9" s="29" t="s">
        <v>25</v>
      </c>
      <c r="C9" s="28">
        <v>2913</v>
      </c>
      <c r="D9" s="382">
        <v>0</v>
      </c>
      <c r="E9" s="144">
        <v>0</v>
      </c>
      <c r="F9" s="193">
        <v>0</v>
      </c>
      <c r="G9" s="193">
        <v>0</v>
      </c>
      <c r="H9" s="193">
        <v>0</v>
      </c>
      <c r="I9" s="360">
        <f t="shared" si="2"/>
        <v>605</v>
      </c>
      <c r="J9" s="304">
        <v>776.4</v>
      </c>
      <c r="K9" s="304">
        <v>776.4</v>
      </c>
      <c r="L9" s="304">
        <v>0</v>
      </c>
      <c r="M9" s="304">
        <v>776</v>
      </c>
      <c r="N9" s="390">
        <f t="shared" si="1"/>
        <v>776</v>
      </c>
      <c r="O9" s="192">
        <f t="shared" si="0"/>
        <v>3689</v>
      </c>
      <c r="P9" s="30">
        <v>0</v>
      </c>
      <c r="Q9" s="28">
        <v>0</v>
      </c>
      <c r="R9" s="28">
        <v>0</v>
      </c>
      <c r="S9" s="281"/>
      <c r="U9">
        <v>233</v>
      </c>
    </row>
    <row r="10" spans="1:19" ht="12.75">
      <c r="A10" s="28">
        <v>606</v>
      </c>
      <c r="B10" s="29" t="s">
        <v>26</v>
      </c>
      <c r="C10" s="28">
        <v>2913</v>
      </c>
      <c r="D10" s="382">
        <v>0</v>
      </c>
      <c r="E10" s="144">
        <v>0</v>
      </c>
      <c r="F10" s="193">
        <v>0</v>
      </c>
      <c r="G10" s="193">
        <v>0</v>
      </c>
      <c r="H10" s="193">
        <v>0</v>
      </c>
      <c r="I10" s="360">
        <f t="shared" si="2"/>
        <v>606</v>
      </c>
      <c r="J10" s="304">
        <v>0</v>
      </c>
      <c r="K10" s="304">
        <v>0</v>
      </c>
      <c r="L10" s="304">
        <v>0</v>
      </c>
      <c r="M10" s="304">
        <v>0</v>
      </c>
      <c r="N10" s="390">
        <f t="shared" si="1"/>
        <v>0</v>
      </c>
      <c r="O10" s="192">
        <f t="shared" si="0"/>
        <v>2913</v>
      </c>
      <c r="P10" s="30">
        <v>0</v>
      </c>
      <c r="Q10" s="28">
        <v>0</v>
      </c>
      <c r="R10" s="28">
        <v>0</v>
      </c>
      <c r="S10" s="281"/>
    </row>
    <row r="11" spans="1:19" ht="12.75">
      <c r="A11" s="28">
        <v>608</v>
      </c>
      <c r="B11" s="29" t="s">
        <v>27</v>
      </c>
      <c r="C11" s="28">
        <v>2913</v>
      </c>
      <c r="D11" s="382">
        <v>0</v>
      </c>
      <c r="E11" s="144">
        <v>0</v>
      </c>
      <c r="F11" s="193">
        <v>0</v>
      </c>
      <c r="G11" s="193">
        <v>0</v>
      </c>
      <c r="H11" s="193">
        <v>0</v>
      </c>
      <c r="I11" s="360">
        <f t="shared" si="2"/>
        <v>608</v>
      </c>
      <c r="J11" s="304">
        <v>0</v>
      </c>
      <c r="K11" s="304">
        <v>0</v>
      </c>
      <c r="L11" s="304">
        <v>0</v>
      </c>
      <c r="M11" s="304">
        <v>0</v>
      </c>
      <c r="N11" s="390">
        <f t="shared" si="1"/>
        <v>0</v>
      </c>
      <c r="O11" s="192">
        <f t="shared" si="0"/>
        <v>2913</v>
      </c>
      <c r="P11" s="30">
        <v>0</v>
      </c>
      <c r="Q11" s="28">
        <v>0</v>
      </c>
      <c r="R11" s="28">
        <v>0</v>
      </c>
      <c r="S11" s="281"/>
    </row>
    <row r="12" spans="1:21" ht="12.75">
      <c r="A12" s="28">
        <v>609</v>
      </c>
      <c r="B12" s="29" t="s">
        <v>28</v>
      </c>
      <c r="C12" s="28">
        <v>2000</v>
      </c>
      <c r="D12" s="382">
        <v>36</v>
      </c>
      <c r="E12" s="144">
        <v>36</v>
      </c>
      <c r="F12" s="193">
        <v>36</v>
      </c>
      <c r="G12" s="193">
        <v>36</v>
      </c>
      <c r="H12" s="193">
        <v>36</v>
      </c>
      <c r="I12" s="360">
        <f t="shared" si="2"/>
        <v>609</v>
      </c>
      <c r="J12" s="304">
        <v>647</v>
      </c>
      <c r="K12" s="304">
        <v>647</v>
      </c>
      <c r="L12" s="304">
        <v>36</v>
      </c>
      <c r="M12" s="304">
        <v>647</v>
      </c>
      <c r="N12" s="390">
        <f t="shared" si="1"/>
        <v>647</v>
      </c>
      <c r="O12" s="192">
        <f t="shared" si="0"/>
        <v>2683</v>
      </c>
      <c r="P12" s="30">
        <v>0</v>
      </c>
      <c r="Q12" s="28">
        <v>0</v>
      </c>
      <c r="R12" s="28">
        <v>0</v>
      </c>
      <c r="S12" s="281"/>
      <c r="U12">
        <f>452.9*0.3</f>
        <v>135.86999999999998</v>
      </c>
    </row>
    <row r="13" spans="1:21" ht="12.75">
      <c r="A13" s="28">
        <v>611</v>
      </c>
      <c r="B13" s="29" t="s">
        <v>29</v>
      </c>
      <c r="C13" s="28">
        <v>1840</v>
      </c>
      <c r="D13" s="382">
        <v>57</v>
      </c>
      <c r="E13" s="144">
        <v>57</v>
      </c>
      <c r="F13" s="193">
        <v>57</v>
      </c>
      <c r="G13" s="193">
        <v>57</v>
      </c>
      <c r="H13" s="193">
        <v>57</v>
      </c>
      <c r="I13" s="360">
        <f t="shared" si="2"/>
        <v>611</v>
      </c>
      <c r="J13" s="304">
        <v>582.3</v>
      </c>
      <c r="K13" s="304">
        <v>582.3</v>
      </c>
      <c r="L13" s="304">
        <v>57</v>
      </c>
      <c r="M13" s="304">
        <v>582.3</v>
      </c>
      <c r="N13" s="390">
        <f t="shared" si="1"/>
        <v>582.3</v>
      </c>
      <c r="O13" s="192">
        <f t="shared" si="0"/>
        <v>2479.3</v>
      </c>
      <c r="P13" s="30">
        <v>0</v>
      </c>
      <c r="Q13" s="28">
        <v>0</v>
      </c>
      <c r="R13" s="28">
        <v>0</v>
      </c>
      <c r="S13" s="281"/>
      <c r="U13" s="316">
        <v>136</v>
      </c>
    </row>
    <row r="14" spans="1:19" ht="12.75">
      <c r="A14" s="28">
        <v>612</v>
      </c>
      <c r="B14" s="29" t="s">
        <v>30</v>
      </c>
      <c r="C14" s="28">
        <v>1690</v>
      </c>
      <c r="D14" s="382">
        <v>76</v>
      </c>
      <c r="E14" s="144">
        <v>76</v>
      </c>
      <c r="F14" s="193">
        <v>76</v>
      </c>
      <c r="G14" s="193">
        <v>76</v>
      </c>
      <c r="H14" s="193">
        <v>76</v>
      </c>
      <c r="I14" s="360">
        <f t="shared" si="2"/>
        <v>612</v>
      </c>
      <c r="J14" s="304">
        <v>452.9</v>
      </c>
      <c r="K14" s="304">
        <v>452.9</v>
      </c>
      <c r="L14" s="304">
        <v>76</v>
      </c>
      <c r="M14" s="304">
        <v>452.9</v>
      </c>
      <c r="N14" s="390">
        <f t="shared" si="1"/>
        <v>452.9</v>
      </c>
      <c r="O14" s="192">
        <f t="shared" si="0"/>
        <v>2218.9</v>
      </c>
      <c r="P14" s="30">
        <v>0</v>
      </c>
      <c r="Q14" s="28">
        <v>0</v>
      </c>
      <c r="R14" s="28">
        <v>0</v>
      </c>
      <c r="S14" s="281"/>
    </row>
    <row r="15" spans="1:19" ht="12.75">
      <c r="A15" s="28">
        <v>613</v>
      </c>
      <c r="B15" s="29" t="s">
        <v>31</v>
      </c>
      <c r="C15" s="28">
        <v>1680</v>
      </c>
      <c r="D15" s="382">
        <v>77</v>
      </c>
      <c r="E15" s="144">
        <v>77</v>
      </c>
      <c r="F15" s="193">
        <v>77</v>
      </c>
      <c r="G15" s="193">
        <v>77</v>
      </c>
      <c r="H15" s="193">
        <v>77</v>
      </c>
      <c r="I15" s="360">
        <f t="shared" si="2"/>
        <v>613</v>
      </c>
      <c r="J15" s="304">
        <v>452.9</v>
      </c>
      <c r="K15" s="304">
        <v>452.9</v>
      </c>
      <c r="L15" s="304">
        <v>77</v>
      </c>
      <c r="M15" s="304">
        <v>452.9</v>
      </c>
      <c r="N15" s="390">
        <f t="shared" si="1"/>
        <v>452.9</v>
      </c>
      <c r="O15" s="192">
        <f t="shared" si="0"/>
        <v>2209.9</v>
      </c>
      <c r="P15" s="30">
        <v>0</v>
      </c>
      <c r="Q15" s="28">
        <v>0</v>
      </c>
      <c r="R15" s="28">
        <v>0</v>
      </c>
      <c r="S15" s="281"/>
    </row>
    <row r="16" spans="1:24" ht="12.75">
      <c r="A16" s="28">
        <v>614</v>
      </c>
      <c r="B16" s="29" t="s">
        <v>32</v>
      </c>
      <c r="C16" s="28">
        <v>1740</v>
      </c>
      <c r="D16" s="382">
        <v>70</v>
      </c>
      <c r="E16" s="144">
        <v>70</v>
      </c>
      <c r="F16" s="193">
        <v>70</v>
      </c>
      <c r="G16" s="193">
        <v>70</v>
      </c>
      <c r="H16" s="193">
        <v>70</v>
      </c>
      <c r="I16" s="360">
        <f t="shared" si="2"/>
        <v>614</v>
      </c>
      <c r="J16" s="304">
        <v>517.6</v>
      </c>
      <c r="K16" s="304">
        <v>517.6</v>
      </c>
      <c r="L16" s="304">
        <v>70</v>
      </c>
      <c r="M16" s="304">
        <v>517.6</v>
      </c>
      <c r="N16" s="390">
        <f t="shared" si="1"/>
        <v>517.6</v>
      </c>
      <c r="O16" s="192">
        <f t="shared" si="0"/>
        <v>2327.6</v>
      </c>
      <c r="P16" s="30">
        <v>0</v>
      </c>
      <c r="Q16" s="28">
        <v>0</v>
      </c>
      <c r="R16" s="28">
        <v>0</v>
      </c>
      <c r="S16" s="281"/>
      <c r="U16" t="s">
        <v>409</v>
      </c>
      <c r="V16">
        <v>776.4</v>
      </c>
      <c r="W16">
        <f aca="true" t="shared" si="3" ref="W16:W25">0.3*V16</f>
        <v>232.92</v>
      </c>
      <c r="X16">
        <v>233</v>
      </c>
    </row>
    <row r="17" spans="1:24" ht="12.75">
      <c r="A17" s="28">
        <v>615</v>
      </c>
      <c r="B17" s="29" t="s">
        <v>33</v>
      </c>
      <c r="C17" s="28">
        <v>1610</v>
      </c>
      <c r="D17" s="382">
        <v>87</v>
      </c>
      <c r="E17" s="144">
        <v>87</v>
      </c>
      <c r="F17" s="193">
        <v>87</v>
      </c>
      <c r="G17" s="193">
        <v>87</v>
      </c>
      <c r="H17" s="193">
        <v>87</v>
      </c>
      <c r="I17" s="360">
        <f t="shared" si="2"/>
        <v>615</v>
      </c>
      <c r="J17" s="304">
        <v>388.2</v>
      </c>
      <c r="K17" s="304">
        <v>388.2</v>
      </c>
      <c r="L17" s="304">
        <v>87</v>
      </c>
      <c r="M17" s="304">
        <v>388.2</v>
      </c>
      <c r="N17" s="390">
        <f t="shared" si="1"/>
        <v>388.2</v>
      </c>
      <c r="O17" s="192">
        <f t="shared" si="0"/>
        <v>2085.2</v>
      </c>
      <c r="P17" s="30">
        <v>0</v>
      </c>
      <c r="Q17" s="28">
        <v>0</v>
      </c>
      <c r="R17" s="28">
        <v>0</v>
      </c>
      <c r="S17" s="281"/>
      <c r="U17" t="s">
        <v>410</v>
      </c>
      <c r="V17">
        <v>647</v>
      </c>
      <c r="W17">
        <f t="shared" si="3"/>
        <v>194.1</v>
      </c>
      <c r="X17">
        <v>194</v>
      </c>
    </row>
    <row r="18" spans="1:24" ht="12.75">
      <c r="A18" s="28">
        <v>616</v>
      </c>
      <c r="B18" s="29" t="s">
        <v>34</v>
      </c>
      <c r="C18" s="28">
        <v>1740</v>
      </c>
      <c r="D18" s="382">
        <v>70</v>
      </c>
      <c r="E18" s="144">
        <v>70</v>
      </c>
      <c r="F18" s="193">
        <v>70</v>
      </c>
      <c r="G18" s="193">
        <v>70</v>
      </c>
      <c r="H18" s="193">
        <v>70</v>
      </c>
      <c r="I18" s="360">
        <f t="shared" si="2"/>
        <v>616</v>
      </c>
      <c r="J18" s="304">
        <v>0</v>
      </c>
      <c r="K18" s="304">
        <v>0</v>
      </c>
      <c r="L18" s="304">
        <v>70</v>
      </c>
      <c r="M18" s="304">
        <v>0</v>
      </c>
      <c r="N18" s="390">
        <f t="shared" si="1"/>
        <v>0</v>
      </c>
      <c r="O18" s="192">
        <f t="shared" si="0"/>
        <v>1810</v>
      </c>
      <c r="P18" s="30">
        <v>0</v>
      </c>
      <c r="Q18" s="28">
        <v>0</v>
      </c>
      <c r="R18" s="28">
        <v>0</v>
      </c>
      <c r="S18" s="281"/>
      <c r="U18" t="s">
        <v>411</v>
      </c>
      <c r="V18">
        <v>582.3</v>
      </c>
      <c r="W18">
        <f t="shared" si="3"/>
        <v>174.68999999999997</v>
      </c>
      <c r="X18">
        <v>175</v>
      </c>
    </row>
    <row r="19" spans="1:24" ht="12.75">
      <c r="A19" s="28">
        <v>617</v>
      </c>
      <c r="B19" s="29" t="s">
        <v>35</v>
      </c>
      <c r="C19" s="28">
        <v>1610</v>
      </c>
      <c r="D19" s="382">
        <v>87</v>
      </c>
      <c r="E19" s="144">
        <v>87</v>
      </c>
      <c r="F19" s="193">
        <v>87</v>
      </c>
      <c r="G19" s="193">
        <v>87</v>
      </c>
      <c r="H19" s="193">
        <v>87</v>
      </c>
      <c r="I19" s="360">
        <f t="shared" si="2"/>
        <v>617</v>
      </c>
      <c r="J19" s="304">
        <v>0</v>
      </c>
      <c r="K19" s="304">
        <v>0</v>
      </c>
      <c r="L19" s="304">
        <v>87</v>
      </c>
      <c r="M19" s="304">
        <v>0</v>
      </c>
      <c r="N19" s="390">
        <f t="shared" si="1"/>
        <v>0</v>
      </c>
      <c r="O19" s="192">
        <f t="shared" si="0"/>
        <v>1697</v>
      </c>
      <c r="P19" s="30">
        <v>0</v>
      </c>
      <c r="Q19" s="28">
        <v>0</v>
      </c>
      <c r="R19" s="28">
        <v>0</v>
      </c>
      <c r="S19" s="281"/>
      <c r="U19" t="s">
        <v>412</v>
      </c>
      <c r="V19">
        <v>452.9</v>
      </c>
      <c r="W19">
        <f t="shared" si="3"/>
        <v>135.86999999999998</v>
      </c>
      <c r="X19">
        <v>136</v>
      </c>
    </row>
    <row r="20" spans="1:23" ht="12.75">
      <c r="A20" s="28">
        <v>618</v>
      </c>
      <c r="B20" s="29" t="s">
        <v>36</v>
      </c>
      <c r="C20" s="28">
        <v>1500</v>
      </c>
      <c r="D20" s="382">
        <v>101</v>
      </c>
      <c r="E20" s="144">
        <v>101</v>
      </c>
      <c r="F20" s="193">
        <v>101</v>
      </c>
      <c r="G20" s="193">
        <v>101</v>
      </c>
      <c r="H20" s="193">
        <v>101</v>
      </c>
      <c r="I20" s="360">
        <f t="shared" si="2"/>
        <v>618</v>
      </c>
      <c r="J20" s="304">
        <v>0</v>
      </c>
      <c r="K20" s="304">
        <v>0</v>
      </c>
      <c r="L20" s="304">
        <v>101</v>
      </c>
      <c r="M20" s="304">
        <v>0</v>
      </c>
      <c r="N20" s="390">
        <f t="shared" si="1"/>
        <v>0</v>
      </c>
      <c r="O20" s="192">
        <f t="shared" si="0"/>
        <v>1601</v>
      </c>
      <c r="P20" s="30">
        <v>0</v>
      </c>
      <c r="Q20" s="28">
        <v>0</v>
      </c>
      <c r="R20" s="28">
        <v>0</v>
      </c>
      <c r="S20" s="281"/>
      <c r="U20" t="s">
        <v>413</v>
      </c>
      <c r="W20">
        <f t="shared" si="3"/>
        <v>0</v>
      </c>
    </row>
    <row r="21" spans="1:24" ht="12.75">
      <c r="A21" s="28">
        <v>619</v>
      </c>
      <c r="B21" s="29" t="s">
        <v>37</v>
      </c>
      <c r="C21" s="28">
        <v>1320</v>
      </c>
      <c r="D21" s="382">
        <v>124</v>
      </c>
      <c r="E21" s="144">
        <v>124</v>
      </c>
      <c r="F21" s="193">
        <v>124</v>
      </c>
      <c r="G21" s="193">
        <v>124</v>
      </c>
      <c r="H21" s="193">
        <v>124</v>
      </c>
      <c r="I21" s="360">
        <f t="shared" si="2"/>
        <v>619</v>
      </c>
      <c r="J21" s="304">
        <v>0</v>
      </c>
      <c r="K21" s="304">
        <v>0</v>
      </c>
      <c r="L21" s="304">
        <v>124</v>
      </c>
      <c r="M21" s="304">
        <v>0</v>
      </c>
      <c r="N21" s="390">
        <f t="shared" si="1"/>
        <v>0</v>
      </c>
      <c r="O21" s="192">
        <f t="shared" si="0"/>
        <v>1444</v>
      </c>
      <c r="P21" s="30">
        <v>0</v>
      </c>
      <c r="Q21" s="28">
        <v>0</v>
      </c>
      <c r="R21" s="28">
        <v>0</v>
      </c>
      <c r="S21" s="281"/>
      <c r="U21" t="s">
        <v>414</v>
      </c>
      <c r="V21">
        <v>517.6</v>
      </c>
      <c r="W21">
        <f t="shared" si="3"/>
        <v>155.28</v>
      </c>
      <c r="X21">
        <v>155</v>
      </c>
    </row>
    <row r="22" spans="1:24" ht="12.75">
      <c r="A22" s="28">
        <v>620</v>
      </c>
      <c r="B22" s="29" t="s">
        <v>38</v>
      </c>
      <c r="C22" s="28">
        <v>1550</v>
      </c>
      <c r="D22" s="382">
        <v>94</v>
      </c>
      <c r="E22" s="144">
        <v>94</v>
      </c>
      <c r="F22" s="193">
        <v>94</v>
      </c>
      <c r="G22" s="193">
        <v>94</v>
      </c>
      <c r="H22" s="193">
        <v>94</v>
      </c>
      <c r="I22" s="360">
        <f t="shared" si="2"/>
        <v>620</v>
      </c>
      <c r="J22" s="304">
        <v>0</v>
      </c>
      <c r="K22" s="304">
        <v>0</v>
      </c>
      <c r="L22" s="304">
        <v>94</v>
      </c>
      <c r="M22" s="304">
        <v>0</v>
      </c>
      <c r="N22" s="390">
        <f t="shared" si="1"/>
        <v>0</v>
      </c>
      <c r="O22" s="192">
        <f t="shared" si="0"/>
        <v>1644</v>
      </c>
      <c r="P22" s="30">
        <v>0</v>
      </c>
      <c r="Q22" s="28">
        <v>0</v>
      </c>
      <c r="R22" s="28">
        <v>0</v>
      </c>
      <c r="S22" s="281"/>
      <c r="U22" t="s">
        <v>415</v>
      </c>
      <c r="V22">
        <v>388.2</v>
      </c>
      <c r="W22">
        <f t="shared" si="3"/>
        <v>116.46</v>
      </c>
      <c r="X22">
        <v>116</v>
      </c>
    </row>
    <row r="23" spans="1:24" ht="12.75">
      <c r="A23" s="28">
        <v>621</v>
      </c>
      <c r="B23" s="29" t="s">
        <v>39</v>
      </c>
      <c r="C23" s="28">
        <v>1340</v>
      </c>
      <c r="D23" s="382">
        <v>122</v>
      </c>
      <c r="E23" s="144">
        <v>122</v>
      </c>
      <c r="F23" s="193">
        <v>122</v>
      </c>
      <c r="G23" s="193">
        <v>122</v>
      </c>
      <c r="H23" s="193">
        <v>122</v>
      </c>
      <c r="I23" s="360">
        <f t="shared" si="2"/>
        <v>621</v>
      </c>
      <c r="J23" s="304">
        <v>0</v>
      </c>
      <c r="K23" s="304">
        <v>0</v>
      </c>
      <c r="L23" s="304">
        <v>122</v>
      </c>
      <c r="M23" s="304">
        <v>0</v>
      </c>
      <c r="N23" s="390">
        <f t="shared" si="1"/>
        <v>0</v>
      </c>
      <c r="O23" s="192">
        <f t="shared" si="0"/>
        <v>1462</v>
      </c>
      <c r="P23" s="30">
        <v>0</v>
      </c>
      <c r="Q23" s="28">
        <v>0</v>
      </c>
      <c r="R23" s="28">
        <v>0</v>
      </c>
      <c r="S23" s="281"/>
      <c r="U23" t="s">
        <v>416</v>
      </c>
      <c r="V23">
        <v>388.2</v>
      </c>
      <c r="W23">
        <f t="shared" si="3"/>
        <v>116.46</v>
      </c>
      <c r="X23">
        <v>116</v>
      </c>
    </row>
    <row r="24" spans="1:24" ht="12.75">
      <c r="A24" s="28">
        <v>622</v>
      </c>
      <c r="B24" s="29" t="s">
        <v>40</v>
      </c>
      <c r="C24" s="37">
        <v>971</v>
      </c>
      <c r="D24" s="382">
        <v>170</v>
      </c>
      <c r="E24" s="366">
        <v>216</v>
      </c>
      <c r="F24" s="193">
        <v>261</v>
      </c>
      <c r="G24" s="304">
        <v>327</v>
      </c>
      <c r="H24" s="304">
        <v>350</v>
      </c>
      <c r="I24" s="360">
        <f t="shared" si="2"/>
        <v>622</v>
      </c>
      <c r="J24" s="304">
        <v>0</v>
      </c>
      <c r="K24" s="304">
        <v>0</v>
      </c>
      <c r="L24" s="304">
        <v>414.7</v>
      </c>
      <c r="M24" s="304">
        <v>0</v>
      </c>
      <c r="N24" s="390">
        <f t="shared" si="1"/>
        <v>0</v>
      </c>
      <c r="O24" s="192">
        <f t="shared" si="0"/>
        <v>1298</v>
      </c>
      <c r="P24" s="30">
        <v>0</v>
      </c>
      <c r="Q24" s="28">
        <v>0</v>
      </c>
      <c r="R24" s="28">
        <v>0</v>
      </c>
      <c r="S24" s="281"/>
      <c r="U24" t="s">
        <v>417</v>
      </c>
      <c r="V24">
        <v>388.2</v>
      </c>
      <c r="W24">
        <f t="shared" si="3"/>
        <v>116.46</v>
      </c>
      <c r="X24">
        <v>116</v>
      </c>
    </row>
    <row r="25" spans="1:24" ht="12.75">
      <c r="A25" s="28">
        <v>623</v>
      </c>
      <c r="B25" s="29" t="s">
        <v>41</v>
      </c>
      <c r="C25" s="28">
        <v>1690</v>
      </c>
      <c r="D25" s="382">
        <v>76</v>
      </c>
      <c r="E25" s="144">
        <v>76</v>
      </c>
      <c r="F25" s="193">
        <v>76</v>
      </c>
      <c r="G25" s="193">
        <v>76</v>
      </c>
      <c r="H25" s="193">
        <v>76</v>
      </c>
      <c r="I25" s="360">
        <f t="shared" si="2"/>
        <v>623</v>
      </c>
      <c r="J25" s="304">
        <v>0</v>
      </c>
      <c r="K25" s="304">
        <v>0</v>
      </c>
      <c r="L25" s="304">
        <v>76</v>
      </c>
      <c r="M25" s="304">
        <v>0</v>
      </c>
      <c r="N25" s="390">
        <f t="shared" si="1"/>
        <v>0</v>
      </c>
      <c r="O25" s="192">
        <f t="shared" si="0"/>
        <v>1766</v>
      </c>
      <c r="P25" s="30">
        <v>0</v>
      </c>
      <c r="Q25" s="28">
        <v>0</v>
      </c>
      <c r="R25" s="28">
        <v>0</v>
      </c>
      <c r="S25" s="281"/>
      <c r="U25" t="s">
        <v>418</v>
      </c>
      <c r="V25">
        <v>388.2</v>
      </c>
      <c r="W25">
        <f t="shared" si="3"/>
        <v>116.46</v>
      </c>
      <c r="X25">
        <v>116</v>
      </c>
    </row>
    <row r="26" spans="1:19" ht="12.75">
      <c r="A26" s="28">
        <v>624</v>
      </c>
      <c r="B26" s="29" t="s">
        <v>42</v>
      </c>
      <c r="C26" s="28">
        <v>1400</v>
      </c>
      <c r="D26" s="382">
        <v>114</v>
      </c>
      <c r="E26" s="144">
        <v>114</v>
      </c>
      <c r="F26" s="193">
        <f>IF(C26&lt;972,E26+44,E26)</f>
        <v>114</v>
      </c>
      <c r="G26" s="193">
        <v>114</v>
      </c>
      <c r="H26" s="193">
        <v>114</v>
      </c>
      <c r="I26" s="360">
        <f t="shared" si="2"/>
        <v>624</v>
      </c>
      <c r="J26" s="304">
        <v>0</v>
      </c>
      <c r="K26" s="304">
        <v>0</v>
      </c>
      <c r="L26" s="304">
        <v>114</v>
      </c>
      <c r="M26" s="304">
        <v>0</v>
      </c>
      <c r="N26" s="390">
        <f t="shared" si="1"/>
        <v>0</v>
      </c>
      <c r="O26" s="192">
        <f t="shared" si="0"/>
        <v>1514</v>
      </c>
      <c r="P26" s="30">
        <v>0</v>
      </c>
      <c r="Q26" s="28">
        <v>0</v>
      </c>
      <c r="R26" s="28">
        <v>0</v>
      </c>
      <c r="S26" s="281"/>
    </row>
    <row r="27" spans="1:19" ht="12.75">
      <c r="A27" s="28">
        <v>625</v>
      </c>
      <c r="B27" s="29" t="s">
        <v>43</v>
      </c>
      <c r="C27" s="28">
        <v>1370</v>
      </c>
      <c r="D27" s="382">
        <v>118</v>
      </c>
      <c r="E27" s="144">
        <v>118</v>
      </c>
      <c r="F27" s="193">
        <f>IF(C27&lt;972,E27+44,E27)</f>
        <v>118</v>
      </c>
      <c r="G27" s="193">
        <v>118</v>
      </c>
      <c r="H27" s="193">
        <v>118</v>
      </c>
      <c r="I27" s="360">
        <f t="shared" si="2"/>
        <v>625</v>
      </c>
      <c r="J27" s="304">
        <v>388.2</v>
      </c>
      <c r="K27" s="304">
        <v>388.2</v>
      </c>
      <c r="L27" s="304">
        <v>118</v>
      </c>
      <c r="M27" s="304">
        <v>388.2</v>
      </c>
      <c r="N27" s="390">
        <f t="shared" si="1"/>
        <v>388.2</v>
      </c>
      <c r="O27" s="192">
        <f t="shared" si="0"/>
        <v>1876.2</v>
      </c>
      <c r="P27" s="30">
        <v>0</v>
      </c>
      <c r="Q27" s="28">
        <v>0</v>
      </c>
      <c r="R27" s="28">
        <v>0</v>
      </c>
      <c r="S27" s="281"/>
    </row>
    <row r="28" spans="1:19" ht="12.75">
      <c r="A28" s="28">
        <v>626</v>
      </c>
      <c r="B28" s="29" t="s">
        <v>44</v>
      </c>
      <c r="C28" s="28">
        <v>1340</v>
      </c>
      <c r="D28" s="382">
        <v>122</v>
      </c>
      <c r="E28" s="144">
        <v>122</v>
      </c>
      <c r="F28" s="193">
        <f>IF(C28&lt;972,E28+44,E28)</f>
        <v>122</v>
      </c>
      <c r="G28" s="193">
        <v>122</v>
      </c>
      <c r="H28" s="193">
        <v>122</v>
      </c>
      <c r="I28" s="360">
        <f t="shared" si="2"/>
        <v>626</v>
      </c>
      <c r="J28" s="304">
        <v>388.2</v>
      </c>
      <c r="K28" s="304">
        <v>388.2</v>
      </c>
      <c r="L28" s="304">
        <v>122</v>
      </c>
      <c r="M28" s="304">
        <v>388.2</v>
      </c>
      <c r="N28" s="390">
        <f t="shared" si="1"/>
        <v>388.2</v>
      </c>
      <c r="O28" s="192">
        <f t="shared" si="0"/>
        <v>1850.2</v>
      </c>
      <c r="P28" s="30">
        <v>0</v>
      </c>
      <c r="Q28" s="28">
        <v>0</v>
      </c>
      <c r="R28" s="28">
        <v>0</v>
      </c>
      <c r="S28" s="281"/>
    </row>
    <row r="29" spans="1:19" ht="12.75">
      <c r="A29" s="28">
        <v>627</v>
      </c>
      <c r="B29" s="29" t="s">
        <v>45</v>
      </c>
      <c r="C29" s="28">
        <v>1300</v>
      </c>
      <c r="D29" s="382">
        <v>127</v>
      </c>
      <c r="E29" s="144">
        <v>127</v>
      </c>
      <c r="F29" s="193">
        <f>IF(C29&lt;972,E29+44,E29)</f>
        <v>127</v>
      </c>
      <c r="G29" s="193">
        <v>127</v>
      </c>
      <c r="H29" s="193">
        <v>127</v>
      </c>
      <c r="I29" s="360">
        <f t="shared" si="2"/>
        <v>627</v>
      </c>
      <c r="J29" s="304">
        <v>388.2</v>
      </c>
      <c r="K29" s="304">
        <v>388.2</v>
      </c>
      <c r="L29" s="304">
        <v>127</v>
      </c>
      <c r="M29" s="304">
        <v>388.2</v>
      </c>
      <c r="N29" s="390">
        <f t="shared" si="1"/>
        <v>388.2</v>
      </c>
      <c r="O29" s="192">
        <f t="shared" si="0"/>
        <v>1815.2</v>
      </c>
      <c r="P29" s="30">
        <v>0</v>
      </c>
      <c r="Q29" s="28">
        <v>0</v>
      </c>
      <c r="R29" s="28">
        <v>0</v>
      </c>
      <c r="S29" s="281"/>
    </row>
    <row r="30" spans="1:19" ht="12.75">
      <c r="A30" s="28">
        <v>628</v>
      </c>
      <c r="B30" s="29" t="s">
        <v>46</v>
      </c>
      <c r="C30" s="28">
        <v>980</v>
      </c>
      <c r="D30" s="382">
        <v>169</v>
      </c>
      <c r="E30" s="144">
        <v>169</v>
      </c>
      <c r="F30" s="193">
        <f>IF(C30&lt;972,E30+44,E30)</f>
        <v>169</v>
      </c>
      <c r="G30" s="193">
        <v>169</v>
      </c>
      <c r="H30" s="193">
        <v>169</v>
      </c>
      <c r="I30" s="360">
        <f t="shared" si="2"/>
        <v>628</v>
      </c>
      <c r="J30" s="304">
        <v>0</v>
      </c>
      <c r="K30" s="304">
        <v>0</v>
      </c>
      <c r="L30" s="304">
        <v>169</v>
      </c>
      <c r="M30" s="304">
        <v>0</v>
      </c>
      <c r="N30" s="390">
        <f t="shared" si="1"/>
        <v>0</v>
      </c>
      <c r="O30" s="192">
        <f t="shared" si="0"/>
        <v>1149</v>
      </c>
      <c r="P30" s="30">
        <v>0</v>
      </c>
      <c r="Q30" s="28">
        <v>0</v>
      </c>
      <c r="R30" s="28">
        <v>0</v>
      </c>
      <c r="S30" s="281"/>
    </row>
    <row r="31" spans="1:19" ht="12.75">
      <c r="A31" s="28">
        <v>629</v>
      </c>
      <c r="B31" s="29" t="s">
        <v>47</v>
      </c>
      <c r="C31" s="28">
        <v>941</v>
      </c>
      <c r="D31" s="382">
        <v>170</v>
      </c>
      <c r="E31" s="366">
        <v>216</v>
      </c>
      <c r="F31" s="193">
        <v>261</v>
      </c>
      <c r="G31" s="304">
        <v>327</v>
      </c>
      <c r="H31" s="304">
        <v>350</v>
      </c>
      <c r="I31" s="360">
        <f t="shared" si="2"/>
        <v>629</v>
      </c>
      <c r="J31" s="304">
        <v>0</v>
      </c>
      <c r="K31" s="304">
        <v>0</v>
      </c>
      <c r="L31" s="304">
        <v>414.7</v>
      </c>
      <c r="M31" s="304">
        <v>0</v>
      </c>
      <c r="N31" s="390">
        <f t="shared" si="1"/>
        <v>0</v>
      </c>
      <c r="O31" s="192">
        <f t="shared" si="0"/>
        <v>1268</v>
      </c>
      <c r="P31" s="30">
        <v>0</v>
      </c>
      <c r="Q31" s="28">
        <v>0</v>
      </c>
      <c r="R31" s="28">
        <v>0</v>
      </c>
      <c r="S31" s="281"/>
    </row>
    <row r="32" spans="1:19" ht="12.75">
      <c r="A32" s="28">
        <v>630</v>
      </c>
      <c r="B32" s="29" t="s">
        <v>48</v>
      </c>
      <c r="C32" s="28">
        <v>1170</v>
      </c>
      <c r="D32" s="382">
        <v>144</v>
      </c>
      <c r="E32" s="144">
        <v>144</v>
      </c>
      <c r="F32" s="193">
        <f>IF(C32&lt;972,E32+44,E32)</f>
        <v>144</v>
      </c>
      <c r="G32" s="193">
        <v>144</v>
      </c>
      <c r="H32" s="193">
        <v>144</v>
      </c>
      <c r="I32" s="360">
        <f t="shared" si="2"/>
        <v>630</v>
      </c>
      <c r="J32" s="304">
        <v>0</v>
      </c>
      <c r="K32" s="304">
        <v>0</v>
      </c>
      <c r="L32" s="304">
        <v>144</v>
      </c>
      <c r="M32" s="304">
        <v>0</v>
      </c>
      <c r="N32" s="390">
        <f t="shared" si="1"/>
        <v>0</v>
      </c>
      <c r="O32" s="192">
        <f t="shared" si="0"/>
        <v>1314</v>
      </c>
      <c r="P32" s="30">
        <v>0</v>
      </c>
      <c r="Q32" s="28">
        <v>0</v>
      </c>
      <c r="R32" s="28">
        <v>0</v>
      </c>
      <c r="S32" s="281"/>
    </row>
    <row r="33" spans="1:19" ht="12.75">
      <c r="A33" s="28">
        <v>631</v>
      </c>
      <c r="B33" s="29" t="s">
        <v>49</v>
      </c>
      <c r="C33" s="28">
        <v>1170</v>
      </c>
      <c r="D33" s="382">
        <v>144</v>
      </c>
      <c r="E33" s="144">
        <v>144</v>
      </c>
      <c r="F33" s="193">
        <f>IF(C33&lt;972,E33+44,E33)</f>
        <v>144</v>
      </c>
      <c r="G33" s="193">
        <v>144</v>
      </c>
      <c r="H33" s="193">
        <v>144</v>
      </c>
      <c r="I33" s="360">
        <f t="shared" si="2"/>
        <v>631</v>
      </c>
      <c r="J33" s="304">
        <v>0</v>
      </c>
      <c r="K33" s="304">
        <v>0</v>
      </c>
      <c r="L33" s="304">
        <v>144</v>
      </c>
      <c r="M33" s="304">
        <v>0</v>
      </c>
      <c r="N33" s="390">
        <f t="shared" si="1"/>
        <v>0</v>
      </c>
      <c r="O33" s="192">
        <f t="shared" si="0"/>
        <v>1314</v>
      </c>
      <c r="P33" s="30">
        <v>0</v>
      </c>
      <c r="Q33" s="28">
        <v>0</v>
      </c>
      <c r="R33" s="28">
        <v>0</v>
      </c>
      <c r="S33" s="281"/>
    </row>
    <row r="34" spans="1:19" ht="12.75">
      <c r="A34" s="28">
        <v>632</v>
      </c>
      <c r="B34" s="29" t="s">
        <v>50</v>
      </c>
      <c r="C34" s="28">
        <v>941</v>
      </c>
      <c r="D34" s="382">
        <v>170</v>
      </c>
      <c r="E34" s="366">
        <v>216</v>
      </c>
      <c r="F34" s="193">
        <v>261</v>
      </c>
      <c r="G34" s="304">
        <v>327</v>
      </c>
      <c r="H34" s="304">
        <v>350</v>
      </c>
      <c r="I34" s="360">
        <f t="shared" si="2"/>
        <v>632</v>
      </c>
      <c r="J34" s="304">
        <v>0</v>
      </c>
      <c r="K34" s="304">
        <v>0</v>
      </c>
      <c r="L34" s="304">
        <v>414.7</v>
      </c>
      <c r="M34" s="304">
        <v>0</v>
      </c>
      <c r="N34" s="390">
        <f t="shared" si="1"/>
        <v>0</v>
      </c>
      <c r="O34" s="192">
        <f t="shared" si="0"/>
        <v>1268</v>
      </c>
      <c r="P34" s="30">
        <v>0</v>
      </c>
      <c r="Q34" s="28">
        <v>0</v>
      </c>
      <c r="R34" s="28">
        <v>0</v>
      </c>
      <c r="S34" s="281"/>
    </row>
    <row r="35" spans="1:19" ht="12.75">
      <c r="A35" s="28">
        <v>633</v>
      </c>
      <c r="B35" s="29" t="s">
        <v>51</v>
      </c>
      <c r="C35" s="28">
        <v>941</v>
      </c>
      <c r="D35" s="382">
        <v>170</v>
      </c>
      <c r="E35" s="366">
        <v>216</v>
      </c>
      <c r="F35" s="193">
        <v>261</v>
      </c>
      <c r="G35" s="304">
        <v>327</v>
      </c>
      <c r="H35" s="304">
        <v>350</v>
      </c>
      <c r="I35" s="360">
        <f t="shared" si="2"/>
        <v>633</v>
      </c>
      <c r="J35" s="304">
        <v>0</v>
      </c>
      <c r="K35" s="304">
        <v>0</v>
      </c>
      <c r="L35" s="304">
        <v>414.7</v>
      </c>
      <c r="M35" s="304">
        <v>0</v>
      </c>
      <c r="N35" s="390">
        <f t="shared" si="1"/>
        <v>0</v>
      </c>
      <c r="O35" s="192">
        <f t="shared" si="0"/>
        <v>1268</v>
      </c>
      <c r="P35" s="30">
        <v>0</v>
      </c>
      <c r="Q35" s="28">
        <v>0</v>
      </c>
      <c r="R35" s="28">
        <v>0</v>
      </c>
      <c r="S35" s="281"/>
    </row>
    <row r="36" spans="1:19" ht="12.75">
      <c r="A36" s="28">
        <v>634</v>
      </c>
      <c r="B36" s="29" t="s">
        <v>52</v>
      </c>
      <c r="C36" s="28">
        <v>971</v>
      </c>
      <c r="D36" s="382">
        <v>170</v>
      </c>
      <c r="E36" s="366">
        <v>216</v>
      </c>
      <c r="F36" s="193">
        <v>261</v>
      </c>
      <c r="G36" s="304">
        <v>327</v>
      </c>
      <c r="H36" s="304">
        <v>350</v>
      </c>
      <c r="I36" s="360">
        <f t="shared" si="2"/>
        <v>634</v>
      </c>
      <c r="J36" s="304">
        <v>0</v>
      </c>
      <c r="K36" s="304">
        <v>0</v>
      </c>
      <c r="L36" s="304">
        <v>414.7</v>
      </c>
      <c r="M36" s="304">
        <v>0</v>
      </c>
      <c r="N36" s="390">
        <f t="shared" si="1"/>
        <v>0</v>
      </c>
      <c r="O36" s="192">
        <f t="shared" si="0"/>
        <v>1298</v>
      </c>
      <c r="P36" s="30">
        <v>0</v>
      </c>
      <c r="Q36" s="28">
        <v>0</v>
      </c>
      <c r="R36" s="28">
        <v>0</v>
      </c>
      <c r="S36" s="281"/>
    </row>
    <row r="37" spans="1:19" ht="12.75">
      <c r="A37" s="28">
        <v>635</v>
      </c>
      <c r="B37" s="29" t="s">
        <v>377</v>
      </c>
      <c r="C37" s="28">
        <v>1610</v>
      </c>
      <c r="D37" s="382">
        <v>87</v>
      </c>
      <c r="E37" s="144">
        <v>87</v>
      </c>
      <c r="F37" s="193">
        <f>IF(C37&lt;972,E37+44,E37)</f>
        <v>87</v>
      </c>
      <c r="G37" s="193">
        <v>87</v>
      </c>
      <c r="H37" s="193">
        <v>87</v>
      </c>
      <c r="I37" s="360">
        <f t="shared" si="2"/>
        <v>635</v>
      </c>
      <c r="J37" s="304">
        <v>388.2</v>
      </c>
      <c r="K37" s="304">
        <v>388.2</v>
      </c>
      <c r="L37" s="304">
        <v>87</v>
      </c>
      <c r="M37" s="304">
        <v>388.2</v>
      </c>
      <c r="N37" s="390">
        <f t="shared" si="1"/>
        <v>388.2</v>
      </c>
      <c r="O37" s="192">
        <f t="shared" si="0"/>
        <v>2085.2</v>
      </c>
      <c r="P37" s="30">
        <v>0</v>
      </c>
      <c r="Q37" s="28">
        <v>0</v>
      </c>
      <c r="R37" s="28">
        <v>0</v>
      </c>
      <c r="S37" s="281"/>
    </row>
    <row r="38" spans="1:19" ht="12.75">
      <c r="A38" s="28">
        <v>636</v>
      </c>
      <c r="B38" s="29" t="s">
        <v>53</v>
      </c>
      <c r="C38" s="28">
        <v>971</v>
      </c>
      <c r="D38" s="382">
        <v>170</v>
      </c>
      <c r="E38" s="366">
        <v>216</v>
      </c>
      <c r="F38" s="193">
        <v>261</v>
      </c>
      <c r="G38" s="304">
        <v>327</v>
      </c>
      <c r="H38" s="304">
        <v>350</v>
      </c>
      <c r="I38" s="360">
        <f t="shared" si="2"/>
        <v>636</v>
      </c>
      <c r="J38" s="304">
        <v>0</v>
      </c>
      <c r="K38" s="304">
        <v>0</v>
      </c>
      <c r="L38" s="304">
        <v>414.7</v>
      </c>
      <c r="M38" s="304">
        <v>0</v>
      </c>
      <c r="N38" s="390">
        <f t="shared" si="1"/>
        <v>0</v>
      </c>
      <c r="O38" s="192">
        <f t="shared" si="0"/>
        <v>1298</v>
      </c>
      <c r="P38" s="30">
        <v>0</v>
      </c>
      <c r="Q38" s="28">
        <v>0</v>
      </c>
      <c r="R38" s="28">
        <v>0</v>
      </c>
      <c r="S38" s="281"/>
    </row>
    <row r="39" spans="1:19" ht="12.75">
      <c r="A39" s="28">
        <v>637</v>
      </c>
      <c r="B39" s="29" t="s">
        <v>54</v>
      </c>
      <c r="C39" s="28">
        <v>971</v>
      </c>
      <c r="D39" s="382">
        <v>170</v>
      </c>
      <c r="E39" s="366">
        <v>216</v>
      </c>
      <c r="F39" s="193">
        <v>261</v>
      </c>
      <c r="G39" s="304">
        <v>327</v>
      </c>
      <c r="H39" s="304">
        <v>350</v>
      </c>
      <c r="I39" s="360">
        <f t="shared" si="2"/>
        <v>637</v>
      </c>
      <c r="J39" s="304">
        <v>0</v>
      </c>
      <c r="K39" s="304">
        <v>0</v>
      </c>
      <c r="L39" s="304">
        <v>414.7</v>
      </c>
      <c r="M39" s="304">
        <v>0</v>
      </c>
      <c r="N39" s="390">
        <f t="shared" si="1"/>
        <v>0</v>
      </c>
      <c r="O39" s="192">
        <f t="shared" si="0"/>
        <v>1298</v>
      </c>
      <c r="P39" s="30">
        <v>0</v>
      </c>
      <c r="Q39" s="28">
        <v>0</v>
      </c>
      <c r="R39" s="28">
        <v>0</v>
      </c>
      <c r="S39" s="281"/>
    </row>
    <row r="40" spans="1:19" ht="12.75">
      <c r="A40" s="28">
        <v>638</v>
      </c>
      <c r="B40" s="29" t="s">
        <v>55</v>
      </c>
      <c r="C40" s="28">
        <v>906</v>
      </c>
      <c r="D40" s="382">
        <v>170</v>
      </c>
      <c r="E40" s="366">
        <v>216</v>
      </c>
      <c r="F40" s="193">
        <v>261</v>
      </c>
      <c r="G40" s="304">
        <v>327</v>
      </c>
      <c r="H40" s="304">
        <v>350</v>
      </c>
      <c r="I40" s="360">
        <f t="shared" si="2"/>
        <v>638</v>
      </c>
      <c r="J40" s="304">
        <v>0</v>
      </c>
      <c r="K40" s="304">
        <v>0</v>
      </c>
      <c r="L40" s="304">
        <v>414.7</v>
      </c>
      <c r="M40" s="304">
        <v>0</v>
      </c>
      <c r="N40" s="390">
        <f t="shared" si="1"/>
        <v>0</v>
      </c>
      <c r="O40" s="192">
        <f t="shared" si="0"/>
        <v>1233</v>
      </c>
      <c r="P40" s="30">
        <v>0</v>
      </c>
      <c r="Q40" s="28">
        <v>0</v>
      </c>
      <c r="R40" s="28">
        <v>0</v>
      </c>
      <c r="S40" s="281"/>
    </row>
    <row r="41" spans="1:19" ht="12.75">
      <c r="A41" s="28">
        <v>639</v>
      </c>
      <c r="B41" s="29" t="s">
        <v>56</v>
      </c>
      <c r="C41" s="28">
        <v>1300</v>
      </c>
      <c r="D41" s="382">
        <v>127</v>
      </c>
      <c r="E41" s="144">
        <v>127</v>
      </c>
      <c r="F41" s="193">
        <f aca="true" t="shared" si="4" ref="F41:F47">IF(C41&lt;972,E41+44,E41)</f>
        <v>127</v>
      </c>
      <c r="G41" s="193">
        <v>127</v>
      </c>
      <c r="H41" s="193">
        <v>127</v>
      </c>
      <c r="I41" s="360">
        <f t="shared" si="2"/>
        <v>639</v>
      </c>
      <c r="J41" s="304">
        <v>0</v>
      </c>
      <c r="K41" s="304">
        <v>0</v>
      </c>
      <c r="L41" s="304">
        <v>127</v>
      </c>
      <c r="M41" s="304">
        <v>0</v>
      </c>
      <c r="N41" s="390">
        <f t="shared" si="1"/>
        <v>0</v>
      </c>
      <c r="O41" s="192">
        <f t="shared" si="0"/>
        <v>1427</v>
      </c>
      <c r="P41" s="30">
        <v>0</v>
      </c>
      <c r="Q41" s="28">
        <v>0</v>
      </c>
      <c r="R41" s="28">
        <v>0</v>
      </c>
      <c r="S41" s="281"/>
    </row>
    <row r="42" spans="1:19" ht="12.75">
      <c r="A42" s="28">
        <v>640</v>
      </c>
      <c r="B42" s="29" t="s">
        <v>504</v>
      </c>
      <c r="C42" s="28">
        <v>1680</v>
      </c>
      <c r="D42" s="382">
        <v>0</v>
      </c>
      <c r="E42" s="144">
        <v>0</v>
      </c>
      <c r="F42" s="193">
        <f t="shared" si="4"/>
        <v>0</v>
      </c>
      <c r="G42" s="193">
        <v>0</v>
      </c>
      <c r="H42" s="193">
        <v>77</v>
      </c>
      <c r="I42" s="360">
        <f t="shared" si="2"/>
        <v>640</v>
      </c>
      <c r="J42" s="304">
        <v>0</v>
      </c>
      <c r="K42" s="304">
        <v>0</v>
      </c>
      <c r="L42" s="304">
        <v>77</v>
      </c>
      <c r="M42" s="304">
        <v>0</v>
      </c>
      <c r="N42" s="390">
        <v>453</v>
      </c>
      <c r="O42" s="192">
        <f t="shared" si="0"/>
        <v>1680</v>
      </c>
      <c r="P42" s="30">
        <v>0</v>
      </c>
      <c r="Q42" s="28">
        <v>0</v>
      </c>
      <c r="R42" s="28">
        <v>0</v>
      </c>
      <c r="S42" s="281"/>
    </row>
    <row r="43" spans="1:19" ht="12.75">
      <c r="A43" s="28">
        <v>641</v>
      </c>
      <c r="B43" s="29" t="s">
        <v>505</v>
      </c>
      <c r="C43" s="28">
        <v>1300</v>
      </c>
      <c r="D43" s="382">
        <v>94</v>
      </c>
      <c r="E43" s="144">
        <v>94</v>
      </c>
      <c r="F43" s="193">
        <f t="shared" si="4"/>
        <v>94</v>
      </c>
      <c r="G43" s="193">
        <v>94</v>
      </c>
      <c r="H43" s="193">
        <v>127</v>
      </c>
      <c r="I43" s="360">
        <f t="shared" si="2"/>
        <v>641</v>
      </c>
      <c r="J43" s="304">
        <v>0</v>
      </c>
      <c r="K43" s="304">
        <v>0</v>
      </c>
      <c r="L43" s="304">
        <v>127</v>
      </c>
      <c r="M43" s="304">
        <v>0</v>
      </c>
      <c r="N43" s="390">
        <v>388</v>
      </c>
      <c r="O43" s="192">
        <f t="shared" si="0"/>
        <v>1394</v>
      </c>
      <c r="P43" s="30">
        <v>0</v>
      </c>
      <c r="Q43" s="28">
        <v>0</v>
      </c>
      <c r="R43" s="28">
        <v>0</v>
      </c>
      <c r="S43" s="281"/>
    </row>
    <row r="44" spans="1:19" ht="12.75">
      <c r="A44" s="28">
        <v>642</v>
      </c>
      <c r="B44" s="29" t="s">
        <v>506</v>
      </c>
      <c r="C44" s="28">
        <v>2913</v>
      </c>
      <c r="D44" s="382">
        <v>144</v>
      </c>
      <c r="E44" s="144">
        <v>144</v>
      </c>
      <c r="F44" s="193">
        <f t="shared" si="4"/>
        <v>144</v>
      </c>
      <c r="G44" s="193">
        <v>144</v>
      </c>
      <c r="H44" s="193">
        <v>144</v>
      </c>
      <c r="I44" s="360">
        <f t="shared" si="2"/>
        <v>642</v>
      </c>
      <c r="J44" s="304">
        <v>0</v>
      </c>
      <c r="K44" s="304">
        <v>0</v>
      </c>
      <c r="L44" s="304">
        <v>0</v>
      </c>
      <c r="M44" s="304">
        <v>0</v>
      </c>
      <c r="N44" s="390">
        <v>776</v>
      </c>
      <c r="O44" s="192">
        <f t="shared" si="0"/>
        <v>3057</v>
      </c>
      <c r="P44" s="30">
        <v>0</v>
      </c>
      <c r="Q44" s="28">
        <v>0</v>
      </c>
      <c r="R44" s="28">
        <v>0</v>
      </c>
      <c r="S44" s="281"/>
    </row>
    <row r="45" spans="1:19" ht="12.75">
      <c r="A45" s="28">
        <v>643</v>
      </c>
      <c r="B45" s="29" t="s">
        <v>57</v>
      </c>
      <c r="C45" s="28">
        <v>1500</v>
      </c>
      <c r="D45" s="382">
        <v>101</v>
      </c>
      <c r="E45" s="144">
        <v>101</v>
      </c>
      <c r="F45" s="193">
        <f t="shared" si="4"/>
        <v>101</v>
      </c>
      <c r="G45" s="193">
        <v>101</v>
      </c>
      <c r="H45" s="193">
        <v>101</v>
      </c>
      <c r="I45" s="360">
        <f t="shared" si="2"/>
        <v>643</v>
      </c>
      <c r="J45" s="304">
        <v>388.2</v>
      </c>
      <c r="K45" s="304">
        <v>388.2</v>
      </c>
      <c r="L45" s="304">
        <v>101</v>
      </c>
      <c r="M45" s="304">
        <v>388.2</v>
      </c>
      <c r="N45" s="390">
        <f t="shared" si="1"/>
        <v>388.2</v>
      </c>
      <c r="O45" s="192">
        <f t="shared" si="0"/>
        <v>1989.2</v>
      </c>
      <c r="P45" s="30">
        <v>0</v>
      </c>
      <c r="Q45" s="28">
        <v>0</v>
      </c>
      <c r="R45" s="28">
        <v>0</v>
      </c>
      <c r="S45" s="281"/>
    </row>
    <row r="46" spans="1:19" ht="12.75">
      <c r="A46" s="28">
        <v>644</v>
      </c>
      <c r="B46" s="29" t="s">
        <v>58</v>
      </c>
      <c r="C46" s="28">
        <v>2490</v>
      </c>
      <c r="D46" s="382">
        <v>0</v>
      </c>
      <c r="E46" s="144">
        <v>0</v>
      </c>
      <c r="F46" s="193">
        <f t="shared" si="4"/>
        <v>0</v>
      </c>
      <c r="G46" s="193">
        <v>0</v>
      </c>
      <c r="H46" s="193">
        <v>0</v>
      </c>
      <c r="I46" s="360">
        <f t="shared" si="2"/>
        <v>644</v>
      </c>
      <c r="J46" s="304">
        <v>0</v>
      </c>
      <c r="K46" s="304">
        <v>0</v>
      </c>
      <c r="L46" s="304">
        <v>0</v>
      </c>
      <c r="M46" s="304">
        <v>0</v>
      </c>
      <c r="N46" s="390">
        <f t="shared" si="1"/>
        <v>0</v>
      </c>
      <c r="O46" s="192">
        <f t="shared" si="0"/>
        <v>2490</v>
      </c>
      <c r="P46" s="30">
        <v>0</v>
      </c>
      <c r="Q46" s="28">
        <v>0</v>
      </c>
      <c r="R46" s="28">
        <v>0</v>
      </c>
      <c r="S46" s="281"/>
    </row>
    <row r="47" spans="1:19" ht="12.75">
      <c r="A47" s="28">
        <v>645</v>
      </c>
      <c r="B47" s="29" t="s">
        <v>59</v>
      </c>
      <c r="C47" s="28">
        <v>2329</v>
      </c>
      <c r="D47" s="382">
        <v>0</v>
      </c>
      <c r="E47" s="144">
        <v>0</v>
      </c>
      <c r="F47" s="193">
        <f t="shared" si="4"/>
        <v>0</v>
      </c>
      <c r="G47" s="193">
        <v>0</v>
      </c>
      <c r="H47" s="193">
        <v>0</v>
      </c>
      <c r="I47" s="360">
        <f t="shared" si="2"/>
        <v>645</v>
      </c>
      <c r="J47" s="304">
        <v>0</v>
      </c>
      <c r="K47" s="304">
        <v>0</v>
      </c>
      <c r="L47" s="304">
        <v>0</v>
      </c>
      <c r="M47" s="304">
        <v>0</v>
      </c>
      <c r="N47" s="390">
        <f t="shared" si="1"/>
        <v>0</v>
      </c>
      <c r="O47" s="192">
        <f t="shared" si="0"/>
        <v>2329</v>
      </c>
      <c r="P47" s="30">
        <v>0</v>
      </c>
      <c r="Q47" s="28">
        <v>0</v>
      </c>
      <c r="R47" s="28">
        <v>0</v>
      </c>
      <c r="S47" s="281"/>
    </row>
    <row r="48" spans="1:19" ht="12.75">
      <c r="A48" s="28">
        <v>646</v>
      </c>
      <c r="B48" s="29" t="s">
        <v>60</v>
      </c>
      <c r="C48" s="28">
        <v>906</v>
      </c>
      <c r="D48" s="382">
        <v>170</v>
      </c>
      <c r="E48" s="366">
        <v>216</v>
      </c>
      <c r="F48" s="193">
        <v>261</v>
      </c>
      <c r="G48" s="304">
        <v>327</v>
      </c>
      <c r="H48" s="304">
        <v>350</v>
      </c>
      <c r="I48" s="360">
        <f t="shared" si="2"/>
        <v>646</v>
      </c>
      <c r="J48" s="304">
        <v>0</v>
      </c>
      <c r="K48" s="304">
        <v>0</v>
      </c>
      <c r="L48" s="304">
        <v>414.7</v>
      </c>
      <c r="M48" s="304">
        <v>0</v>
      </c>
      <c r="N48" s="390">
        <f t="shared" si="1"/>
        <v>0</v>
      </c>
      <c r="O48" s="192">
        <f t="shared" si="0"/>
        <v>1233</v>
      </c>
      <c r="P48" s="30">
        <v>0</v>
      </c>
      <c r="Q48" s="28">
        <v>0</v>
      </c>
      <c r="R48" s="28">
        <v>0</v>
      </c>
      <c r="S48" s="281"/>
    </row>
    <row r="49" spans="1:19" ht="12.75">
      <c r="A49" s="28">
        <v>647</v>
      </c>
      <c r="B49" s="29" t="s">
        <v>61</v>
      </c>
      <c r="C49" s="28">
        <v>1830</v>
      </c>
      <c r="D49" s="382">
        <v>58</v>
      </c>
      <c r="E49" s="144">
        <v>58</v>
      </c>
      <c r="F49" s="193">
        <f>IF(C49&lt;972,E49+44,E49)</f>
        <v>58</v>
      </c>
      <c r="G49" s="193">
        <v>58</v>
      </c>
      <c r="H49" s="193">
        <v>58</v>
      </c>
      <c r="I49" s="360">
        <f t="shared" si="2"/>
        <v>647</v>
      </c>
      <c r="J49" s="304">
        <v>0</v>
      </c>
      <c r="K49" s="304">
        <v>0</v>
      </c>
      <c r="L49" s="304">
        <v>58</v>
      </c>
      <c r="M49" s="304">
        <v>0</v>
      </c>
      <c r="N49" s="390">
        <f t="shared" si="1"/>
        <v>0</v>
      </c>
      <c r="O49" s="192">
        <f t="shared" si="0"/>
        <v>1888</v>
      </c>
      <c r="P49" s="30">
        <v>0</v>
      </c>
      <c r="Q49" s="28">
        <v>0</v>
      </c>
      <c r="R49" s="28">
        <v>0</v>
      </c>
      <c r="S49" s="281"/>
    </row>
    <row r="50" spans="1:19" ht="12.75">
      <c r="A50" s="28">
        <v>648</v>
      </c>
      <c r="B50" s="29" t="s">
        <v>62</v>
      </c>
      <c r="C50" s="28">
        <v>1740</v>
      </c>
      <c r="D50" s="382">
        <v>70</v>
      </c>
      <c r="E50" s="144">
        <v>70</v>
      </c>
      <c r="F50" s="193">
        <f>IF(C50&lt;972,E50+44,E50)</f>
        <v>70</v>
      </c>
      <c r="G50" s="193">
        <v>70</v>
      </c>
      <c r="H50" s="193">
        <v>70</v>
      </c>
      <c r="I50" s="360">
        <f t="shared" si="2"/>
        <v>648</v>
      </c>
      <c r="J50" s="304">
        <v>517.6</v>
      </c>
      <c r="K50" s="304">
        <v>517.6</v>
      </c>
      <c r="L50" s="304">
        <v>70</v>
      </c>
      <c r="M50" s="304">
        <v>517.6</v>
      </c>
      <c r="N50" s="390">
        <f t="shared" si="1"/>
        <v>517.6</v>
      </c>
      <c r="O50" s="192">
        <f t="shared" si="0"/>
        <v>2327.6</v>
      </c>
      <c r="P50" s="30">
        <v>0</v>
      </c>
      <c r="Q50" s="28">
        <v>0</v>
      </c>
      <c r="R50" s="28">
        <v>0</v>
      </c>
      <c r="S50" s="281"/>
    </row>
    <row r="51" spans="1:19" ht="12.75">
      <c r="A51" s="28">
        <v>649</v>
      </c>
      <c r="B51" s="29" t="s">
        <v>63</v>
      </c>
      <c r="C51" s="28">
        <v>971</v>
      </c>
      <c r="D51" s="382">
        <v>170</v>
      </c>
      <c r="E51" s="366">
        <v>216</v>
      </c>
      <c r="F51" s="193">
        <v>261</v>
      </c>
      <c r="G51" s="304">
        <v>327</v>
      </c>
      <c r="H51" s="304">
        <v>350</v>
      </c>
      <c r="I51" s="360">
        <f t="shared" si="2"/>
        <v>649</v>
      </c>
      <c r="J51" s="304">
        <v>0</v>
      </c>
      <c r="K51" s="304">
        <v>0</v>
      </c>
      <c r="L51" s="304">
        <v>414.7</v>
      </c>
      <c r="M51" s="304">
        <v>0</v>
      </c>
      <c r="N51" s="390">
        <f t="shared" si="1"/>
        <v>0</v>
      </c>
      <c r="O51" s="192">
        <f t="shared" si="0"/>
        <v>1298</v>
      </c>
      <c r="P51" s="30">
        <v>0</v>
      </c>
      <c r="Q51" s="28">
        <v>0</v>
      </c>
      <c r="R51" s="28">
        <v>0</v>
      </c>
      <c r="S51" s="281"/>
    </row>
    <row r="52" spans="1:19" ht="12.75">
      <c r="A52" s="28">
        <v>650</v>
      </c>
      <c r="B52" s="29" t="s">
        <v>64</v>
      </c>
      <c r="C52" s="28">
        <v>1740</v>
      </c>
      <c r="D52" s="382">
        <v>70</v>
      </c>
      <c r="E52" s="144">
        <v>70</v>
      </c>
      <c r="F52" s="193">
        <f>IF(C52&lt;972,E52+44,E52)</f>
        <v>70</v>
      </c>
      <c r="G52" s="193">
        <v>70</v>
      </c>
      <c r="H52" s="193">
        <v>70</v>
      </c>
      <c r="I52" s="360">
        <f t="shared" si="2"/>
        <v>650</v>
      </c>
      <c r="J52" s="304">
        <v>0</v>
      </c>
      <c r="K52" s="304">
        <v>0</v>
      </c>
      <c r="L52" s="304">
        <v>70</v>
      </c>
      <c r="M52" s="304">
        <v>0</v>
      </c>
      <c r="N52" s="390">
        <f t="shared" si="1"/>
        <v>0</v>
      </c>
      <c r="O52" s="192">
        <f t="shared" si="0"/>
        <v>1810</v>
      </c>
      <c r="P52" s="30">
        <v>0</v>
      </c>
      <c r="Q52" s="28">
        <v>750</v>
      </c>
      <c r="R52" s="28">
        <v>0</v>
      </c>
      <c r="S52" s="281"/>
    </row>
    <row r="53" spans="1:19" ht="12.75">
      <c r="A53" s="28">
        <v>651</v>
      </c>
      <c r="B53" s="29" t="s">
        <v>65</v>
      </c>
      <c r="C53" s="28">
        <v>971</v>
      </c>
      <c r="D53" s="382">
        <v>170</v>
      </c>
      <c r="E53" s="366">
        <v>216</v>
      </c>
      <c r="F53" s="193">
        <v>261</v>
      </c>
      <c r="G53" s="304">
        <v>327</v>
      </c>
      <c r="H53" s="304">
        <v>350</v>
      </c>
      <c r="I53" s="360">
        <f t="shared" si="2"/>
        <v>651</v>
      </c>
      <c r="J53" s="304">
        <v>0</v>
      </c>
      <c r="K53" s="304">
        <v>0</v>
      </c>
      <c r="L53" s="304">
        <v>414.7</v>
      </c>
      <c r="M53" s="304">
        <v>0</v>
      </c>
      <c r="N53" s="390">
        <f t="shared" si="1"/>
        <v>0</v>
      </c>
      <c r="O53" s="192">
        <f t="shared" si="0"/>
        <v>1298</v>
      </c>
      <c r="P53" s="30">
        <v>0</v>
      </c>
      <c r="Q53" s="28">
        <v>0</v>
      </c>
      <c r="R53" s="28">
        <v>0</v>
      </c>
      <c r="S53" s="281"/>
    </row>
    <row r="54" spans="1:19" ht="12.75">
      <c r="A54" s="28">
        <v>652</v>
      </c>
      <c r="B54" s="29" t="s">
        <v>66</v>
      </c>
      <c r="C54" s="28">
        <v>1250</v>
      </c>
      <c r="D54" s="382">
        <v>134</v>
      </c>
      <c r="E54" s="144">
        <v>134</v>
      </c>
      <c r="F54" s="193">
        <f aca="true" t="shared" si="5" ref="F54:F64">IF(C54&lt;972,E54+44,E54)</f>
        <v>134</v>
      </c>
      <c r="G54" s="193">
        <v>134</v>
      </c>
      <c r="H54" s="193">
        <v>134</v>
      </c>
      <c r="I54" s="360">
        <f t="shared" si="2"/>
        <v>652</v>
      </c>
      <c r="J54" s="304">
        <v>0</v>
      </c>
      <c r="K54" s="304">
        <v>0</v>
      </c>
      <c r="L54" s="304">
        <v>134</v>
      </c>
      <c r="M54" s="304">
        <v>0</v>
      </c>
      <c r="N54" s="390">
        <f t="shared" si="1"/>
        <v>0</v>
      </c>
      <c r="O54" s="192">
        <f t="shared" si="0"/>
        <v>1384</v>
      </c>
      <c r="P54" s="30">
        <v>0</v>
      </c>
      <c r="Q54" s="28">
        <v>0</v>
      </c>
      <c r="R54" s="28">
        <v>0</v>
      </c>
      <c r="S54" s="281"/>
    </row>
    <row r="55" spans="1:19" ht="12.75">
      <c r="A55" s="28">
        <v>653</v>
      </c>
      <c r="B55" s="29" t="s">
        <v>67</v>
      </c>
      <c r="C55" s="28">
        <v>1400</v>
      </c>
      <c r="D55" s="382">
        <v>114</v>
      </c>
      <c r="E55" s="144">
        <v>114</v>
      </c>
      <c r="F55" s="193">
        <f t="shared" si="5"/>
        <v>114</v>
      </c>
      <c r="G55" s="193">
        <v>114</v>
      </c>
      <c r="H55" s="193">
        <v>114</v>
      </c>
      <c r="I55" s="360">
        <f t="shared" si="2"/>
        <v>653</v>
      </c>
      <c r="J55" s="304">
        <v>0</v>
      </c>
      <c r="K55" s="304">
        <v>0</v>
      </c>
      <c r="L55" s="304">
        <v>114</v>
      </c>
      <c r="M55" s="304">
        <v>388</v>
      </c>
      <c r="N55" s="390">
        <f t="shared" si="1"/>
        <v>388</v>
      </c>
      <c r="O55" s="192">
        <f t="shared" si="0"/>
        <v>1902</v>
      </c>
      <c r="P55" s="30">
        <v>0</v>
      </c>
      <c r="Q55" s="28">
        <v>100</v>
      </c>
      <c r="R55" s="28">
        <v>0</v>
      </c>
      <c r="S55" s="281"/>
    </row>
    <row r="56" spans="1:19" ht="12.75">
      <c r="A56" s="28">
        <v>654</v>
      </c>
      <c r="B56" s="29" t="s">
        <v>68</v>
      </c>
      <c r="C56" s="28">
        <v>1690</v>
      </c>
      <c r="D56" s="382">
        <v>76</v>
      </c>
      <c r="E56" s="144">
        <v>76</v>
      </c>
      <c r="F56" s="193">
        <f t="shared" si="5"/>
        <v>76</v>
      </c>
      <c r="G56" s="193">
        <v>76</v>
      </c>
      <c r="H56" s="193">
        <v>76</v>
      </c>
      <c r="I56" s="360">
        <f t="shared" si="2"/>
        <v>654</v>
      </c>
      <c r="J56" s="304">
        <v>0</v>
      </c>
      <c r="K56" s="304">
        <v>0</v>
      </c>
      <c r="L56" s="304">
        <v>76</v>
      </c>
      <c r="M56" s="304">
        <v>453</v>
      </c>
      <c r="N56" s="390">
        <f t="shared" si="1"/>
        <v>453</v>
      </c>
      <c r="O56" s="192">
        <f t="shared" si="0"/>
        <v>2219</v>
      </c>
      <c r="P56" s="30">
        <v>0</v>
      </c>
      <c r="Q56" s="28">
        <v>300</v>
      </c>
      <c r="R56" s="28">
        <v>0</v>
      </c>
      <c r="S56" s="281"/>
    </row>
    <row r="57" spans="1:19" ht="12.75">
      <c r="A57" s="28">
        <v>655</v>
      </c>
      <c r="B57" s="29" t="s">
        <v>69</v>
      </c>
      <c r="C57" s="28">
        <v>1550</v>
      </c>
      <c r="D57" s="382">
        <v>94</v>
      </c>
      <c r="E57" s="144">
        <v>94</v>
      </c>
      <c r="F57" s="193">
        <f t="shared" si="5"/>
        <v>94</v>
      </c>
      <c r="G57" s="193">
        <v>94</v>
      </c>
      <c r="H57" s="193">
        <v>94</v>
      </c>
      <c r="I57" s="360">
        <f t="shared" si="2"/>
        <v>655</v>
      </c>
      <c r="J57" s="304">
        <v>0</v>
      </c>
      <c r="K57" s="304">
        <v>0</v>
      </c>
      <c r="L57" s="304">
        <v>94</v>
      </c>
      <c r="M57" s="304">
        <v>388</v>
      </c>
      <c r="N57" s="390">
        <f t="shared" si="1"/>
        <v>388</v>
      </c>
      <c r="O57" s="192">
        <f t="shared" si="0"/>
        <v>2032</v>
      </c>
      <c r="P57" s="30">
        <v>0</v>
      </c>
      <c r="Q57" s="28">
        <v>200</v>
      </c>
      <c r="R57" s="28">
        <v>0</v>
      </c>
      <c r="S57" s="281"/>
    </row>
    <row r="58" spans="1:19" ht="12.75">
      <c r="A58" s="28">
        <v>657</v>
      </c>
      <c r="B58" s="29" t="s">
        <v>70</v>
      </c>
      <c r="C58" s="28">
        <v>1340</v>
      </c>
      <c r="D58" s="382">
        <v>122</v>
      </c>
      <c r="E58" s="144">
        <v>122</v>
      </c>
      <c r="F58" s="193">
        <f t="shared" si="5"/>
        <v>122</v>
      </c>
      <c r="G58" s="193">
        <v>122</v>
      </c>
      <c r="H58" s="193">
        <v>122</v>
      </c>
      <c r="I58" s="360">
        <f t="shared" si="2"/>
        <v>657</v>
      </c>
      <c r="J58" s="304">
        <v>0</v>
      </c>
      <c r="K58" s="304">
        <v>0</v>
      </c>
      <c r="L58" s="304">
        <v>122</v>
      </c>
      <c r="M58" s="304">
        <v>0</v>
      </c>
      <c r="N58" s="390">
        <f t="shared" si="1"/>
        <v>0</v>
      </c>
      <c r="O58" s="192">
        <f t="shared" si="0"/>
        <v>1462</v>
      </c>
      <c r="P58" s="30">
        <v>0</v>
      </c>
      <c r="Q58" s="28">
        <v>0</v>
      </c>
      <c r="R58" s="28">
        <v>0</v>
      </c>
      <c r="S58" s="281"/>
    </row>
    <row r="59" spans="1:19" ht="12.75">
      <c r="A59" s="28">
        <v>658</v>
      </c>
      <c r="B59" s="29" t="s">
        <v>71</v>
      </c>
      <c r="C59" s="28">
        <v>1300</v>
      </c>
      <c r="D59" s="382">
        <v>127</v>
      </c>
      <c r="E59" s="144">
        <v>127</v>
      </c>
      <c r="F59" s="193">
        <f t="shared" si="5"/>
        <v>127</v>
      </c>
      <c r="G59" s="193">
        <v>127</v>
      </c>
      <c r="H59" s="193">
        <v>127</v>
      </c>
      <c r="I59" s="360">
        <f t="shared" si="2"/>
        <v>658</v>
      </c>
      <c r="J59" s="304">
        <v>0</v>
      </c>
      <c r="K59" s="304">
        <v>0</v>
      </c>
      <c r="L59" s="304">
        <v>127</v>
      </c>
      <c r="M59" s="304">
        <v>0</v>
      </c>
      <c r="N59" s="390">
        <f t="shared" si="1"/>
        <v>0</v>
      </c>
      <c r="O59" s="192">
        <f t="shared" si="0"/>
        <v>1427</v>
      </c>
      <c r="P59" s="30">
        <v>0</v>
      </c>
      <c r="Q59" s="28">
        <v>0</v>
      </c>
      <c r="R59" s="28">
        <v>0</v>
      </c>
      <c r="S59" s="281"/>
    </row>
    <row r="60" spans="1:19" ht="12.75">
      <c r="A60" s="28">
        <v>659</v>
      </c>
      <c r="B60" s="29" t="s">
        <v>72</v>
      </c>
      <c r="C60" s="28">
        <v>1340</v>
      </c>
      <c r="D60" s="382">
        <v>122</v>
      </c>
      <c r="E60" s="144">
        <v>122</v>
      </c>
      <c r="F60" s="193">
        <f t="shared" si="5"/>
        <v>122</v>
      </c>
      <c r="G60" s="193">
        <v>122</v>
      </c>
      <c r="H60" s="193">
        <v>122</v>
      </c>
      <c r="I60" s="360">
        <f t="shared" si="2"/>
        <v>659</v>
      </c>
      <c r="J60" s="304">
        <v>0</v>
      </c>
      <c r="K60" s="304">
        <v>0</v>
      </c>
      <c r="L60" s="304">
        <v>122</v>
      </c>
      <c r="M60" s="304">
        <v>0</v>
      </c>
      <c r="N60" s="390">
        <f t="shared" si="1"/>
        <v>0</v>
      </c>
      <c r="O60" s="192">
        <f t="shared" si="0"/>
        <v>1462</v>
      </c>
      <c r="P60" s="30">
        <v>0</v>
      </c>
      <c r="Q60" s="28">
        <v>0</v>
      </c>
      <c r="R60" s="28">
        <v>0</v>
      </c>
      <c r="S60" s="281"/>
    </row>
    <row r="61" spans="1:19" ht="12.75">
      <c r="A61" s="28">
        <v>660</v>
      </c>
      <c r="B61" s="29" t="s">
        <v>73</v>
      </c>
      <c r="C61" s="28">
        <v>1300</v>
      </c>
      <c r="D61" s="382">
        <v>127</v>
      </c>
      <c r="E61" s="144">
        <v>127</v>
      </c>
      <c r="F61" s="193">
        <f t="shared" si="5"/>
        <v>127</v>
      </c>
      <c r="G61" s="193">
        <v>127</v>
      </c>
      <c r="H61" s="193">
        <v>127</v>
      </c>
      <c r="I61" s="360">
        <f t="shared" si="2"/>
        <v>660</v>
      </c>
      <c r="J61" s="304">
        <v>0</v>
      </c>
      <c r="K61" s="304">
        <v>0</v>
      </c>
      <c r="L61" s="304">
        <v>127</v>
      </c>
      <c r="M61" s="304">
        <v>0</v>
      </c>
      <c r="N61" s="390">
        <f t="shared" si="1"/>
        <v>0</v>
      </c>
      <c r="O61" s="192">
        <f t="shared" si="0"/>
        <v>1427</v>
      </c>
      <c r="P61" s="30">
        <v>0</v>
      </c>
      <c r="Q61" s="28">
        <v>0</v>
      </c>
      <c r="R61" s="28">
        <v>0</v>
      </c>
      <c r="S61" s="281"/>
    </row>
    <row r="62" spans="1:19" ht="12.75">
      <c r="A62" s="28">
        <v>661</v>
      </c>
      <c r="B62" s="29" t="s">
        <v>74</v>
      </c>
      <c r="C62" s="28">
        <v>1300</v>
      </c>
      <c r="D62" s="382">
        <v>127</v>
      </c>
      <c r="E62" s="144">
        <v>127</v>
      </c>
      <c r="F62" s="193">
        <f t="shared" si="5"/>
        <v>127</v>
      </c>
      <c r="G62" s="193">
        <v>127</v>
      </c>
      <c r="H62" s="193">
        <v>127</v>
      </c>
      <c r="I62" s="360">
        <f t="shared" si="2"/>
        <v>661</v>
      </c>
      <c r="J62" s="304">
        <v>0</v>
      </c>
      <c r="K62" s="304">
        <v>0</v>
      </c>
      <c r="L62" s="304">
        <v>127</v>
      </c>
      <c r="M62" s="304">
        <v>0</v>
      </c>
      <c r="N62" s="390">
        <f t="shared" si="1"/>
        <v>0</v>
      </c>
      <c r="O62" s="192">
        <f t="shared" si="0"/>
        <v>1427</v>
      </c>
      <c r="P62" s="30">
        <v>0</v>
      </c>
      <c r="Q62" s="28">
        <v>0</v>
      </c>
      <c r="R62" s="28">
        <v>0</v>
      </c>
      <c r="S62" s="281"/>
    </row>
    <row r="63" spans="1:19" ht="12.75">
      <c r="A63" s="28">
        <v>662</v>
      </c>
      <c r="B63" s="29" t="s">
        <v>75</v>
      </c>
      <c r="C63" s="28">
        <v>1690</v>
      </c>
      <c r="D63" s="382">
        <v>76</v>
      </c>
      <c r="E63" s="144">
        <v>76</v>
      </c>
      <c r="F63" s="193">
        <f t="shared" si="5"/>
        <v>76</v>
      </c>
      <c r="G63" s="193">
        <v>76</v>
      </c>
      <c r="H63" s="193">
        <v>76</v>
      </c>
      <c r="I63" s="360">
        <f t="shared" si="2"/>
        <v>662</v>
      </c>
      <c r="J63" s="304">
        <v>0</v>
      </c>
      <c r="K63" s="304">
        <v>0</v>
      </c>
      <c r="L63" s="304">
        <v>76</v>
      </c>
      <c r="M63" s="304">
        <v>0</v>
      </c>
      <c r="N63" s="390">
        <f t="shared" si="1"/>
        <v>0</v>
      </c>
      <c r="O63" s="192">
        <f t="shared" si="0"/>
        <v>1766</v>
      </c>
      <c r="P63" s="30">
        <v>0</v>
      </c>
      <c r="Q63" s="28">
        <v>708</v>
      </c>
      <c r="R63" s="28">
        <v>0</v>
      </c>
      <c r="S63" s="281"/>
    </row>
    <row r="64" spans="1:19" ht="12.75">
      <c r="A64" s="28">
        <v>663</v>
      </c>
      <c r="B64" s="29" t="s">
        <v>76</v>
      </c>
      <c r="C64" s="28">
        <v>1500</v>
      </c>
      <c r="D64" s="382">
        <v>101</v>
      </c>
      <c r="E64" s="144">
        <v>101</v>
      </c>
      <c r="F64" s="193">
        <f t="shared" si="5"/>
        <v>101</v>
      </c>
      <c r="G64" s="193">
        <v>101</v>
      </c>
      <c r="H64" s="193">
        <v>101</v>
      </c>
      <c r="I64" s="360">
        <f t="shared" si="2"/>
        <v>663</v>
      </c>
      <c r="J64" s="304">
        <v>0</v>
      </c>
      <c r="K64" s="304">
        <v>0</v>
      </c>
      <c r="L64" s="304">
        <v>101</v>
      </c>
      <c r="M64" s="304">
        <v>388</v>
      </c>
      <c r="N64" s="390">
        <f t="shared" si="1"/>
        <v>388</v>
      </c>
      <c r="O64" s="192">
        <f t="shared" si="0"/>
        <v>1989</v>
      </c>
      <c r="P64" s="30">
        <v>0</v>
      </c>
      <c r="Q64" s="28">
        <v>0</v>
      </c>
      <c r="R64" s="28">
        <v>0</v>
      </c>
      <c r="S64" s="281"/>
    </row>
    <row r="65" spans="1:19" ht="12.75">
      <c r="A65" s="28">
        <v>664</v>
      </c>
      <c r="B65" s="29" t="s">
        <v>77</v>
      </c>
      <c r="C65" s="28">
        <v>971</v>
      </c>
      <c r="D65" s="382">
        <v>170</v>
      </c>
      <c r="E65" s="366">
        <v>216</v>
      </c>
      <c r="F65" s="193">
        <v>261</v>
      </c>
      <c r="G65" s="304">
        <v>327</v>
      </c>
      <c r="H65" s="304">
        <v>350</v>
      </c>
      <c r="I65" s="360">
        <f t="shared" si="2"/>
        <v>664</v>
      </c>
      <c r="J65" s="304">
        <v>0</v>
      </c>
      <c r="K65" s="304">
        <v>0</v>
      </c>
      <c r="L65" s="304">
        <v>414.7</v>
      </c>
      <c r="M65" s="304">
        <v>0</v>
      </c>
      <c r="N65" s="390">
        <f t="shared" si="1"/>
        <v>0</v>
      </c>
      <c r="O65" s="192">
        <f t="shared" si="0"/>
        <v>1298</v>
      </c>
      <c r="P65" s="30">
        <v>0</v>
      </c>
      <c r="Q65" s="28">
        <v>620</v>
      </c>
      <c r="R65" s="28">
        <v>0</v>
      </c>
      <c r="S65" s="281"/>
    </row>
    <row r="66" spans="1:19" ht="12.75">
      <c r="A66" s="28">
        <v>667</v>
      </c>
      <c r="B66" s="29" t="s">
        <v>78</v>
      </c>
      <c r="C66" s="28">
        <v>2000</v>
      </c>
      <c r="D66" s="382">
        <v>36</v>
      </c>
      <c r="E66" s="144">
        <v>36</v>
      </c>
      <c r="F66" s="193">
        <f aca="true" t="shared" si="6" ref="F66:F92">IF(C66&lt;972,E66+44,E66)</f>
        <v>36</v>
      </c>
      <c r="G66" s="193">
        <v>36</v>
      </c>
      <c r="H66" s="193">
        <v>36</v>
      </c>
      <c r="I66" s="360">
        <f t="shared" si="2"/>
        <v>667</v>
      </c>
      <c r="J66" s="304">
        <v>647</v>
      </c>
      <c r="K66" s="304">
        <v>647</v>
      </c>
      <c r="L66" s="304">
        <v>36</v>
      </c>
      <c r="M66" s="304">
        <v>647</v>
      </c>
      <c r="N66" s="390">
        <f t="shared" si="1"/>
        <v>647</v>
      </c>
      <c r="O66" s="192">
        <f t="shared" si="0"/>
        <v>2683</v>
      </c>
      <c r="P66" s="30">
        <v>0</v>
      </c>
      <c r="Q66" s="28">
        <v>830</v>
      </c>
      <c r="R66" s="28">
        <v>0</v>
      </c>
      <c r="S66" s="281"/>
    </row>
    <row r="67" spans="1:19" ht="12.75">
      <c r="A67" s="28">
        <v>668</v>
      </c>
      <c r="B67" s="29" t="s">
        <v>79</v>
      </c>
      <c r="C67" s="28">
        <v>1840</v>
      </c>
      <c r="D67" s="382">
        <v>57</v>
      </c>
      <c r="E67" s="144">
        <v>57</v>
      </c>
      <c r="F67" s="193">
        <f t="shared" si="6"/>
        <v>57</v>
      </c>
      <c r="G67" s="193">
        <v>57</v>
      </c>
      <c r="H67" s="193">
        <v>57</v>
      </c>
      <c r="I67" s="360">
        <f t="shared" si="2"/>
        <v>668</v>
      </c>
      <c r="J67" s="304">
        <v>582.3</v>
      </c>
      <c r="K67" s="304">
        <v>582.3</v>
      </c>
      <c r="L67" s="304">
        <v>57</v>
      </c>
      <c r="M67" s="304">
        <v>582.3</v>
      </c>
      <c r="N67" s="390">
        <f t="shared" si="1"/>
        <v>582.3</v>
      </c>
      <c r="O67" s="192">
        <f aca="true" t="shared" si="7" ref="O67:O130">C67+G67+M67</f>
        <v>2479.3</v>
      </c>
      <c r="P67" s="30">
        <v>0</v>
      </c>
      <c r="Q67" s="28">
        <v>830</v>
      </c>
      <c r="R67" s="28">
        <v>0</v>
      </c>
      <c r="S67" s="281"/>
    </row>
    <row r="68" spans="1:19" ht="12.75">
      <c r="A68" s="28">
        <v>669</v>
      </c>
      <c r="B68" s="29" t="s">
        <v>80</v>
      </c>
      <c r="C68" s="28">
        <v>1680</v>
      </c>
      <c r="D68" s="382">
        <v>77</v>
      </c>
      <c r="E68" s="144">
        <v>77</v>
      </c>
      <c r="F68" s="193">
        <f t="shared" si="6"/>
        <v>77</v>
      </c>
      <c r="G68" s="193">
        <v>77</v>
      </c>
      <c r="H68" s="193">
        <v>77</v>
      </c>
      <c r="I68" s="360">
        <f t="shared" si="2"/>
        <v>669</v>
      </c>
      <c r="J68" s="304">
        <v>452.9</v>
      </c>
      <c r="K68" s="304">
        <v>452.9</v>
      </c>
      <c r="L68" s="304">
        <v>77</v>
      </c>
      <c r="M68" s="304">
        <v>452.9</v>
      </c>
      <c r="N68" s="390">
        <f aca="true" t="shared" si="8" ref="N68:N97">M68</f>
        <v>452.9</v>
      </c>
      <c r="O68" s="192">
        <f t="shared" si="7"/>
        <v>2209.9</v>
      </c>
      <c r="P68" s="30">
        <v>0</v>
      </c>
      <c r="Q68" s="28">
        <v>830</v>
      </c>
      <c r="R68" s="28">
        <v>0</v>
      </c>
      <c r="S68" s="281"/>
    </row>
    <row r="69" spans="1:19" ht="12.75">
      <c r="A69" s="28">
        <v>670</v>
      </c>
      <c r="B69" s="29" t="s">
        <v>81</v>
      </c>
      <c r="C69" s="28">
        <v>1740</v>
      </c>
      <c r="D69" s="382">
        <v>70</v>
      </c>
      <c r="E69" s="144">
        <v>70</v>
      </c>
      <c r="F69" s="193">
        <f t="shared" si="6"/>
        <v>70</v>
      </c>
      <c r="G69" s="193">
        <v>70</v>
      </c>
      <c r="H69" s="193">
        <v>70</v>
      </c>
      <c r="I69" s="360">
        <f t="shared" si="2"/>
        <v>670</v>
      </c>
      <c r="J69" s="304">
        <v>517.6</v>
      </c>
      <c r="K69" s="304">
        <v>517.6</v>
      </c>
      <c r="L69" s="304">
        <v>70</v>
      </c>
      <c r="M69" s="304">
        <v>517.6</v>
      </c>
      <c r="N69" s="390">
        <f t="shared" si="8"/>
        <v>517.6</v>
      </c>
      <c r="O69" s="192">
        <f t="shared" si="7"/>
        <v>2327.6</v>
      </c>
      <c r="P69" s="30">
        <v>0</v>
      </c>
      <c r="Q69" s="28">
        <v>750</v>
      </c>
      <c r="R69" s="28">
        <v>0</v>
      </c>
      <c r="S69" s="281"/>
    </row>
    <row r="70" spans="1:19" ht="12.75">
      <c r="A70" s="28">
        <v>671</v>
      </c>
      <c r="B70" s="29" t="s">
        <v>82</v>
      </c>
      <c r="C70" s="28">
        <v>1610</v>
      </c>
      <c r="D70" s="382">
        <v>87</v>
      </c>
      <c r="E70" s="144">
        <v>87</v>
      </c>
      <c r="F70" s="193">
        <f t="shared" si="6"/>
        <v>87</v>
      </c>
      <c r="G70" s="193">
        <v>87</v>
      </c>
      <c r="H70" s="193">
        <v>87</v>
      </c>
      <c r="I70" s="360">
        <f aca="true" t="shared" si="9" ref="I70:I133">A70</f>
        <v>671</v>
      </c>
      <c r="J70" s="304">
        <v>0</v>
      </c>
      <c r="K70" s="304">
        <v>0</v>
      </c>
      <c r="L70" s="304">
        <v>87</v>
      </c>
      <c r="M70" s="304">
        <v>0</v>
      </c>
      <c r="N70" s="390">
        <f t="shared" si="8"/>
        <v>0</v>
      </c>
      <c r="O70" s="192">
        <f t="shared" si="7"/>
        <v>1697</v>
      </c>
      <c r="P70" s="30">
        <v>0</v>
      </c>
      <c r="Q70" s="28">
        <v>750</v>
      </c>
      <c r="R70" s="28">
        <v>0</v>
      </c>
      <c r="S70" s="281"/>
    </row>
    <row r="71" spans="1:19" ht="12.75">
      <c r="A71" s="28">
        <v>672</v>
      </c>
      <c r="B71" s="29" t="s">
        <v>83</v>
      </c>
      <c r="C71" s="28">
        <v>2000</v>
      </c>
      <c r="D71" s="382">
        <v>36</v>
      </c>
      <c r="E71" s="144">
        <v>36</v>
      </c>
      <c r="F71" s="193">
        <f t="shared" si="6"/>
        <v>36</v>
      </c>
      <c r="G71" s="193">
        <v>36</v>
      </c>
      <c r="H71" s="193">
        <v>36</v>
      </c>
      <c r="I71" s="360">
        <f t="shared" si="9"/>
        <v>672</v>
      </c>
      <c r="J71" s="304">
        <v>647</v>
      </c>
      <c r="K71" s="304">
        <v>647</v>
      </c>
      <c r="L71" s="304">
        <v>36</v>
      </c>
      <c r="M71" s="304">
        <v>647</v>
      </c>
      <c r="N71" s="390">
        <f t="shared" si="8"/>
        <v>647</v>
      </c>
      <c r="O71" s="192">
        <f t="shared" si="7"/>
        <v>2683</v>
      </c>
      <c r="P71" s="30">
        <v>0</v>
      </c>
      <c r="Q71" s="28">
        <v>300</v>
      </c>
      <c r="R71" s="28">
        <v>0</v>
      </c>
      <c r="S71" s="281"/>
    </row>
    <row r="72" spans="1:19" ht="12.75">
      <c r="A72" s="28">
        <v>673</v>
      </c>
      <c r="B72" s="29" t="s">
        <v>84</v>
      </c>
      <c r="C72" s="28">
        <v>1840</v>
      </c>
      <c r="D72" s="382">
        <v>57</v>
      </c>
      <c r="E72" s="144">
        <v>57</v>
      </c>
      <c r="F72" s="193">
        <f t="shared" si="6"/>
        <v>57</v>
      </c>
      <c r="G72" s="193">
        <v>57</v>
      </c>
      <c r="H72" s="193">
        <v>57</v>
      </c>
      <c r="I72" s="360">
        <f t="shared" si="9"/>
        <v>673</v>
      </c>
      <c r="J72" s="304">
        <v>582.3</v>
      </c>
      <c r="K72" s="304">
        <v>582.3</v>
      </c>
      <c r="L72" s="304">
        <v>57</v>
      </c>
      <c r="M72" s="304">
        <v>582.3</v>
      </c>
      <c r="N72" s="390">
        <f t="shared" si="8"/>
        <v>582.3</v>
      </c>
      <c r="O72" s="192">
        <f t="shared" si="7"/>
        <v>2479.3</v>
      </c>
      <c r="P72" s="30">
        <v>0</v>
      </c>
      <c r="Q72" s="28">
        <v>300</v>
      </c>
      <c r="R72" s="28">
        <v>0</v>
      </c>
      <c r="S72" s="281"/>
    </row>
    <row r="73" spans="1:19" ht="12.75">
      <c r="A73" s="28">
        <v>674</v>
      </c>
      <c r="B73" s="29" t="s">
        <v>85</v>
      </c>
      <c r="C73" s="28">
        <v>1680</v>
      </c>
      <c r="D73" s="382">
        <v>77</v>
      </c>
      <c r="E73" s="144">
        <v>77</v>
      </c>
      <c r="F73" s="193">
        <f t="shared" si="6"/>
        <v>77</v>
      </c>
      <c r="G73" s="193">
        <v>77</v>
      </c>
      <c r="H73" s="193">
        <v>77</v>
      </c>
      <c r="I73" s="360">
        <f t="shared" si="9"/>
        <v>674</v>
      </c>
      <c r="J73" s="304">
        <v>452.9</v>
      </c>
      <c r="K73" s="304">
        <v>452.9</v>
      </c>
      <c r="L73" s="304">
        <v>77</v>
      </c>
      <c r="M73" s="304">
        <v>452.9</v>
      </c>
      <c r="N73" s="390">
        <f t="shared" si="8"/>
        <v>452.9</v>
      </c>
      <c r="O73" s="192">
        <f t="shared" si="7"/>
        <v>2209.9</v>
      </c>
      <c r="P73" s="30">
        <v>0</v>
      </c>
      <c r="Q73" s="28">
        <v>300</v>
      </c>
      <c r="R73" s="28">
        <v>0</v>
      </c>
      <c r="S73" s="281"/>
    </row>
    <row r="74" spans="1:19" ht="12.75">
      <c r="A74" s="28">
        <v>675</v>
      </c>
      <c r="B74" s="29" t="s">
        <v>466</v>
      </c>
      <c r="C74" s="28">
        <v>1740</v>
      </c>
      <c r="D74" s="382">
        <v>70</v>
      </c>
      <c r="E74" s="144">
        <v>70</v>
      </c>
      <c r="F74" s="193">
        <f t="shared" si="6"/>
        <v>70</v>
      </c>
      <c r="G74" s="193">
        <v>70</v>
      </c>
      <c r="H74" s="193">
        <v>70</v>
      </c>
      <c r="I74" s="360">
        <f t="shared" si="9"/>
        <v>675</v>
      </c>
      <c r="J74" s="304">
        <v>0</v>
      </c>
      <c r="K74" s="304">
        <v>0</v>
      </c>
      <c r="L74" s="304">
        <v>70</v>
      </c>
      <c r="M74" s="304">
        <v>517</v>
      </c>
      <c r="N74" s="390">
        <f t="shared" si="8"/>
        <v>517</v>
      </c>
      <c r="O74" s="192">
        <f t="shared" si="7"/>
        <v>2327</v>
      </c>
      <c r="P74" s="30">
        <v>0</v>
      </c>
      <c r="Q74" s="28">
        <v>725</v>
      </c>
      <c r="R74" s="28">
        <v>0</v>
      </c>
      <c r="S74" s="281"/>
    </row>
    <row r="75" spans="1:19" ht="12.75">
      <c r="A75" s="28">
        <v>676</v>
      </c>
      <c r="B75" s="29" t="s">
        <v>464</v>
      </c>
      <c r="C75" s="28">
        <v>1610</v>
      </c>
      <c r="D75" s="382">
        <v>87</v>
      </c>
      <c r="E75" s="144">
        <v>87</v>
      </c>
      <c r="F75" s="193">
        <f t="shared" si="6"/>
        <v>87</v>
      </c>
      <c r="G75" s="193">
        <v>87</v>
      </c>
      <c r="H75" s="193">
        <v>87</v>
      </c>
      <c r="I75" s="360">
        <f t="shared" si="9"/>
        <v>676</v>
      </c>
      <c r="J75" s="304">
        <v>0</v>
      </c>
      <c r="K75" s="304">
        <v>0</v>
      </c>
      <c r="L75" s="304">
        <v>87</v>
      </c>
      <c r="M75" s="304">
        <v>388</v>
      </c>
      <c r="N75" s="390">
        <f t="shared" si="8"/>
        <v>388</v>
      </c>
      <c r="O75" s="192">
        <f t="shared" si="7"/>
        <v>2085</v>
      </c>
      <c r="P75" s="30">
        <v>0</v>
      </c>
      <c r="Q75" s="28">
        <v>725</v>
      </c>
      <c r="R75" s="28">
        <v>0</v>
      </c>
      <c r="S75" s="281"/>
    </row>
    <row r="76" spans="1:19" ht="12.75">
      <c r="A76" s="28">
        <v>677</v>
      </c>
      <c r="B76" s="29" t="s">
        <v>465</v>
      </c>
      <c r="C76" s="28">
        <v>1500</v>
      </c>
      <c r="D76" s="382">
        <v>101</v>
      </c>
      <c r="E76" s="144">
        <v>101</v>
      </c>
      <c r="F76" s="193">
        <f t="shared" si="6"/>
        <v>101</v>
      </c>
      <c r="G76" s="193">
        <v>101</v>
      </c>
      <c r="H76" s="193">
        <v>101</v>
      </c>
      <c r="I76" s="360">
        <f t="shared" si="9"/>
        <v>677</v>
      </c>
      <c r="J76" s="304">
        <v>0</v>
      </c>
      <c r="K76" s="304">
        <v>0</v>
      </c>
      <c r="L76" s="304">
        <v>101</v>
      </c>
      <c r="M76" s="304">
        <v>388</v>
      </c>
      <c r="N76" s="390">
        <f t="shared" si="8"/>
        <v>388</v>
      </c>
      <c r="O76" s="192">
        <f t="shared" si="7"/>
        <v>1989</v>
      </c>
      <c r="P76" s="30">
        <v>0</v>
      </c>
      <c r="Q76" s="28">
        <v>725</v>
      </c>
      <c r="R76" s="28">
        <v>0</v>
      </c>
      <c r="S76" s="281"/>
    </row>
    <row r="77" spans="1:19" ht="12.75">
      <c r="A77" s="28">
        <v>678</v>
      </c>
      <c r="B77" s="29" t="s">
        <v>86</v>
      </c>
      <c r="C77" s="28">
        <v>1320</v>
      </c>
      <c r="D77" s="382">
        <v>124</v>
      </c>
      <c r="E77" s="144">
        <v>124</v>
      </c>
      <c r="F77" s="193">
        <f t="shared" si="6"/>
        <v>124</v>
      </c>
      <c r="G77" s="193">
        <v>124</v>
      </c>
      <c r="H77" s="193">
        <v>124</v>
      </c>
      <c r="I77" s="360">
        <f t="shared" si="9"/>
        <v>678</v>
      </c>
      <c r="J77" s="304">
        <v>0</v>
      </c>
      <c r="K77" s="304">
        <v>0</v>
      </c>
      <c r="L77" s="304">
        <v>124</v>
      </c>
      <c r="M77" s="304">
        <v>0</v>
      </c>
      <c r="N77" s="390">
        <f t="shared" si="8"/>
        <v>0</v>
      </c>
      <c r="O77" s="192">
        <f t="shared" si="7"/>
        <v>1444</v>
      </c>
      <c r="P77" s="30">
        <v>0</v>
      </c>
      <c r="Q77" s="28">
        <v>590</v>
      </c>
      <c r="R77" s="28">
        <v>0</v>
      </c>
      <c r="S77" s="281"/>
    </row>
    <row r="78" spans="1:19" ht="12.75">
      <c r="A78" s="28">
        <v>679</v>
      </c>
      <c r="B78" s="29" t="s">
        <v>87</v>
      </c>
      <c r="C78" s="28">
        <v>1690</v>
      </c>
      <c r="D78" s="382">
        <v>76</v>
      </c>
      <c r="E78" s="144">
        <v>76</v>
      </c>
      <c r="F78" s="193">
        <f t="shared" si="6"/>
        <v>76</v>
      </c>
      <c r="G78" s="193">
        <v>76</v>
      </c>
      <c r="H78" s="193">
        <v>76</v>
      </c>
      <c r="I78" s="360">
        <f t="shared" si="9"/>
        <v>679</v>
      </c>
      <c r="J78" s="304">
        <v>0</v>
      </c>
      <c r="K78" s="304">
        <v>0</v>
      </c>
      <c r="L78" s="304">
        <v>76</v>
      </c>
      <c r="M78" s="304">
        <v>0</v>
      </c>
      <c r="N78" s="390">
        <f t="shared" si="8"/>
        <v>0</v>
      </c>
      <c r="O78" s="192">
        <f t="shared" si="7"/>
        <v>1766</v>
      </c>
      <c r="P78" s="30">
        <v>0</v>
      </c>
      <c r="Q78" s="28">
        <v>708</v>
      </c>
      <c r="R78" s="28">
        <v>0</v>
      </c>
      <c r="S78" s="281"/>
    </row>
    <row r="79" spans="1:19" ht="12.75">
      <c r="A79" s="28">
        <v>680</v>
      </c>
      <c r="B79" s="29" t="s">
        <v>88</v>
      </c>
      <c r="C79" s="28">
        <v>1550</v>
      </c>
      <c r="D79" s="382">
        <v>94</v>
      </c>
      <c r="E79" s="144">
        <v>94</v>
      </c>
      <c r="F79" s="193">
        <f t="shared" si="6"/>
        <v>94</v>
      </c>
      <c r="G79" s="193">
        <v>94</v>
      </c>
      <c r="H79" s="193">
        <v>94</v>
      </c>
      <c r="I79" s="360">
        <f t="shared" si="9"/>
        <v>680</v>
      </c>
      <c r="J79" s="304">
        <v>0</v>
      </c>
      <c r="K79" s="304">
        <v>0</v>
      </c>
      <c r="L79" s="304">
        <v>94</v>
      </c>
      <c r="M79" s="304">
        <v>0</v>
      </c>
      <c r="N79" s="390">
        <f t="shared" si="8"/>
        <v>0</v>
      </c>
      <c r="O79" s="192">
        <f t="shared" si="7"/>
        <v>1644</v>
      </c>
      <c r="P79" s="30">
        <v>0</v>
      </c>
      <c r="Q79" s="28">
        <v>708</v>
      </c>
      <c r="R79" s="28">
        <v>0</v>
      </c>
      <c r="S79" s="281"/>
    </row>
    <row r="80" spans="1:19" ht="12.75">
      <c r="A80" s="28">
        <v>681</v>
      </c>
      <c r="B80" s="29" t="s">
        <v>89</v>
      </c>
      <c r="C80" s="28">
        <v>1400</v>
      </c>
      <c r="D80" s="382">
        <v>114</v>
      </c>
      <c r="E80" s="144">
        <v>114</v>
      </c>
      <c r="F80" s="193">
        <f t="shared" si="6"/>
        <v>114</v>
      </c>
      <c r="G80" s="193">
        <v>114</v>
      </c>
      <c r="H80" s="193">
        <v>114</v>
      </c>
      <c r="I80" s="360">
        <f t="shared" si="9"/>
        <v>681</v>
      </c>
      <c r="J80" s="304">
        <v>0</v>
      </c>
      <c r="K80" s="304">
        <v>0</v>
      </c>
      <c r="L80" s="304">
        <v>114</v>
      </c>
      <c r="M80" s="304">
        <v>0</v>
      </c>
      <c r="N80" s="390">
        <f t="shared" si="8"/>
        <v>0</v>
      </c>
      <c r="O80" s="192">
        <f t="shared" si="7"/>
        <v>1514</v>
      </c>
      <c r="P80" s="30">
        <v>0</v>
      </c>
      <c r="Q80" s="28">
        <v>708</v>
      </c>
      <c r="R80" s="28">
        <v>0</v>
      </c>
      <c r="S80" s="281"/>
    </row>
    <row r="81" spans="1:19" ht="12.75">
      <c r="A81" s="28">
        <v>682</v>
      </c>
      <c r="B81" s="31" t="s">
        <v>90</v>
      </c>
      <c r="C81" s="28">
        <v>1170</v>
      </c>
      <c r="D81" s="382">
        <v>144</v>
      </c>
      <c r="E81" s="144">
        <v>144</v>
      </c>
      <c r="F81" s="193">
        <f t="shared" si="6"/>
        <v>144</v>
      </c>
      <c r="G81" s="193">
        <v>144</v>
      </c>
      <c r="H81" s="193">
        <v>144</v>
      </c>
      <c r="I81" s="360">
        <f t="shared" si="9"/>
        <v>682</v>
      </c>
      <c r="J81" s="304">
        <v>0</v>
      </c>
      <c r="K81" s="304">
        <v>0</v>
      </c>
      <c r="L81" s="304">
        <v>144</v>
      </c>
      <c r="M81" s="304">
        <v>0</v>
      </c>
      <c r="N81" s="390">
        <f t="shared" si="8"/>
        <v>0</v>
      </c>
      <c r="O81" s="192">
        <f t="shared" si="7"/>
        <v>1314</v>
      </c>
      <c r="P81" s="30">
        <v>0</v>
      </c>
      <c r="Q81" s="28">
        <v>580</v>
      </c>
      <c r="R81" s="28">
        <v>0</v>
      </c>
      <c r="S81" s="281"/>
    </row>
    <row r="82" spans="1:19" ht="12.75">
      <c r="A82" s="28">
        <v>683</v>
      </c>
      <c r="B82" s="31" t="s">
        <v>91</v>
      </c>
      <c r="C82" s="28">
        <v>1170</v>
      </c>
      <c r="D82" s="382">
        <v>144</v>
      </c>
      <c r="E82" s="144">
        <v>144</v>
      </c>
      <c r="F82" s="193">
        <f t="shared" si="6"/>
        <v>144</v>
      </c>
      <c r="G82" s="193">
        <v>144</v>
      </c>
      <c r="H82" s="193">
        <v>144</v>
      </c>
      <c r="I82" s="360">
        <f t="shared" si="9"/>
        <v>683</v>
      </c>
      <c r="J82" s="304">
        <v>0</v>
      </c>
      <c r="K82" s="304">
        <v>0</v>
      </c>
      <c r="L82" s="304">
        <v>144</v>
      </c>
      <c r="M82" s="304">
        <v>0</v>
      </c>
      <c r="N82" s="390">
        <f t="shared" si="8"/>
        <v>0</v>
      </c>
      <c r="O82" s="192">
        <f t="shared" si="7"/>
        <v>1314</v>
      </c>
      <c r="P82" s="30">
        <v>0</v>
      </c>
      <c r="Q82" s="28">
        <v>580</v>
      </c>
      <c r="R82" s="28">
        <v>0</v>
      </c>
      <c r="S82" s="281"/>
    </row>
    <row r="83" spans="1:19" ht="12.75">
      <c r="A83" s="28">
        <v>684</v>
      </c>
      <c r="B83" s="29" t="s">
        <v>92</v>
      </c>
      <c r="C83" s="28">
        <v>1170</v>
      </c>
      <c r="D83" s="382">
        <v>144</v>
      </c>
      <c r="E83" s="144">
        <v>144</v>
      </c>
      <c r="F83" s="193">
        <f t="shared" si="6"/>
        <v>144</v>
      </c>
      <c r="G83" s="193">
        <v>144</v>
      </c>
      <c r="H83" s="193">
        <v>144</v>
      </c>
      <c r="I83" s="360">
        <f t="shared" si="9"/>
        <v>684</v>
      </c>
      <c r="J83" s="304">
        <v>0</v>
      </c>
      <c r="K83" s="304">
        <v>0</v>
      </c>
      <c r="L83" s="304">
        <v>144</v>
      </c>
      <c r="M83" s="304">
        <v>0</v>
      </c>
      <c r="N83" s="390">
        <f t="shared" si="8"/>
        <v>0</v>
      </c>
      <c r="O83" s="192">
        <f t="shared" si="7"/>
        <v>1314</v>
      </c>
      <c r="P83" s="30">
        <v>0</v>
      </c>
      <c r="Q83" s="28">
        <v>580</v>
      </c>
      <c r="R83" s="28">
        <v>0</v>
      </c>
      <c r="S83" s="281"/>
    </row>
    <row r="84" spans="1:19" ht="12.75">
      <c r="A84" s="28">
        <v>685</v>
      </c>
      <c r="B84" s="29" t="s">
        <v>93</v>
      </c>
      <c r="C84" s="28">
        <v>1500</v>
      </c>
      <c r="D84" s="382">
        <v>101</v>
      </c>
      <c r="E84" s="144">
        <v>101</v>
      </c>
      <c r="F84" s="193">
        <f t="shared" si="6"/>
        <v>101</v>
      </c>
      <c r="G84" s="193">
        <v>101</v>
      </c>
      <c r="H84" s="193">
        <v>101</v>
      </c>
      <c r="I84" s="360">
        <f t="shared" si="9"/>
        <v>685</v>
      </c>
      <c r="J84" s="304">
        <v>388.2</v>
      </c>
      <c r="K84" s="304">
        <v>388.2</v>
      </c>
      <c r="L84" s="304">
        <v>101</v>
      </c>
      <c r="M84" s="304">
        <v>388.2</v>
      </c>
      <c r="N84" s="390">
        <f t="shared" si="8"/>
        <v>388.2</v>
      </c>
      <c r="O84" s="192">
        <f t="shared" si="7"/>
        <v>1989.2</v>
      </c>
      <c r="P84" s="30">
        <v>0</v>
      </c>
      <c r="Q84" s="28">
        <v>750</v>
      </c>
      <c r="R84" s="28">
        <v>0</v>
      </c>
      <c r="S84" s="281"/>
    </row>
    <row r="85" spans="1:19" ht="12.75">
      <c r="A85" s="28">
        <v>686</v>
      </c>
      <c r="B85" s="29" t="s">
        <v>94</v>
      </c>
      <c r="C85" s="28">
        <v>2000</v>
      </c>
      <c r="D85" s="382">
        <v>36</v>
      </c>
      <c r="E85" s="144">
        <v>36</v>
      </c>
      <c r="F85" s="193">
        <f t="shared" si="6"/>
        <v>36</v>
      </c>
      <c r="G85" s="193">
        <v>36</v>
      </c>
      <c r="H85" s="193">
        <v>36</v>
      </c>
      <c r="I85" s="360">
        <f t="shared" si="9"/>
        <v>686</v>
      </c>
      <c r="J85" s="304">
        <v>647</v>
      </c>
      <c r="K85" s="304">
        <v>647</v>
      </c>
      <c r="L85" s="304">
        <v>36</v>
      </c>
      <c r="M85" s="304">
        <v>647</v>
      </c>
      <c r="N85" s="390">
        <f t="shared" si="8"/>
        <v>647</v>
      </c>
      <c r="O85" s="192">
        <f t="shared" si="7"/>
        <v>2683</v>
      </c>
      <c r="P85" s="30">
        <v>0</v>
      </c>
      <c r="Q85" s="28">
        <v>600</v>
      </c>
      <c r="R85" s="28">
        <v>0</v>
      </c>
      <c r="S85" s="281"/>
    </row>
    <row r="86" spans="1:19" ht="12.75">
      <c r="A86" s="28">
        <v>687</v>
      </c>
      <c r="B86" s="29" t="s">
        <v>95</v>
      </c>
      <c r="C86" s="28">
        <v>1840</v>
      </c>
      <c r="D86" s="382">
        <v>57</v>
      </c>
      <c r="E86" s="144">
        <v>57</v>
      </c>
      <c r="F86" s="193">
        <f t="shared" si="6"/>
        <v>57</v>
      </c>
      <c r="G86" s="193">
        <v>57</v>
      </c>
      <c r="H86" s="193">
        <v>57</v>
      </c>
      <c r="I86" s="360">
        <f t="shared" si="9"/>
        <v>687</v>
      </c>
      <c r="J86" s="304">
        <v>582.3</v>
      </c>
      <c r="K86" s="304">
        <v>582.3</v>
      </c>
      <c r="L86" s="304">
        <v>57</v>
      </c>
      <c r="M86" s="304">
        <v>582.3</v>
      </c>
      <c r="N86" s="390">
        <f t="shared" si="8"/>
        <v>582.3</v>
      </c>
      <c r="O86" s="192">
        <f t="shared" si="7"/>
        <v>2479.3</v>
      </c>
      <c r="P86" s="30">
        <v>0</v>
      </c>
      <c r="Q86" s="28">
        <v>600</v>
      </c>
      <c r="R86" s="28">
        <v>0</v>
      </c>
      <c r="S86" s="281"/>
    </row>
    <row r="87" spans="1:19" ht="12.75">
      <c r="A87" s="28">
        <v>688</v>
      </c>
      <c r="B87" s="29" t="s">
        <v>96</v>
      </c>
      <c r="C87" s="28">
        <v>1680</v>
      </c>
      <c r="D87" s="382">
        <v>77</v>
      </c>
      <c r="E87" s="144">
        <v>77</v>
      </c>
      <c r="F87" s="193">
        <f t="shared" si="6"/>
        <v>77</v>
      </c>
      <c r="G87" s="193">
        <v>77</v>
      </c>
      <c r="H87" s="193">
        <v>77</v>
      </c>
      <c r="I87" s="360">
        <f t="shared" si="9"/>
        <v>688</v>
      </c>
      <c r="J87" s="304">
        <v>0</v>
      </c>
      <c r="K87" s="304">
        <v>0</v>
      </c>
      <c r="L87" s="304">
        <v>77</v>
      </c>
      <c r="M87" s="304">
        <v>0</v>
      </c>
      <c r="N87" s="390">
        <f t="shared" si="8"/>
        <v>0</v>
      </c>
      <c r="O87" s="192">
        <f t="shared" si="7"/>
        <v>1757</v>
      </c>
      <c r="P87" s="30">
        <v>0</v>
      </c>
      <c r="Q87" s="28">
        <v>600</v>
      </c>
      <c r="R87" s="28">
        <v>0</v>
      </c>
      <c r="S87" s="281"/>
    </row>
    <row r="88" spans="1:19" ht="12.75">
      <c r="A88" s="28">
        <v>689</v>
      </c>
      <c r="B88" s="31" t="s">
        <v>97</v>
      </c>
      <c r="C88" s="28">
        <v>1170</v>
      </c>
      <c r="D88" s="382">
        <v>144</v>
      </c>
      <c r="E88" s="144">
        <v>144</v>
      </c>
      <c r="F88" s="193">
        <f t="shared" si="6"/>
        <v>144</v>
      </c>
      <c r="G88" s="193">
        <v>144</v>
      </c>
      <c r="H88" s="193">
        <v>144</v>
      </c>
      <c r="I88" s="360">
        <f t="shared" si="9"/>
        <v>689</v>
      </c>
      <c r="J88" s="304">
        <v>0</v>
      </c>
      <c r="K88" s="304">
        <v>0</v>
      </c>
      <c r="L88" s="304">
        <v>144</v>
      </c>
      <c r="M88" s="304">
        <v>0</v>
      </c>
      <c r="N88" s="390">
        <f t="shared" si="8"/>
        <v>0</v>
      </c>
      <c r="O88" s="192">
        <f t="shared" si="7"/>
        <v>1314</v>
      </c>
      <c r="P88" s="30">
        <v>0</v>
      </c>
      <c r="Q88" s="28">
        <v>580</v>
      </c>
      <c r="R88" s="28">
        <v>0</v>
      </c>
      <c r="S88" s="281"/>
    </row>
    <row r="89" spans="1:19" ht="12.75">
      <c r="A89" s="28">
        <v>691</v>
      </c>
      <c r="B89" s="29" t="s">
        <v>98</v>
      </c>
      <c r="C89" s="28">
        <v>1500</v>
      </c>
      <c r="D89" s="382">
        <v>101</v>
      </c>
      <c r="E89" s="144">
        <v>101</v>
      </c>
      <c r="F89" s="193">
        <f t="shared" si="6"/>
        <v>101</v>
      </c>
      <c r="G89" s="193">
        <v>101</v>
      </c>
      <c r="H89" s="193">
        <v>101</v>
      </c>
      <c r="I89" s="360">
        <f t="shared" si="9"/>
        <v>691</v>
      </c>
      <c r="J89" s="304">
        <v>0</v>
      </c>
      <c r="K89" s="304">
        <v>0</v>
      </c>
      <c r="L89" s="304">
        <v>101</v>
      </c>
      <c r="M89" s="304">
        <v>0</v>
      </c>
      <c r="N89" s="390">
        <f t="shared" si="8"/>
        <v>0</v>
      </c>
      <c r="O89" s="192">
        <f t="shared" si="7"/>
        <v>1601</v>
      </c>
      <c r="P89" s="30">
        <v>0</v>
      </c>
      <c r="Q89" s="28">
        <v>750</v>
      </c>
      <c r="R89" s="28">
        <v>0</v>
      </c>
      <c r="S89" s="281"/>
    </row>
    <row r="90" spans="1:19" ht="12.75">
      <c r="A90" s="28">
        <v>692</v>
      </c>
      <c r="B90" s="29" t="s">
        <v>99</v>
      </c>
      <c r="C90" s="28">
        <v>1690</v>
      </c>
      <c r="D90" s="382">
        <v>76</v>
      </c>
      <c r="E90" s="144">
        <v>76</v>
      </c>
      <c r="F90" s="193">
        <f t="shared" si="6"/>
        <v>76</v>
      </c>
      <c r="G90" s="193">
        <v>76</v>
      </c>
      <c r="H90" s="193">
        <v>76</v>
      </c>
      <c r="I90" s="360">
        <f t="shared" si="9"/>
        <v>692</v>
      </c>
      <c r="J90" s="304">
        <v>0</v>
      </c>
      <c r="K90" s="304">
        <v>0</v>
      </c>
      <c r="L90" s="304">
        <v>76</v>
      </c>
      <c r="M90" s="304">
        <v>0</v>
      </c>
      <c r="N90" s="390">
        <f t="shared" si="8"/>
        <v>0</v>
      </c>
      <c r="O90" s="192">
        <f t="shared" si="7"/>
        <v>1766</v>
      </c>
      <c r="P90" s="30">
        <v>0</v>
      </c>
      <c r="Q90" s="28">
        <v>620</v>
      </c>
      <c r="R90" s="28">
        <v>0</v>
      </c>
      <c r="S90" s="281"/>
    </row>
    <row r="91" spans="1:19" ht="12.75">
      <c r="A91" s="28">
        <v>693</v>
      </c>
      <c r="B91" s="29" t="s">
        <v>100</v>
      </c>
      <c r="C91" s="28">
        <v>1550</v>
      </c>
      <c r="D91" s="382">
        <v>94</v>
      </c>
      <c r="E91" s="144">
        <v>94</v>
      </c>
      <c r="F91" s="193">
        <f t="shared" si="6"/>
        <v>94</v>
      </c>
      <c r="G91" s="193">
        <v>94</v>
      </c>
      <c r="H91" s="193">
        <v>94</v>
      </c>
      <c r="I91" s="360">
        <f t="shared" si="9"/>
        <v>693</v>
      </c>
      <c r="J91" s="304">
        <v>0</v>
      </c>
      <c r="K91" s="304">
        <v>0</v>
      </c>
      <c r="L91" s="304">
        <v>94</v>
      </c>
      <c r="M91" s="304">
        <v>0</v>
      </c>
      <c r="N91" s="390">
        <f t="shared" si="8"/>
        <v>0</v>
      </c>
      <c r="O91" s="192">
        <f t="shared" si="7"/>
        <v>1644</v>
      </c>
      <c r="P91" s="30">
        <v>0</v>
      </c>
      <c r="Q91" s="28">
        <v>620</v>
      </c>
      <c r="R91" s="28">
        <v>0</v>
      </c>
      <c r="S91" s="281"/>
    </row>
    <row r="92" spans="1:19" ht="12.75">
      <c r="A92" s="28">
        <v>694</v>
      </c>
      <c r="B92" s="29" t="s">
        <v>101</v>
      </c>
      <c r="C92" s="28">
        <v>1400</v>
      </c>
      <c r="D92" s="382">
        <v>114</v>
      </c>
      <c r="E92" s="144">
        <v>114</v>
      </c>
      <c r="F92" s="193">
        <f t="shared" si="6"/>
        <v>114</v>
      </c>
      <c r="G92" s="193">
        <v>114</v>
      </c>
      <c r="H92" s="193">
        <v>114</v>
      </c>
      <c r="I92" s="360">
        <f t="shared" si="9"/>
        <v>694</v>
      </c>
      <c r="J92" s="304">
        <v>0</v>
      </c>
      <c r="K92" s="304">
        <v>0</v>
      </c>
      <c r="L92" s="304">
        <v>114</v>
      </c>
      <c r="M92" s="304">
        <v>0</v>
      </c>
      <c r="N92" s="390">
        <f t="shared" si="8"/>
        <v>0</v>
      </c>
      <c r="O92" s="192">
        <f t="shared" si="7"/>
        <v>1514</v>
      </c>
      <c r="P92" s="30">
        <v>0</v>
      </c>
      <c r="Q92" s="28">
        <v>620</v>
      </c>
      <c r="R92" s="28">
        <v>0</v>
      </c>
      <c r="S92" s="281"/>
    </row>
    <row r="93" spans="1:19" ht="12.75">
      <c r="A93" s="28">
        <v>695</v>
      </c>
      <c r="B93" s="29" t="s">
        <v>102</v>
      </c>
      <c r="C93" s="28">
        <v>906</v>
      </c>
      <c r="D93" s="382">
        <v>170</v>
      </c>
      <c r="E93" s="366">
        <v>216</v>
      </c>
      <c r="F93" s="193">
        <v>261</v>
      </c>
      <c r="G93" s="304">
        <v>327</v>
      </c>
      <c r="H93" s="304">
        <v>350</v>
      </c>
      <c r="I93" s="360">
        <f t="shared" si="9"/>
        <v>695</v>
      </c>
      <c r="J93" s="304">
        <v>0</v>
      </c>
      <c r="K93" s="304">
        <v>0</v>
      </c>
      <c r="L93" s="304">
        <v>414.7</v>
      </c>
      <c r="M93" s="304">
        <v>0</v>
      </c>
      <c r="N93" s="390">
        <f t="shared" si="8"/>
        <v>0</v>
      </c>
      <c r="O93" s="192">
        <f t="shared" si="7"/>
        <v>1233</v>
      </c>
      <c r="P93" s="30">
        <v>0</v>
      </c>
      <c r="Q93" s="28">
        <v>0</v>
      </c>
      <c r="R93" s="28">
        <v>0</v>
      </c>
      <c r="S93" s="281"/>
    </row>
    <row r="94" spans="1:19" ht="12.75">
      <c r="A94" s="28">
        <v>696</v>
      </c>
      <c r="B94" s="29" t="s">
        <v>103</v>
      </c>
      <c r="C94" s="28">
        <v>1500</v>
      </c>
      <c r="D94" s="382">
        <v>101</v>
      </c>
      <c r="E94" s="144">
        <v>101</v>
      </c>
      <c r="F94" s="193">
        <f>IF(C94&lt;972,E94+44,E94)</f>
        <v>101</v>
      </c>
      <c r="G94" s="193">
        <v>101</v>
      </c>
      <c r="H94" s="193">
        <v>101</v>
      </c>
      <c r="I94" s="360">
        <f t="shared" si="9"/>
        <v>696</v>
      </c>
      <c r="J94" s="304">
        <v>388.2</v>
      </c>
      <c r="K94" s="304">
        <v>388.2</v>
      </c>
      <c r="L94" s="304">
        <v>101</v>
      </c>
      <c r="M94" s="304">
        <v>388.2</v>
      </c>
      <c r="N94" s="390">
        <f t="shared" si="8"/>
        <v>388.2</v>
      </c>
      <c r="O94" s="192">
        <f t="shared" si="7"/>
        <v>1989.2</v>
      </c>
      <c r="P94" s="30">
        <v>0</v>
      </c>
      <c r="Q94" s="28">
        <v>0</v>
      </c>
      <c r="R94" s="28">
        <v>0</v>
      </c>
      <c r="S94" s="281"/>
    </row>
    <row r="95" spans="1:19" ht="12.75">
      <c r="A95" s="28">
        <v>697</v>
      </c>
      <c r="B95" s="29" t="s">
        <v>104</v>
      </c>
      <c r="C95" s="28">
        <v>1500</v>
      </c>
      <c r="D95" s="382">
        <v>101</v>
      </c>
      <c r="E95" s="144">
        <v>101</v>
      </c>
      <c r="F95" s="193">
        <f>IF(C95&lt;972,E95+44,E95)</f>
        <v>101</v>
      </c>
      <c r="G95" s="193">
        <v>101</v>
      </c>
      <c r="H95" s="193">
        <v>101</v>
      </c>
      <c r="I95" s="360">
        <f t="shared" si="9"/>
        <v>697</v>
      </c>
      <c r="J95" s="304">
        <v>0</v>
      </c>
      <c r="K95" s="304">
        <v>0</v>
      </c>
      <c r="L95" s="304">
        <v>101</v>
      </c>
      <c r="M95" s="304">
        <v>0</v>
      </c>
      <c r="N95" s="390">
        <f t="shared" si="8"/>
        <v>0</v>
      </c>
      <c r="O95" s="192">
        <f t="shared" si="7"/>
        <v>1601</v>
      </c>
      <c r="P95" s="30">
        <v>0</v>
      </c>
      <c r="Q95" s="28">
        <v>0</v>
      </c>
      <c r="R95" s="28">
        <v>0</v>
      </c>
      <c r="S95" s="281"/>
    </row>
    <row r="96" spans="1:19" ht="12.75">
      <c r="A96" s="28">
        <v>698</v>
      </c>
      <c r="B96" s="29" t="s">
        <v>105</v>
      </c>
      <c r="C96" s="28">
        <v>1690</v>
      </c>
      <c r="D96" s="382">
        <v>76</v>
      </c>
      <c r="E96" s="144">
        <v>76</v>
      </c>
      <c r="F96" s="193">
        <f>IF(C96&lt;972,E96+44,E96)</f>
        <v>76</v>
      </c>
      <c r="G96" s="193">
        <v>76</v>
      </c>
      <c r="H96" s="193">
        <v>76</v>
      </c>
      <c r="I96" s="360">
        <f t="shared" si="9"/>
        <v>698</v>
      </c>
      <c r="J96" s="304">
        <v>0</v>
      </c>
      <c r="K96" s="304">
        <v>0</v>
      </c>
      <c r="L96" s="304">
        <v>76</v>
      </c>
      <c r="M96" s="304">
        <v>0</v>
      </c>
      <c r="N96" s="390">
        <f t="shared" si="8"/>
        <v>0</v>
      </c>
      <c r="O96" s="192">
        <f t="shared" si="7"/>
        <v>1766</v>
      </c>
      <c r="P96" s="30">
        <v>0</v>
      </c>
      <c r="Q96" s="28">
        <v>0</v>
      </c>
      <c r="R96" s="28">
        <v>0</v>
      </c>
      <c r="S96" s="281"/>
    </row>
    <row r="97" spans="1:19" ht="12.75">
      <c r="A97" s="28">
        <v>699</v>
      </c>
      <c r="B97" s="29" t="s">
        <v>106</v>
      </c>
      <c r="C97" s="28">
        <v>1550</v>
      </c>
      <c r="D97" s="382">
        <v>94</v>
      </c>
      <c r="E97" s="144">
        <v>94</v>
      </c>
      <c r="F97" s="193">
        <f>IF(C97&lt;972,E97+44,E97)</f>
        <v>94</v>
      </c>
      <c r="G97" s="193">
        <v>94</v>
      </c>
      <c r="H97" s="193">
        <v>94</v>
      </c>
      <c r="I97" s="360">
        <f t="shared" si="9"/>
        <v>699</v>
      </c>
      <c r="J97" s="304">
        <v>0</v>
      </c>
      <c r="K97" s="304">
        <v>0</v>
      </c>
      <c r="L97" s="304">
        <v>94</v>
      </c>
      <c r="M97" s="304">
        <v>0</v>
      </c>
      <c r="N97" s="390">
        <f t="shared" si="8"/>
        <v>0</v>
      </c>
      <c r="O97" s="192">
        <f t="shared" si="7"/>
        <v>1644</v>
      </c>
      <c r="P97" s="30">
        <v>0</v>
      </c>
      <c r="Q97" s="28">
        <v>0</v>
      </c>
      <c r="R97" s="28">
        <v>0</v>
      </c>
      <c r="S97" s="281"/>
    </row>
    <row r="98" spans="1:19" s="312" customFormat="1" ht="12.75">
      <c r="A98" s="306">
        <v>702</v>
      </c>
      <c r="B98" s="307" t="s">
        <v>508</v>
      </c>
      <c r="C98" s="306">
        <v>1400</v>
      </c>
      <c r="D98" s="383">
        <v>170</v>
      </c>
      <c r="E98" s="367">
        <v>216</v>
      </c>
      <c r="F98" s="193">
        <v>261</v>
      </c>
      <c r="G98" s="304">
        <v>327</v>
      </c>
      <c r="H98" s="304">
        <v>350</v>
      </c>
      <c r="I98" s="361">
        <f t="shared" si="9"/>
        <v>702</v>
      </c>
      <c r="J98" s="308">
        <v>0</v>
      </c>
      <c r="K98" s="308">
        <v>0</v>
      </c>
      <c r="L98" s="304">
        <v>114</v>
      </c>
      <c r="M98" s="308">
        <v>0</v>
      </c>
      <c r="N98" s="390">
        <v>310</v>
      </c>
      <c r="O98" s="192">
        <f t="shared" si="7"/>
        <v>1727</v>
      </c>
      <c r="P98" s="310">
        <v>0</v>
      </c>
      <c r="Q98" s="306">
        <v>0</v>
      </c>
      <c r="R98" s="306">
        <v>0</v>
      </c>
      <c r="S98" s="311"/>
    </row>
    <row r="99" spans="1:19" ht="12.75">
      <c r="A99" s="28">
        <v>703</v>
      </c>
      <c r="B99" s="307" t="s">
        <v>509</v>
      </c>
      <c r="C99" s="28">
        <v>1400</v>
      </c>
      <c r="D99" s="382">
        <v>0</v>
      </c>
      <c r="E99" s="144">
        <v>0</v>
      </c>
      <c r="F99" s="193">
        <f>IF(C99&lt;972,E99+44,E99)</f>
        <v>0</v>
      </c>
      <c r="G99" s="193">
        <v>0</v>
      </c>
      <c r="H99" s="193">
        <v>0</v>
      </c>
      <c r="I99" s="360">
        <f t="shared" si="9"/>
        <v>703</v>
      </c>
      <c r="J99" s="304">
        <v>0</v>
      </c>
      <c r="K99" s="304">
        <v>0</v>
      </c>
      <c r="L99" s="304">
        <v>114</v>
      </c>
      <c r="M99" s="304">
        <v>0</v>
      </c>
      <c r="N99" s="390">
        <v>310</v>
      </c>
      <c r="O99" s="192">
        <f t="shared" si="7"/>
        <v>1400</v>
      </c>
      <c r="P99" s="30">
        <v>0</v>
      </c>
      <c r="Q99" s="28">
        <v>0</v>
      </c>
      <c r="R99" s="28">
        <v>0</v>
      </c>
      <c r="S99" s="281"/>
    </row>
    <row r="100" spans="1:19" ht="12.75">
      <c r="A100" s="28">
        <v>704</v>
      </c>
      <c r="B100" s="307" t="s">
        <v>510</v>
      </c>
      <c r="C100" s="28">
        <v>1300</v>
      </c>
      <c r="D100" s="382">
        <v>101</v>
      </c>
      <c r="E100" s="144">
        <v>101</v>
      </c>
      <c r="F100" s="193">
        <f>IF(C100&lt;972,E100+44,E100)</f>
        <v>101</v>
      </c>
      <c r="G100" s="193">
        <v>101</v>
      </c>
      <c r="H100" s="193">
        <v>101</v>
      </c>
      <c r="I100" s="360">
        <f t="shared" si="9"/>
        <v>704</v>
      </c>
      <c r="J100" s="304">
        <v>0</v>
      </c>
      <c r="K100" s="304">
        <v>136</v>
      </c>
      <c r="L100" s="304">
        <v>127</v>
      </c>
      <c r="M100" s="304">
        <v>272</v>
      </c>
      <c r="N100" s="390">
        <v>310</v>
      </c>
      <c r="O100" s="192">
        <f t="shared" si="7"/>
        <v>1673</v>
      </c>
      <c r="P100" s="30">
        <v>0</v>
      </c>
      <c r="Q100" s="28">
        <v>0</v>
      </c>
      <c r="R100" s="28">
        <v>0</v>
      </c>
      <c r="S100" s="281"/>
    </row>
    <row r="101" spans="1:19" ht="12.75">
      <c r="A101" s="28">
        <v>705</v>
      </c>
      <c r="B101" s="307" t="s">
        <v>511</v>
      </c>
      <c r="C101" s="28">
        <v>1300</v>
      </c>
      <c r="D101" s="382">
        <v>89</v>
      </c>
      <c r="E101" s="144">
        <v>89</v>
      </c>
      <c r="F101" s="193">
        <f>IF(C101&lt;972,E101+44,E101)</f>
        <v>89</v>
      </c>
      <c r="G101" s="193">
        <v>89</v>
      </c>
      <c r="H101" s="193">
        <v>89</v>
      </c>
      <c r="I101" s="360">
        <f t="shared" si="9"/>
        <v>705</v>
      </c>
      <c r="J101" s="304">
        <v>0</v>
      </c>
      <c r="K101" s="304">
        <v>175</v>
      </c>
      <c r="L101" s="304">
        <v>127</v>
      </c>
      <c r="M101" s="304">
        <v>350</v>
      </c>
      <c r="N101" s="390">
        <v>310</v>
      </c>
      <c r="O101" s="192">
        <f t="shared" si="7"/>
        <v>1739</v>
      </c>
      <c r="P101" s="30">
        <v>0</v>
      </c>
      <c r="Q101" s="28">
        <v>0</v>
      </c>
      <c r="R101" s="28">
        <v>0</v>
      </c>
      <c r="S101" s="281"/>
    </row>
    <row r="102" spans="1:19" ht="12.75">
      <c r="A102" s="28">
        <v>706</v>
      </c>
      <c r="B102" s="307" t="s">
        <v>512</v>
      </c>
      <c r="C102" s="28">
        <v>1250</v>
      </c>
      <c r="D102" s="382">
        <v>0</v>
      </c>
      <c r="E102" s="144">
        <v>0</v>
      </c>
      <c r="F102" s="193">
        <f>IF(C102&lt;972,E102+44,E102)</f>
        <v>0</v>
      </c>
      <c r="G102" s="193">
        <v>0</v>
      </c>
      <c r="H102" s="193">
        <v>0</v>
      </c>
      <c r="I102" s="360">
        <f t="shared" si="9"/>
        <v>706</v>
      </c>
      <c r="J102" s="304">
        <v>0</v>
      </c>
      <c r="K102" s="304">
        <f>D102*0.09</f>
        <v>0</v>
      </c>
      <c r="L102" s="304">
        <v>134</v>
      </c>
      <c r="M102" s="304">
        <v>0</v>
      </c>
      <c r="N102" s="390">
        <v>310</v>
      </c>
      <c r="O102" s="192">
        <f t="shared" si="7"/>
        <v>1250</v>
      </c>
      <c r="P102" s="30">
        <v>0</v>
      </c>
      <c r="Q102" s="28">
        <v>0</v>
      </c>
      <c r="R102" s="28">
        <v>0</v>
      </c>
      <c r="S102" s="281"/>
    </row>
    <row r="103" spans="1:19" ht="12.75">
      <c r="A103" s="28">
        <v>707</v>
      </c>
      <c r="B103" s="29" t="s">
        <v>437</v>
      </c>
      <c r="C103" s="28">
        <v>2913</v>
      </c>
      <c r="D103" s="382"/>
      <c r="E103" s="144"/>
      <c r="F103" s="193"/>
      <c r="G103" s="193">
        <v>0</v>
      </c>
      <c r="H103" s="193">
        <v>0</v>
      </c>
      <c r="I103" s="360">
        <f t="shared" si="9"/>
        <v>707</v>
      </c>
      <c r="J103" s="304"/>
      <c r="K103" s="304"/>
      <c r="L103" s="304">
        <v>0</v>
      </c>
      <c r="M103" s="304">
        <v>466</v>
      </c>
      <c r="N103" s="390">
        <v>776</v>
      </c>
      <c r="O103" s="192">
        <f t="shared" si="7"/>
        <v>3379</v>
      </c>
      <c r="P103" s="30">
        <v>0</v>
      </c>
      <c r="Q103" s="28">
        <v>0</v>
      </c>
      <c r="R103" s="28">
        <v>0</v>
      </c>
      <c r="S103" s="281"/>
    </row>
    <row r="104" spans="1:19" ht="12.75">
      <c r="A104" s="28">
        <v>708</v>
      </c>
      <c r="B104" s="29" t="s">
        <v>107</v>
      </c>
      <c r="C104" s="28">
        <v>3146</v>
      </c>
      <c r="D104" s="382">
        <v>0</v>
      </c>
      <c r="E104" s="144">
        <v>0</v>
      </c>
      <c r="F104" s="193">
        <f aca="true" t="shared" si="10" ref="F104:F127">IF(C104&lt;972,E104+44,E104)</f>
        <v>0</v>
      </c>
      <c r="G104" s="193">
        <v>0</v>
      </c>
      <c r="H104" s="193">
        <v>0</v>
      </c>
      <c r="I104" s="360">
        <f t="shared" si="9"/>
        <v>708</v>
      </c>
      <c r="J104" s="304">
        <v>0</v>
      </c>
      <c r="K104" s="304">
        <v>0</v>
      </c>
      <c r="L104" s="304">
        <v>0</v>
      </c>
      <c r="M104" s="304">
        <v>466</v>
      </c>
      <c r="N104" s="390">
        <v>776</v>
      </c>
      <c r="O104" s="192">
        <f t="shared" si="7"/>
        <v>3612</v>
      </c>
      <c r="P104" s="30">
        <v>0</v>
      </c>
      <c r="Q104" s="28">
        <v>0</v>
      </c>
      <c r="R104" s="28">
        <v>0</v>
      </c>
      <c r="S104" s="281"/>
    </row>
    <row r="105" spans="1:19" ht="12.75">
      <c r="A105" s="28">
        <v>709</v>
      </c>
      <c r="B105" s="29" t="s">
        <v>438</v>
      </c>
      <c r="C105" s="28">
        <v>2913</v>
      </c>
      <c r="D105" s="382">
        <v>0</v>
      </c>
      <c r="E105" s="144">
        <v>0</v>
      </c>
      <c r="F105" s="193">
        <f t="shared" si="10"/>
        <v>0</v>
      </c>
      <c r="G105" s="193">
        <v>0</v>
      </c>
      <c r="H105" s="193">
        <v>0</v>
      </c>
      <c r="I105" s="360">
        <f t="shared" si="9"/>
        <v>709</v>
      </c>
      <c r="J105" s="304">
        <v>0</v>
      </c>
      <c r="K105" s="345">
        <v>233</v>
      </c>
      <c r="L105" s="304">
        <v>0</v>
      </c>
      <c r="M105" s="345">
        <v>466</v>
      </c>
      <c r="N105" s="390">
        <v>776</v>
      </c>
      <c r="O105" s="192">
        <f t="shared" si="7"/>
        <v>3379</v>
      </c>
      <c r="P105" s="30">
        <v>0</v>
      </c>
      <c r="Q105" s="28">
        <v>0</v>
      </c>
      <c r="R105" s="28">
        <v>0</v>
      </c>
      <c r="S105" s="281"/>
    </row>
    <row r="106" spans="1:19" ht="12.75">
      <c r="A106" s="28">
        <v>710</v>
      </c>
      <c r="B106" s="29" t="s">
        <v>108</v>
      </c>
      <c r="C106" s="28">
        <v>2913</v>
      </c>
      <c r="D106" s="382">
        <v>0</v>
      </c>
      <c r="E106" s="144">
        <v>0</v>
      </c>
      <c r="F106" s="193">
        <f t="shared" si="10"/>
        <v>0</v>
      </c>
      <c r="G106" s="193">
        <v>0</v>
      </c>
      <c r="H106" s="193">
        <v>0</v>
      </c>
      <c r="I106" s="360">
        <f t="shared" si="9"/>
        <v>710</v>
      </c>
      <c r="J106" s="304">
        <v>0</v>
      </c>
      <c r="K106" s="345">
        <v>233</v>
      </c>
      <c r="L106" s="304">
        <v>0</v>
      </c>
      <c r="M106" s="345">
        <v>466</v>
      </c>
      <c r="N106" s="390">
        <v>776</v>
      </c>
      <c r="O106" s="192">
        <f t="shared" si="7"/>
        <v>3379</v>
      </c>
      <c r="P106" s="30">
        <v>20</v>
      </c>
      <c r="Q106" s="28">
        <v>0</v>
      </c>
      <c r="R106" s="28">
        <v>0</v>
      </c>
      <c r="S106" s="281"/>
    </row>
    <row r="107" spans="1:19" ht="12.75">
      <c r="A107" s="28">
        <v>711</v>
      </c>
      <c r="B107" s="29" t="s">
        <v>109</v>
      </c>
      <c r="C107" s="28">
        <v>2913</v>
      </c>
      <c r="D107" s="382">
        <v>0</v>
      </c>
      <c r="E107" s="144">
        <v>0</v>
      </c>
      <c r="F107" s="193">
        <f t="shared" si="10"/>
        <v>0</v>
      </c>
      <c r="G107" s="193">
        <v>0</v>
      </c>
      <c r="H107" s="193">
        <v>0</v>
      </c>
      <c r="I107" s="360">
        <f t="shared" si="9"/>
        <v>711</v>
      </c>
      <c r="J107" s="304">
        <v>0</v>
      </c>
      <c r="K107" s="345">
        <v>233</v>
      </c>
      <c r="L107" s="304">
        <v>0</v>
      </c>
      <c r="M107" s="345">
        <v>466</v>
      </c>
      <c r="N107" s="390">
        <v>776</v>
      </c>
      <c r="O107" s="192">
        <f t="shared" si="7"/>
        <v>3379</v>
      </c>
      <c r="P107" s="30">
        <v>0</v>
      </c>
      <c r="Q107" s="28">
        <v>0</v>
      </c>
      <c r="R107" s="28">
        <v>0</v>
      </c>
      <c r="S107" s="281"/>
    </row>
    <row r="108" spans="1:19" ht="12.75">
      <c r="A108" s="28">
        <v>712</v>
      </c>
      <c r="B108" s="29" t="s">
        <v>439</v>
      </c>
      <c r="C108" s="28">
        <v>2913</v>
      </c>
      <c r="D108" s="382">
        <v>0</v>
      </c>
      <c r="E108" s="144">
        <v>0</v>
      </c>
      <c r="F108" s="193">
        <f t="shared" si="10"/>
        <v>0</v>
      </c>
      <c r="G108" s="193">
        <v>0</v>
      </c>
      <c r="H108" s="193">
        <v>0</v>
      </c>
      <c r="I108" s="360">
        <f t="shared" si="9"/>
        <v>712</v>
      </c>
      <c r="J108" s="304">
        <v>0</v>
      </c>
      <c r="K108" s="345">
        <v>233</v>
      </c>
      <c r="L108" s="304">
        <v>0</v>
      </c>
      <c r="M108" s="345">
        <v>466</v>
      </c>
      <c r="N108" s="390">
        <v>776</v>
      </c>
      <c r="O108" s="192">
        <f t="shared" si="7"/>
        <v>3379</v>
      </c>
      <c r="P108" s="30">
        <v>0</v>
      </c>
      <c r="Q108" s="28">
        <v>0</v>
      </c>
      <c r="R108" s="28">
        <v>0</v>
      </c>
      <c r="S108" s="281"/>
    </row>
    <row r="109" spans="1:19" ht="12.75">
      <c r="A109" s="28">
        <v>713</v>
      </c>
      <c r="B109" s="29" t="s">
        <v>110</v>
      </c>
      <c r="C109" s="28">
        <v>2913</v>
      </c>
      <c r="D109" s="382">
        <v>0</v>
      </c>
      <c r="E109" s="144">
        <v>0</v>
      </c>
      <c r="F109" s="193">
        <f t="shared" si="10"/>
        <v>0</v>
      </c>
      <c r="G109" s="193">
        <v>0</v>
      </c>
      <c r="H109" s="193">
        <v>0</v>
      </c>
      <c r="I109" s="360">
        <f t="shared" si="9"/>
        <v>713</v>
      </c>
      <c r="J109" s="304">
        <v>0</v>
      </c>
      <c r="K109" s="345">
        <v>233</v>
      </c>
      <c r="L109" s="304">
        <v>0</v>
      </c>
      <c r="M109" s="345">
        <v>466</v>
      </c>
      <c r="N109" s="390">
        <v>776</v>
      </c>
      <c r="O109" s="192">
        <f t="shared" si="7"/>
        <v>3379</v>
      </c>
      <c r="P109" s="30">
        <v>0</v>
      </c>
      <c r="Q109" s="28">
        <v>0</v>
      </c>
      <c r="R109" s="28">
        <v>0</v>
      </c>
      <c r="S109" s="281"/>
    </row>
    <row r="110" spans="1:19" ht="12.75">
      <c r="A110" s="28">
        <v>714</v>
      </c>
      <c r="B110" s="29" t="s">
        <v>111</v>
      </c>
      <c r="C110" s="28">
        <v>2913</v>
      </c>
      <c r="D110" s="382">
        <v>0</v>
      </c>
      <c r="E110" s="144">
        <v>0</v>
      </c>
      <c r="F110" s="193">
        <f t="shared" si="10"/>
        <v>0</v>
      </c>
      <c r="G110" s="193">
        <v>0</v>
      </c>
      <c r="H110" s="193">
        <v>0</v>
      </c>
      <c r="I110" s="360">
        <f t="shared" si="9"/>
        <v>714</v>
      </c>
      <c r="J110" s="304">
        <v>0</v>
      </c>
      <c r="K110" s="304">
        <f>D110*0.09</f>
        <v>0</v>
      </c>
      <c r="L110" s="304">
        <v>0</v>
      </c>
      <c r="M110" s="304">
        <v>0</v>
      </c>
      <c r="N110" s="390">
        <f>M110*1.1</f>
        <v>0</v>
      </c>
      <c r="O110" s="192">
        <f t="shared" si="7"/>
        <v>2913</v>
      </c>
      <c r="P110" s="30">
        <v>0</v>
      </c>
      <c r="Q110" s="28">
        <v>0</v>
      </c>
      <c r="R110" s="28">
        <v>0</v>
      </c>
      <c r="S110" s="281"/>
    </row>
    <row r="111" spans="1:19" ht="12.75">
      <c r="A111" s="28">
        <v>715</v>
      </c>
      <c r="B111" s="29" t="s">
        <v>112</v>
      </c>
      <c r="C111" s="28">
        <v>1912</v>
      </c>
      <c r="D111" s="382">
        <v>47</v>
      </c>
      <c r="E111" s="144">
        <v>47</v>
      </c>
      <c r="F111" s="193">
        <f t="shared" si="10"/>
        <v>47</v>
      </c>
      <c r="G111" s="193">
        <v>47</v>
      </c>
      <c r="H111" s="193">
        <v>47</v>
      </c>
      <c r="I111" s="360">
        <f t="shared" si="9"/>
        <v>715</v>
      </c>
      <c r="J111" s="304">
        <v>0</v>
      </c>
      <c r="K111" s="304">
        <v>230</v>
      </c>
      <c r="L111" s="304">
        <v>47</v>
      </c>
      <c r="M111" s="304">
        <v>460</v>
      </c>
      <c r="N111" s="390">
        <f aca="true" t="shared" si="11" ref="N111:N127">M111*1.33333</f>
        <v>613.3317999999999</v>
      </c>
      <c r="O111" s="192">
        <f t="shared" si="7"/>
        <v>2419</v>
      </c>
      <c r="P111" s="30">
        <v>0</v>
      </c>
      <c r="Q111" s="28">
        <v>42</v>
      </c>
      <c r="R111" s="28">
        <v>0</v>
      </c>
      <c r="S111" s="281"/>
    </row>
    <row r="112" spans="1:19" ht="12.75">
      <c r="A112" s="28">
        <v>716</v>
      </c>
      <c r="B112" s="29" t="s">
        <v>113</v>
      </c>
      <c r="C112" s="28">
        <v>1942</v>
      </c>
      <c r="D112" s="382">
        <v>43</v>
      </c>
      <c r="E112" s="144">
        <v>43</v>
      </c>
      <c r="F112" s="193">
        <f t="shared" si="10"/>
        <v>43</v>
      </c>
      <c r="G112" s="193">
        <v>43</v>
      </c>
      <c r="H112" s="193">
        <v>43</v>
      </c>
      <c r="I112" s="360">
        <f t="shared" si="9"/>
        <v>716</v>
      </c>
      <c r="J112" s="304">
        <v>0</v>
      </c>
      <c r="K112" s="346">
        <v>194</v>
      </c>
      <c r="L112" s="304">
        <v>43</v>
      </c>
      <c r="M112" s="346">
        <v>388</v>
      </c>
      <c r="N112" s="390">
        <f t="shared" si="11"/>
        <v>517.33204</v>
      </c>
      <c r="O112" s="192">
        <f t="shared" si="7"/>
        <v>2373</v>
      </c>
      <c r="P112" s="30">
        <v>0</v>
      </c>
      <c r="Q112" s="28">
        <v>0</v>
      </c>
      <c r="R112" s="28">
        <v>0</v>
      </c>
      <c r="S112" s="282">
        <v>782</v>
      </c>
    </row>
    <row r="113" spans="1:19" ht="12.75">
      <c r="A113" s="28">
        <v>717</v>
      </c>
      <c r="B113" s="29" t="s">
        <v>448</v>
      </c>
      <c r="C113" s="28">
        <v>2100</v>
      </c>
      <c r="D113" s="382">
        <v>23</v>
      </c>
      <c r="E113" s="144">
        <v>23</v>
      </c>
      <c r="F113" s="193">
        <f t="shared" si="10"/>
        <v>23</v>
      </c>
      <c r="G113" s="193">
        <v>23</v>
      </c>
      <c r="H113" s="193">
        <v>23</v>
      </c>
      <c r="I113" s="360">
        <f t="shared" si="9"/>
        <v>717</v>
      </c>
      <c r="J113" s="304">
        <v>0</v>
      </c>
      <c r="K113" s="346">
        <v>194</v>
      </c>
      <c r="L113" s="304">
        <v>23</v>
      </c>
      <c r="M113" s="346">
        <v>388</v>
      </c>
      <c r="N113" s="390">
        <f t="shared" si="11"/>
        <v>517.33204</v>
      </c>
      <c r="O113" s="192">
        <f t="shared" si="7"/>
        <v>2511</v>
      </c>
      <c r="P113" s="30">
        <v>150</v>
      </c>
      <c r="Q113" s="28">
        <v>0</v>
      </c>
      <c r="R113" s="28">
        <v>0</v>
      </c>
      <c r="S113" s="281"/>
    </row>
    <row r="114" spans="1:19" ht="12.75">
      <c r="A114" s="28">
        <v>718</v>
      </c>
      <c r="B114" s="29" t="s">
        <v>114</v>
      </c>
      <c r="C114" s="28">
        <v>1942</v>
      </c>
      <c r="D114" s="382">
        <v>43</v>
      </c>
      <c r="E114" s="144">
        <v>43</v>
      </c>
      <c r="F114" s="193">
        <f t="shared" si="10"/>
        <v>43</v>
      </c>
      <c r="G114" s="193">
        <v>43</v>
      </c>
      <c r="H114" s="193">
        <v>43</v>
      </c>
      <c r="I114" s="360">
        <f t="shared" si="9"/>
        <v>718</v>
      </c>
      <c r="J114" s="304">
        <v>0</v>
      </c>
      <c r="K114" s="346">
        <v>194</v>
      </c>
      <c r="L114" s="304">
        <v>43</v>
      </c>
      <c r="M114" s="346">
        <v>388</v>
      </c>
      <c r="N114" s="390">
        <f t="shared" si="11"/>
        <v>517.33204</v>
      </c>
      <c r="O114" s="192">
        <f t="shared" si="7"/>
        <v>2373</v>
      </c>
      <c r="P114" s="30">
        <v>17</v>
      </c>
      <c r="Q114" s="28">
        <v>0</v>
      </c>
      <c r="R114" s="28">
        <v>0</v>
      </c>
      <c r="S114" s="281"/>
    </row>
    <row r="115" spans="1:19" ht="12.75">
      <c r="A115" s="28">
        <v>719</v>
      </c>
      <c r="B115" s="29" t="s">
        <v>115</v>
      </c>
      <c r="C115" s="28">
        <v>1782</v>
      </c>
      <c r="D115" s="382">
        <v>64</v>
      </c>
      <c r="E115" s="144">
        <v>64</v>
      </c>
      <c r="F115" s="193">
        <f t="shared" si="10"/>
        <v>64</v>
      </c>
      <c r="G115" s="193">
        <v>64</v>
      </c>
      <c r="H115" s="193">
        <v>64</v>
      </c>
      <c r="I115" s="360">
        <f t="shared" si="9"/>
        <v>719</v>
      </c>
      <c r="J115" s="304">
        <v>0</v>
      </c>
      <c r="K115" s="346">
        <v>175</v>
      </c>
      <c r="L115" s="304">
        <v>64</v>
      </c>
      <c r="M115" s="346">
        <v>349</v>
      </c>
      <c r="N115" s="390">
        <f t="shared" si="11"/>
        <v>465.33216999999996</v>
      </c>
      <c r="O115" s="192">
        <f t="shared" si="7"/>
        <v>2195</v>
      </c>
      <c r="P115" s="30">
        <v>0</v>
      </c>
      <c r="Q115" s="28">
        <v>0</v>
      </c>
      <c r="R115" s="28">
        <v>0</v>
      </c>
      <c r="S115" s="282">
        <v>782</v>
      </c>
    </row>
    <row r="116" spans="1:19" ht="12.75">
      <c r="A116" s="28">
        <v>720</v>
      </c>
      <c r="B116" s="29" t="s">
        <v>116</v>
      </c>
      <c r="C116" s="28">
        <v>1782</v>
      </c>
      <c r="D116" s="382">
        <v>64</v>
      </c>
      <c r="E116" s="144">
        <v>64</v>
      </c>
      <c r="F116" s="193">
        <f t="shared" si="10"/>
        <v>64</v>
      </c>
      <c r="G116" s="193">
        <v>64</v>
      </c>
      <c r="H116" s="193">
        <v>64</v>
      </c>
      <c r="I116" s="360">
        <f t="shared" si="9"/>
        <v>720</v>
      </c>
      <c r="J116" s="304">
        <v>0</v>
      </c>
      <c r="K116" s="346">
        <v>175</v>
      </c>
      <c r="L116" s="304">
        <v>64</v>
      </c>
      <c r="M116" s="346">
        <v>349</v>
      </c>
      <c r="N116" s="390">
        <f t="shared" si="11"/>
        <v>465.33216999999996</v>
      </c>
      <c r="O116" s="192">
        <f t="shared" si="7"/>
        <v>2195</v>
      </c>
      <c r="P116" s="30">
        <v>17</v>
      </c>
      <c r="Q116" s="28">
        <v>0</v>
      </c>
      <c r="R116" s="28">
        <v>0</v>
      </c>
      <c r="S116" s="281"/>
    </row>
    <row r="117" spans="1:19" ht="12.75">
      <c r="A117" s="28">
        <v>721</v>
      </c>
      <c r="B117" s="29" t="s">
        <v>117</v>
      </c>
      <c r="C117" s="28">
        <v>1942</v>
      </c>
      <c r="D117" s="382">
        <v>43</v>
      </c>
      <c r="E117" s="144">
        <v>43</v>
      </c>
      <c r="F117" s="193">
        <f t="shared" si="10"/>
        <v>43</v>
      </c>
      <c r="G117" s="193">
        <v>43</v>
      </c>
      <c r="H117" s="193">
        <v>43</v>
      </c>
      <c r="I117" s="360">
        <f t="shared" si="9"/>
        <v>721</v>
      </c>
      <c r="J117" s="304">
        <v>0</v>
      </c>
      <c r="K117" s="346">
        <v>194</v>
      </c>
      <c r="L117" s="304">
        <v>43</v>
      </c>
      <c r="M117" s="346">
        <v>388</v>
      </c>
      <c r="N117" s="390">
        <f t="shared" si="11"/>
        <v>517.33204</v>
      </c>
      <c r="O117" s="192">
        <f t="shared" si="7"/>
        <v>2373</v>
      </c>
      <c r="P117" s="30">
        <v>150</v>
      </c>
      <c r="Q117" s="28">
        <v>0</v>
      </c>
      <c r="R117" s="28">
        <v>0</v>
      </c>
      <c r="S117" s="281"/>
    </row>
    <row r="118" spans="1:19" ht="12.75">
      <c r="A118" s="28">
        <v>722</v>
      </c>
      <c r="B118" s="29" t="s">
        <v>118</v>
      </c>
      <c r="C118" s="28">
        <v>1692</v>
      </c>
      <c r="D118" s="382">
        <v>76</v>
      </c>
      <c r="E118" s="144">
        <v>76</v>
      </c>
      <c r="F118" s="193">
        <f t="shared" si="10"/>
        <v>76</v>
      </c>
      <c r="G118" s="193">
        <v>76</v>
      </c>
      <c r="H118" s="193">
        <v>76</v>
      </c>
      <c r="I118" s="360">
        <f t="shared" si="9"/>
        <v>722</v>
      </c>
      <c r="J118" s="304">
        <v>0</v>
      </c>
      <c r="K118" s="346">
        <v>136</v>
      </c>
      <c r="L118" s="304">
        <v>76</v>
      </c>
      <c r="M118" s="346">
        <v>272</v>
      </c>
      <c r="N118" s="390">
        <f t="shared" si="11"/>
        <v>362.66576</v>
      </c>
      <c r="O118" s="192">
        <f t="shared" si="7"/>
        <v>2040</v>
      </c>
      <c r="P118" s="30">
        <v>0</v>
      </c>
      <c r="Q118" s="28">
        <v>0</v>
      </c>
      <c r="R118" s="28">
        <v>0</v>
      </c>
      <c r="S118" s="282">
        <v>744</v>
      </c>
    </row>
    <row r="119" spans="1:19" ht="12.75">
      <c r="A119" s="28">
        <v>723</v>
      </c>
      <c r="B119" s="29" t="s">
        <v>119</v>
      </c>
      <c r="C119" s="28">
        <v>1700</v>
      </c>
      <c r="D119" s="382">
        <v>75</v>
      </c>
      <c r="E119" s="144">
        <v>75</v>
      </c>
      <c r="F119" s="193">
        <f t="shared" si="10"/>
        <v>75</v>
      </c>
      <c r="G119" s="193">
        <v>75</v>
      </c>
      <c r="H119" s="193">
        <v>75</v>
      </c>
      <c r="I119" s="360">
        <f t="shared" si="9"/>
        <v>723</v>
      </c>
      <c r="J119" s="304">
        <v>0</v>
      </c>
      <c r="K119" s="346">
        <v>116</v>
      </c>
      <c r="L119" s="304">
        <v>75</v>
      </c>
      <c r="M119" s="346">
        <v>233</v>
      </c>
      <c r="N119" s="390">
        <f t="shared" si="11"/>
        <v>310.66589</v>
      </c>
      <c r="O119" s="192">
        <f t="shared" si="7"/>
        <v>2008</v>
      </c>
      <c r="P119" s="30">
        <v>0</v>
      </c>
      <c r="Q119" s="28">
        <v>0</v>
      </c>
      <c r="R119" s="28">
        <v>0</v>
      </c>
      <c r="S119" s="282">
        <v>769</v>
      </c>
    </row>
    <row r="120" spans="1:19" ht="12.75">
      <c r="A120" s="28">
        <v>724</v>
      </c>
      <c r="B120" s="29" t="s">
        <v>120</v>
      </c>
      <c r="C120" s="28">
        <v>1942</v>
      </c>
      <c r="D120" s="382">
        <v>43</v>
      </c>
      <c r="E120" s="144">
        <v>43</v>
      </c>
      <c r="F120" s="193">
        <f t="shared" si="10"/>
        <v>43</v>
      </c>
      <c r="G120" s="193">
        <v>43</v>
      </c>
      <c r="H120" s="193">
        <v>43</v>
      </c>
      <c r="I120" s="360">
        <f t="shared" si="9"/>
        <v>724</v>
      </c>
      <c r="J120" s="304">
        <v>0</v>
      </c>
      <c r="K120" s="304">
        <v>233</v>
      </c>
      <c r="L120" s="304">
        <v>43</v>
      </c>
      <c r="M120" s="304">
        <v>466</v>
      </c>
      <c r="N120" s="390">
        <f t="shared" si="11"/>
        <v>621.33178</v>
      </c>
      <c r="O120" s="192">
        <f t="shared" si="7"/>
        <v>2451</v>
      </c>
      <c r="P120" s="30">
        <v>150</v>
      </c>
      <c r="Q120" s="28">
        <v>0</v>
      </c>
      <c r="R120" s="28">
        <v>0</v>
      </c>
      <c r="S120" s="281"/>
    </row>
    <row r="121" spans="1:19" ht="12.75">
      <c r="A121" s="28">
        <v>725</v>
      </c>
      <c r="B121" s="29" t="s">
        <v>121</v>
      </c>
      <c r="C121" s="28">
        <v>1592</v>
      </c>
      <c r="D121" s="382">
        <v>89</v>
      </c>
      <c r="E121" s="144">
        <v>89</v>
      </c>
      <c r="F121" s="193">
        <f t="shared" si="10"/>
        <v>89</v>
      </c>
      <c r="G121" s="193">
        <v>89</v>
      </c>
      <c r="H121" s="193">
        <v>89</v>
      </c>
      <c r="I121" s="360">
        <f t="shared" si="9"/>
        <v>725</v>
      </c>
      <c r="J121" s="304">
        <v>0</v>
      </c>
      <c r="K121" s="304">
        <v>116</v>
      </c>
      <c r="L121" s="304">
        <v>89</v>
      </c>
      <c r="M121" s="304">
        <v>233</v>
      </c>
      <c r="N121" s="390">
        <f t="shared" si="11"/>
        <v>310.66589</v>
      </c>
      <c r="O121" s="192">
        <f t="shared" si="7"/>
        <v>1914</v>
      </c>
      <c r="P121" s="30">
        <v>0</v>
      </c>
      <c r="Q121" s="28">
        <v>0</v>
      </c>
      <c r="R121" s="28">
        <v>0</v>
      </c>
      <c r="S121" s="282">
        <v>738</v>
      </c>
    </row>
    <row r="122" spans="1:19" ht="12.75">
      <c r="A122" s="28">
        <v>726</v>
      </c>
      <c r="B122" s="29" t="s">
        <v>122</v>
      </c>
      <c r="C122" s="28">
        <v>1500</v>
      </c>
      <c r="D122" s="382">
        <v>101</v>
      </c>
      <c r="E122" s="144">
        <v>101</v>
      </c>
      <c r="F122" s="193">
        <f t="shared" si="10"/>
        <v>101</v>
      </c>
      <c r="G122" s="193">
        <v>101</v>
      </c>
      <c r="H122" s="193">
        <v>101</v>
      </c>
      <c r="I122" s="360">
        <f t="shared" si="9"/>
        <v>726</v>
      </c>
      <c r="J122" s="304">
        <v>0</v>
      </c>
      <c r="K122" s="304">
        <v>0</v>
      </c>
      <c r="L122" s="304">
        <v>101</v>
      </c>
      <c r="M122" s="304">
        <v>0</v>
      </c>
      <c r="N122" s="390">
        <f>M122*1.1</f>
        <v>0</v>
      </c>
      <c r="O122" s="192">
        <f t="shared" si="7"/>
        <v>1601</v>
      </c>
      <c r="P122" s="30">
        <v>150</v>
      </c>
      <c r="Q122" s="28">
        <v>0</v>
      </c>
      <c r="R122" s="28">
        <v>0</v>
      </c>
      <c r="S122" s="281"/>
    </row>
    <row r="123" spans="1:19" ht="12.75">
      <c r="A123" s="32">
        <v>727</v>
      </c>
      <c r="B123" s="350" t="s">
        <v>123</v>
      </c>
      <c r="C123" s="351">
        <v>1600</v>
      </c>
      <c r="D123" s="382">
        <v>88</v>
      </c>
      <c r="E123" s="349">
        <v>88</v>
      </c>
      <c r="F123" s="346">
        <f t="shared" si="10"/>
        <v>88</v>
      </c>
      <c r="G123" s="346">
        <v>88</v>
      </c>
      <c r="H123" s="346">
        <v>88</v>
      </c>
      <c r="I123" s="362">
        <f t="shared" si="9"/>
        <v>727</v>
      </c>
      <c r="J123" s="346">
        <v>0</v>
      </c>
      <c r="K123" s="346">
        <v>116</v>
      </c>
      <c r="L123" s="304">
        <v>88</v>
      </c>
      <c r="M123" s="346">
        <v>233</v>
      </c>
      <c r="N123" s="390">
        <f t="shared" si="11"/>
        <v>310.66589</v>
      </c>
      <c r="O123" s="192">
        <f t="shared" si="7"/>
        <v>1921</v>
      </c>
      <c r="P123" s="33">
        <v>0</v>
      </c>
      <c r="Q123" s="32">
        <v>0</v>
      </c>
      <c r="R123" s="32">
        <v>0</v>
      </c>
      <c r="S123" s="282">
        <v>738</v>
      </c>
    </row>
    <row r="124" spans="1:19" ht="12.75">
      <c r="A124" s="28">
        <v>728</v>
      </c>
      <c r="B124" s="29" t="s">
        <v>124</v>
      </c>
      <c r="C124" s="28">
        <v>1360</v>
      </c>
      <c r="D124" s="382">
        <v>120</v>
      </c>
      <c r="E124" s="144">
        <v>120</v>
      </c>
      <c r="F124" s="193">
        <f t="shared" si="10"/>
        <v>120</v>
      </c>
      <c r="G124" s="193">
        <v>120</v>
      </c>
      <c r="H124" s="193">
        <v>120</v>
      </c>
      <c r="I124" s="360">
        <f t="shared" si="9"/>
        <v>728</v>
      </c>
      <c r="J124" s="304">
        <v>0</v>
      </c>
      <c r="K124" s="304">
        <v>116</v>
      </c>
      <c r="L124" s="304">
        <v>120</v>
      </c>
      <c r="M124" s="304">
        <v>233</v>
      </c>
      <c r="N124" s="390">
        <f t="shared" si="11"/>
        <v>310.66589</v>
      </c>
      <c r="O124" s="192">
        <f t="shared" si="7"/>
        <v>1713</v>
      </c>
      <c r="P124" s="30">
        <v>17</v>
      </c>
      <c r="Q124" s="28">
        <v>0</v>
      </c>
      <c r="R124" s="28">
        <v>0</v>
      </c>
      <c r="S124" s="281"/>
    </row>
    <row r="125" spans="1:19" ht="12.75">
      <c r="A125" s="28">
        <v>729</v>
      </c>
      <c r="B125" s="29" t="s">
        <v>125</v>
      </c>
      <c r="C125" s="28">
        <v>1692</v>
      </c>
      <c r="D125" s="382">
        <v>76</v>
      </c>
      <c r="E125" s="144">
        <v>76</v>
      </c>
      <c r="F125" s="193">
        <f t="shared" si="10"/>
        <v>76</v>
      </c>
      <c r="G125" s="193">
        <v>76</v>
      </c>
      <c r="H125" s="193">
        <v>76</v>
      </c>
      <c r="I125" s="360">
        <f t="shared" si="9"/>
        <v>729</v>
      </c>
      <c r="J125" s="304">
        <v>0</v>
      </c>
      <c r="K125" s="346">
        <v>194</v>
      </c>
      <c r="L125" s="304">
        <v>76</v>
      </c>
      <c r="M125" s="346">
        <v>388</v>
      </c>
      <c r="N125" s="390">
        <f t="shared" si="11"/>
        <v>517.33204</v>
      </c>
      <c r="O125" s="192">
        <f t="shared" si="7"/>
        <v>2156</v>
      </c>
      <c r="P125" s="30">
        <v>0</v>
      </c>
      <c r="Q125" s="28">
        <v>0</v>
      </c>
      <c r="R125" s="28">
        <v>0</v>
      </c>
      <c r="S125" s="281"/>
    </row>
    <row r="126" spans="1:19" ht="12.75">
      <c r="A126" s="28">
        <v>730</v>
      </c>
      <c r="B126" s="29" t="s">
        <v>126</v>
      </c>
      <c r="C126" s="28">
        <v>1700</v>
      </c>
      <c r="D126" s="382">
        <v>75</v>
      </c>
      <c r="E126" s="144">
        <v>75</v>
      </c>
      <c r="F126" s="193">
        <f t="shared" si="10"/>
        <v>75</v>
      </c>
      <c r="G126" s="193">
        <v>75</v>
      </c>
      <c r="H126" s="193">
        <v>75</v>
      </c>
      <c r="I126" s="360">
        <f t="shared" si="9"/>
        <v>730</v>
      </c>
      <c r="J126" s="304">
        <v>0</v>
      </c>
      <c r="K126" s="346">
        <v>194</v>
      </c>
      <c r="L126" s="304">
        <v>75</v>
      </c>
      <c r="M126" s="346">
        <v>388</v>
      </c>
      <c r="N126" s="390">
        <f t="shared" si="11"/>
        <v>517.33204</v>
      </c>
      <c r="O126" s="192">
        <f t="shared" si="7"/>
        <v>2163</v>
      </c>
      <c r="P126" s="30">
        <v>0</v>
      </c>
      <c r="Q126" s="28">
        <v>0</v>
      </c>
      <c r="R126" s="28">
        <v>0</v>
      </c>
      <c r="S126" s="281"/>
    </row>
    <row r="127" spans="1:19" ht="12.75">
      <c r="A127" s="28">
        <v>731</v>
      </c>
      <c r="B127" s="29" t="s">
        <v>127</v>
      </c>
      <c r="C127" s="28">
        <v>1592</v>
      </c>
      <c r="D127" s="382">
        <v>89</v>
      </c>
      <c r="E127" s="144">
        <v>89</v>
      </c>
      <c r="F127" s="193">
        <f t="shared" si="10"/>
        <v>89</v>
      </c>
      <c r="G127" s="193">
        <v>89</v>
      </c>
      <c r="H127" s="193">
        <v>89</v>
      </c>
      <c r="I127" s="360">
        <f t="shared" si="9"/>
        <v>731</v>
      </c>
      <c r="J127" s="304">
        <v>0</v>
      </c>
      <c r="K127" s="346">
        <v>175</v>
      </c>
      <c r="L127" s="304">
        <v>89</v>
      </c>
      <c r="M127" s="346">
        <v>349</v>
      </c>
      <c r="N127" s="390">
        <f t="shared" si="11"/>
        <v>465.33216999999996</v>
      </c>
      <c r="O127" s="192">
        <f t="shared" si="7"/>
        <v>2030</v>
      </c>
      <c r="P127" s="30">
        <v>0</v>
      </c>
      <c r="Q127" s="28">
        <v>0</v>
      </c>
      <c r="R127" s="28">
        <v>0</v>
      </c>
      <c r="S127" s="281"/>
    </row>
    <row r="128" spans="1:19" ht="12.75">
      <c r="A128" s="28">
        <v>732</v>
      </c>
      <c r="B128" s="29" t="s">
        <v>128</v>
      </c>
      <c r="C128" s="28">
        <v>971</v>
      </c>
      <c r="D128" s="382">
        <v>170</v>
      </c>
      <c r="E128" s="366">
        <v>216</v>
      </c>
      <c r="F128" s="193">
        <v>261</v>
      </c>
      <c r="G128" s="304">
        <v>327</v>
      </c>
      <c r="H128" s="304">
        <v>350</v>
      </c>
      <c r="I128" s="360">
        <f t="shared" si="9"/>
        <v>732</v>
      </c>
      <c r="J128" s="304">
        <v>0</v>
      </c>
      <c r="K128" s="304">
        <v>0</v>
      </c>
      <c r="L128" s="304">
        <v>414.7</v>
      </c>
      <c r="M128" s="304">
        <v>0</v>
      </c>
      <c r="N128" s="390">
        <f>M128*1.1</f>
        <v>0</v>
      </c>
      <c r="O128" s="192">
        <f t="shared" si="7"/>
        <v>1298</v>
      </c>
      <c r="P128" s="30">
        <v>150</v>
      </c>
      <c r="Q128" s="28">
        <v>0</v>
      </c>
      <c r="R128" s="28">
        <v>0</v>
      </c>
      <c r="S128" s="281"/>
    </row>
    <row r="129" spans="1:19" ht="12.75">
      <c r="A129" s="28">
        <v>733</v>
      </c>
      <c r="B129" s="29" t="s">
        <v>129</v>
      </c>
      <c r="C129" s="28">
        <v>1150</v>
      </c>
      <c r="D129" s="382">
        <v>147</v>
      </c>
      <c r="E129" s="144">
        <v>147</v>
      </c>
      <c r="F129" s="193">
        <f>IF(C129&lt;972,E129+44,E129)</f>
        <v>147</v>
      </c>
      <c r="G129" s="193">
        <v>147</v>
      </c>
      <c r="H129" s="193">
        <v>147</v>
      </c>
      <c r="I129" s="360">
        <f t="shared" si="9"/>
        <v>733</v>
      </c>
      <c r="J129" s="304">
        <v>0</v>
      </c>
      <c r="K129" s="304">
        <v>0</v>
      </c>
      <c r="L129" s="304">
        <v>147</v>
      </c>
      <c r="M129" s="304">
        <v>0</v>
      </c>
      <c r="N129" s="390">
        <f>M129*1.1</f>
        <v>0</v>
      </c>
      <c r="O129" s="192">
        <f t="shared" si="7"/>
        <v>1297</v>
      </c>
      <c r="P129" s="30">
        <v>0</v>
      </c>
      <c r="Q129" s="28">
        <v>0</v>
      </c>
      <c r="R129" s="28">
        <v>0</v>
      </c>
      <c r="S129" s="281"/>
    </row>
    <row r="130" spans="1:19" ht="12.75">
      <c r="A130" s="28">
        <v>734</v>
      </c>
      <c r="B130" s="29" t="s">
        <v>130</v>
      </c>
      <c r="C130" s="28">
        <v>1500</v>
      </c>
      <c r="D130" s="382">
        <v>101</v>
      </c>
      <c r="E130" s="144">
        <v>101</v>
      </c>
      <c r="F130" s="193">
        <f>IF(C130&lt;972,E130+44,E130)</f>
        <v>101</v>
      </c>
      <c r="G130" s="193">
        <v>101</v>
      </c>
      <c r="H130" s="193">
        <v>101</v>
      </c>
      <c r="I130" s="360">
        <f t="shared" si="9"/>
        <v>734</v>
      </c>
      <c r="J130" s="304">
        <v>0</v>
      </c>
      <c r="K130" s="304">
        <v>0</v>
      </c>
      <c r="L130" s="304">
        <v>101</v>
      </c>
      <c r="M130" s="304">
        <v>0</v>
      </c>
      <c r="N130" s="390">
        <f>M130*1.1</f>
        <v>0</v>
      </c>
      <c r="O130" s="192">
        <f t="shared" si="7"/>
        <v>1601</v>
      </c>
      <c r="P130" s="30">
        <v>150</v>
      </c>
      <c r="Q130" s="28">
        <v>0</v>
      </c>
      <c r="R130" s="28">
        <v>0</v>
      </c>
      <c r="S130" s="281"/>
    </row>
    <row r="131" spans="1:19" ht="12.75">
      <c r="A131" s="28">
        <v>735</v>
      </c>
      <c r="B131" s="29" t="s">
        <v>131</v>
      </c>
      <c r="C131" s="28">
        <v>971</v>
      </c>
      <c r="D131" s="382">
        <v>170</v>
      </c>
      <c r="E131" s="366">
        <v>216</v>
      </c>
      <c r="F131" s="193">
        <v>261</v>
      </c>
      <c r="G131" s="304">
        <v>327</v>
      </c>
      <c r="H131" s="304">
        <v>350</v>
      </c>
      <c r="I131" s="360">
        <f t="shared" si="9"/>
        <v>735</v>
      </c>
      <c r="J131" s="304">
        <v>0</v>
      </c>
      <c r="K131" s="304">
        <v>0</v>
      </c>
      <c r="L131" s="304">
        <v>414.7</v>
      </c>
      <c r="M131" s="304">
        <v>0</v>
      </c>
      <c r="N131" s="390">
        <f>M131*1.1</f>
        <v>0</v>
      </c>
      <c r="O131" s="192">
        <f aca="true" t="shared" si="12" ref="O131:O194">C131+G131+M131</f>
        <v>1298</v>
      </c>
      <c r="P131" s="30">
        <v>150</v>
      </c>
      <c r="Q131" s="28">
        <v>0</v>
      </c>
      <c r="R131" s="28">
        <v>0</v>
      </c>
      <c r="S131" s="281"/>
    </row>
    <row r="132" spans="1:19" ht="12.75">
      <c r="A132" s="28">
        <v>736</v>
      </c>
      <c r="B132" s="29" t="s">
        <v>132</v>
      </c>
      <c r="C132" s="28">
        <v>1600</v>
      </c>
      <c r="D132" s="382">
        <v>88</v>
      </c>
      <c r="E132" s="144">
        <v>88</v>
      </c>
      <c r="F132" s="193">
        <f>IF(C132&lt;972,E132+44,E132)</f>
        <v>88</v>
      </c>
      <c r="G132" s="193">
        <v>88</v>
      </c>
      <c r="H132" s="193">
        <v>88</v>
      </c>
      <c r="I132" s="360">
        <f t="shared" si="9"/>
        <v>736</v>
      </c>
      <c r="J132" s="304">
        <v>0</v>
      </c>
      <c r="K132" s="346">
        <v>194</v>
      </c>
      <c r="L132" s="304">
        <v>88</v>
      </c>
      <c r="M132" s="346">
        <v>388</v>
      </c>
      <c r="N132" s="390">
        <f>M132*1.33333</f>
        <v>517.33204</v>
      </c>
      <c r="O132" s="192">
        <f t="shared" si="12"/>
        <v>2076</v>
      </c>
      <c r="P132" s="30">
        <v>0</v>
      </c>
      <c r="Q132" s="28">
        <v>0</v>
      </c>
      <c r="R132" s="28">
        <v>0</v>
      </c>
      <c r="S132" s="281"/>
    </row>
    <row r="133" spans="1:19" ht="12.75">
      <c r="A133" s="28">
        <v>737</v>
      </c>
      <c r="B133" s="29" t="s">
        <v>133</v>
      </c>
      <c r="C133" s="28">
        <v>971</v>
      </c>
      <c r="D133" s="382">
        <v>170</v>
      </c>
      <c r="E133" s="366">
        <v>216</v>
      </c>
      <c r="F133" s="193">
        <v>261</v>
      </c>
      <c r="G133" s="304">
        <v>327</v>
      </c>
      <c r="H133" s="304">
        <v>350</v>
      </c>
      <c r="I133" s="360">
        <f t="shared" si="9"/>
        <v>737</v>
      </c>
      <c r="J133" s="304">
        <v>0</v>
      </c>
      <c r="K133" s="304">
        <v>0</v>
      </c>
      <c r="L133" s="304">
        <v>414.7</v>
      </c>
      <c r="M133" s="304">
        <v>0</v>
      </c>
      <c r="N133" s="390">
        <f>M133*1.1</f>
        <v>0</v>
      </c>
      <c r="O133" s="192">
        <f t="shared" si="12"/>
        <v>1298</v>
      </c>
      <c r="P133" s="30">
        <v>150</v>
      </c>
      <c r="Q133" s="28">
        <v>0</v>
      </c>
      <c r="R133" s="28">
        <v>0</v>
      </c>
      <c r="S133" s="281"/>
    </row>
    <row r="134" spans="1:19" ht="12.75">
      <c r="A134" s="28">
        <v>738</v>
      </c>
      <c r="B134" s="29" t="s">
        <v>134</v>
      </c>
      <c r="C134" s="28">
        <v>971</v>
      </c>
      <c r="D134" s="382">
        <v>170</v>
      </c>
      <c r="E134" s="366">
        <v>216</v>
      </c>
      <c r="F134" s="193">
        <v>261</v>
      </c>
      <c r="G134" s="304">
        <v>327</v>
      </c>
      <c r="H134" s="304">
        <v>350</v>
      </c>
      <c r="I134" s="360">
        <f aca="true" t="shared" si="13" ref="I134:I198">A134</f>
        <v>738</v>
      </c>
      <c r="J134" s="304">
        <v>0</v>
      </c>
      <c r="K134" s="304">
        <v>0</v>
      </c>
      <c r="L134" s="304">
        <v>414.7</v>
      </c>
      <c r="M134" s="304">
        <v>0</v>
      </c>
      <c r="N134" s="390">
        <f>M134*1.1</f>
        <v>0</v>
      </c>
      <c r="O134" s="192">
        <f t="shared" si="12"/>
        <v>1298</v>
      </c>
      <c r="P134" s="30">
        <v>17</v>
      </c>
      <c r="Q134" s="28">
        <v>0</v>
      </c>
      <c r="R134" s="28">
        <v>0</v>
      </c>
      <c r="S134" s="281"/>
    </row>
    <row r="135" spans="1:19" ht="12.75">
      <c r="A135" s="28">
        <v>739</v>
      </c>
      <c r="B135" s="29" t="s">
        <v>135</v>
      </c>
      <c r="C135" s="28">
        <v>971</v>
      </c>
      <c r="D135" s="382">
        <v>170</v>
      </c>
      <c r="E135" s="366">
        <v>216</v>
      </c>
      <c r="F135" s="193">
        <v>261</v>
      </c>
      <c r="G135" s="304">
        <v>327</v>
      </c>
      <c r="H135" s="304">
        <v>350</v>
      </c>
      <c r="I135" s="360">
        <f t="shared" si="13"/>
        <v>739</v>
      </c>
      <c r="J135" s="304">
        <v>0</v>
      </c>
      <c r="K135" s="304">
        <v>0</v>
      </c>
      <c r="L135" s="304">
        <v>414.7</v>
      </c>
      <c r="M135" s="304">
        <v>0</v>
      </c>
      <c r="N135" s="390">
        <f>M135*1.1</f>
        <v>0</v>
      </c>
      <c r="O135" s="192">
        <f t="shared" si="12"/>
        <v>1298</v>
      </c>
      <c r="P135" s="30">
        <v>150</v>
      </c>
      <c r="Q135" s="28">
        <v>0</v>
      </c>
      <c r="R135" s="28">
        <v>0</v>
      </c>
      <c r="S135" s="281"/>
    </row>
    <row r="136" spans="1:19" ht="12.75">
      <c r="A136" s="28">
        <v>740</v>
      </c>
      <c r="B136" s="29" t="s">
        <v>136</v>
      </c>
      <c r="C136" s="28">
        <v>971</v>
      </c>
      <c r="D136" s="382">
        <v>170</v>
      </c>
      <c r="E136" s="366">
        <v>216</v>
      </c>
      <c r="F136" s="193">
        <v>261</v>
      </c>
      <c r="G136" s="304">
        <v>327</v>
      </c>
      <c r="H136" s="304">
        <v>350</v>
      </c>
      <c r="I136" s="360">
        <f t="shared" si="13"/>
        <v>740</v>
      </c>
      <c r="J136" s="304">
        <v>0</v>
      </c>
      <c r="K136" s="304">
        <v>0</v>
      </c>
      <c r="L136" s="304">
        <v>414.7</v>
      </c>
      <c r="M136" s="304">
        <v>0</v>
      </c>
      <c r="N136" s="390">
        <f>M136*1.1</f>
        <v>0</v>
      </c>
      <c r="O136" s="192">
        <f t="shared" si="12"/>
        <v>1298</v>
      </c>
      <c r="P136" s="30">
        <v>150</v>
      </c>
      <c r="Q136" s="28">
        <v>0</v>
      </c>
      <c r="R136" s="28">
        <v>0</v>
      </c>
      <c r="S136" s="281"/>
    </row>
    <row r="137" spans="1:19" ht="12.75">
      <c r="A137" s="28">
        <v>741</v>
      </c>
      <c r="B137" s="29" t="s">
        <v>137</v>
      </c>
      <c r="C137" s="28">
        <v>1300</v>
      </c>
      <c r="D137" s="382">
        <v>127</v>
      </c>
      <c r="E137" s="144">
        <v>127</v>
      </c>
      <c r="F137" s="193">
        <f>IF(C137&lt;972,E137+44,E137)</f>
        <v>127</v>
      </c>
      <c r="G137" s="193">
        <v>127</v>
      </c>
      <c r="H137" s="193">
        <v>127</v>
      </c>
      <c r="I137" s="360">
        <f t="shared" si="13"/>
        <v>741</v>
      </c>
      <c r="J137" s="304">
        <v>0</v>
      </c>
      <c r="K137" s="346">
        <v>116</v>
      </c>
      <c r="L137" s="304">
        <v>127</v>
      </c>
      <c r="M137" s="346">
        <v>233</v>
      </c>
      <c r="N137" s="390">
        <f>M137*1.33333</f>
        <v>310.66589</v>
      </c>
      <c r="O137" s="192">
        <f t="shared" si="12"/>
        <v>1660</v>
      </c>
      <c r="P137" s="30">
        <v>0</v>
      </c>
      <c r="Q137" s="28">
        <v>0</v>
      </c>
      <c r="R137" s="28">
        <v>0</v>
      </c>
      <c r="S137" s="281"/>
    </row>
    <row r="138" spans="1:19" ht="12.75">
      <c r="A138" s="28">
        <v>742</v>
      </c>
      <c r="B138" s="29" t="s">
        <v>138</v>
      </c>
      <c r="C138" s="28">
        <v>971</v>
      </c>
      <c r="D138" s="382">
        <v>170</v>
      </c>
      <c r="E138" s="366">
        <v>216</v>
      </c>
      <c r="F138" s="193">
        <v>261</v>
      </c>
      <c r="G138" s="304">
        <v>327</v>
      </c>
      <c r="H138" s="304">
        <v>350</v>
      </c>
      <c r="I138" s="360">
        <f t="shared" si="13"/>
        <v>742</v>
      </c>
      <c r="J138" s="304">
        <v>0</v>
      </c>
      <c r="K138" s="304">
        <v>0</v>
      </c>
      <c r="L138" s="304">
        <v>414.7</v>
      </c>
      <c r="M138" s="304">
        <v>0</v>
      </c>
      <c r="N138" s="390">
        <f>M138*1.1</f>
        <v>0</v>
      </c>
      <c r="O138" s="192">
        <f t="shared" si="12"/>
        <v>1298</v>
      </c>
      <c r="P138" s="30">
        <v>150</v>
      </c>
      <c r="Q138" s="28">
        <v>0</v>
      </c>
      <c r="R138" s="28">
        <v>0</v>
      </c>
      <c r="S138" s="281"/>
    </row>
    <row r="139" spans="1:19" ht="12.75">
      <c r="A139" s="34">
        <v>743</v>
      </c>
      <c r="B139" s="35" t="s">
        <v>139</v>
      </c>
      <c r="C139" s="34">
        <v>971</v>
      </c>
      <c r="D139" s="382">
        <v>170</v>
      </c>
      <c r="E139" s="366">
        <v>216</v>
      </c>
      <c r="F139" s="193">
        <v>261</v>
      </c>
      <c r="G139" s="304">
        <v>327</v>
      </c>
      <c r="H139" s="304">
        <v>350</v>
      </c>
      <c r="I139" s="360">
        <f t="shared" si="13"/>
        <v>743</v>
      </c>
      <c r="J139" s="304">
        <v>0</v>
      </c>
      <c r="K139" s="304">
        <v>0</v>
      </c>
      <c r="L139" s="304">
        <v>414.7</v>
      </c>
      <c r="M139" s="304">
        <v>0</v>
      </c>
      <c r="N139" s="390">
        <f>M139*1.1</f>
        <v>0</v>
      </c>
      <c r="O139" s="192">
        <f t="shared" si="12"/>
        <v>1298</v>
      </c>
      <c r="P139" s="36">
        <v>17</v>
      </c>
      <c r="Q139" s="34">
        <v>0</v>
      </c>
      <c r="R139" s="34">
        <v>0</v>
      </c>
      <c r="S139" s="281"/>
    </row>
    <row r="140" spans="1:19" ht="12.75">
      <c r="A140" s="28">
        <v>744</v>
      </c>
      <c r="B140" s="29" t="s">
        <v>140</v>
      </c>
      <c r="C140" s="28">
        <v>1400</v>
      </c>
      <c r="D140" s="382">
        <v>114</v>
      </c>
      <c r="E140" s="144">
        <v>114</v>
      </c>
      <c r="F140" s="193">
        <f>IF(C140&lt;972,E140+44,E140)</f>
        <v>114</v>
      </c>
      <c r="G140" s="193">
        <v>114</v>
      </c>
      <c r="H140" s="193">
        <v>114</v>
      </c>
      <c r="I140" s="360">
        <f t="shared" si="13"/>
        <v>744</v>
      </c>
      <c r="J140" s="304">
        <v>0</v>
      </c>
      <c r="K140" s="352">
        <v>116</v>
      </c>
      <c r="L140" s="304">
        <v>114</v>
      </c>
      <c r="M140" s="352">
        <v>233</v>
      </c>
      <c r="N140" s="390">
        <f>M140*1.33333</f>
        <v>310.66589</v>
      </c>
      <c r="O140" s="192">
        <f t="shared" si="12"/>
        <v>1747</v>
      </c>
      <c r="P140" s="30">
        <v>0</v>
      </c>
      <c r="Q140" s="28">
        <v>0</v>
      </c>
      <c r="R140" s="28">
        <v>0</v>
      </c>
      <c r="S140" s="281"/>
    </row>
    <row r="141" spans="1:19" ht="12.75">
      <c r="A141" s="28">
        <v>745</v>
      </c>
      <c r="B141" s="29" t="s">
        <v>141</v>
      </c>
      <c r="C141" s="28">
        <v>1450</v>
      </c>
      <c r="D141" s="382">
        <v>107</v>
      </c>
      <c r="E141" s="144">
        <v>107</v>
      </c>
      <c r="F141" s="193">
        <f>IF(C141&lt;972,E141+44,E141)</f>
        <v>107</v>
      </c>
      <c r="G141" s="193">
        <v>107</v>
      </c>
      <c r="H141" s="193">
        <v>107</v>
      </c>
      <c r="I141" s="360">
        <f t="shared" si="13"/>
        <v>745</v>
      </c>
      <c r="J141" s="304">
        <v>0</v>
      </c>
      <c r="K141" s="304">
        <v>0</v>
      </c>
      <c r="L141" s="304">
        <v>107</v>
      </c>
      <c r="M141" s="304">
        <v>0</v>
      </c>
      <c r="N141" s="390">
        <f>M141*1.1</f>
        <v>0</v>
      </c>
      <c r="O141" s="192">
        <f t="shared" si="12"/>
        <v>1557</v>
      </c>
      <c r="P141" s="30">
        <v>0</v>
      </c>
      <c r="Q141" s="28">
        <v>0</v>
      </c>
      <c r="R141" s="28">
        <v>0</v>
      </c>
      <c r="S141" s="281"/>
    </row>
    <row r="142" spans="1:19" ht="12.75">
      <c r="A142" s="28">
        <v>746</v>
      </c>
      <c r="B142" s="29" t="s">
        <v>142</v>
      </c>
      <c r="C142" s="28">
        <v>971</v>
      </c>
      <c r="D142" s="382">
        <v>170</v>
      </c>
      <c r="E142" s="366">
        <v>216</v>
      </c>
      <c r="F142" s="193">
        <v>261</v>
      </c>
      <c r="G142" s="304">
        <v>327</v>
      </c>
      <c r="H142" s="304">
        <v>350</v>
      </c>
      <c r="I142" s="360">
        <f t="shared" si="13"/>
        <v>746</v>
      </c>
      <c r="J142" s="304">
        <v>0</v>
      </c>
      <c r="K142" s="304">
        <v>0</v>
      </c>
      <c r="L142" s="304">
        <v>414.7</v>
      </c>
      <c r="M142" s="304">
        <v>0</v>
      </c>
      <c r="N142" s="390">
        <f>M142*1.1</f>
        <v>0</v>
      </c>
      <c r="O142" s="192">
        <f t="shared" si="12"/>
        <v>1298</v>
      </c>
      <c r="P142" s="30">
        <v>150</v>
      </c>
      <c r="Q142" s="28">
        <v>0</v>
      </c>
      <c r="R142" s="28">
        <v>0</v>
      </c>
      <c r="S142" s="281"/>
    </row>
    <row r="143" spans="1:19" ht="12.75">
      <c r="A143" s="28">
        <v>747</v>
      </c>
      <c r="B143" s="29" t="s">
        <v>143</v>
      </c>
      <c r="C143" s="28">
        <v>971</v>
      </c>
      <c r="D143" s="382">
        <v>170</v>
      </c>
      <c r="E143" s="366">
        <v>216</v>
      </c>
      <c r="F143" s="193">
        <v>261</v>
      </c>
      <c r="G143" s="304">
        <v>327</v>
      </c>
      <c r="H143" s="304">
        <v>350</v>
      </c>
      <c r="I143" s="360">
        <f t="shared" si="13"/>
        <v>747</v>
      </c>
      <c r="J143" s="304">
        <v>0</v>
      </c>
      <c r="K143" s="304">
        <v>0</v>
      </c>
      <c r="L143" s="304">
        <v>414.7</v>
      </c>
      <c r="M143" s="304">
        <v>0</v>
      </c>
      <c r="N143" s="390">
        <f>M143*1.1</f>
        <v>0</v>
      </c>
      <c r="O143" s="192">
        <f t="shared" si="12"/>
        <v>1298</v>
      </c>
      <c r="P143" s="30">
        <v>0</v>
      </c>
      <c r="Q143" s="28">
        <v>0</v>
      </c>
      <c r="R143" s="28">
        <v>0</v>
      </c>
      <c r="S143" s="281"/>
    </row>
    <row r="144" spans="1:19" ht="12.75">
      <c r="A144" s="28">
        <v>748</v>
      </c>
      <c r="B144" s="29" t="s">
        <v>144</v>
      </c>
      <c r="C144" s="28">
        <v>1250</v>
      </c>
      <c r="D144" s="382">
        <v>134</v>
      </c>
      <c r="E144" s="144">
        <v>134</v>
      </c>
      <c r="F144" s="193">
        <f>IF(C144&lt;972,E144+44,E144)</f>
        <v>134</v>
      </c>
      <c r="G144" s="193">
        <v>134</v>
      </c>
      <c r="H144" s="193">
        <v>134</v>
      </c>
      <c r="I144" s="360">
        <f t="shared" si="13"/>
        <v>748</v>
      </c>
      <c r="J144" s="304">
        <v>0</v>
      </c>
      <c r="K144" s="346">
        <v>116</v>
      </c>
      <c r="L144" s="304">
        <v>134</v>
      </c>
      <c r="M144" s="346">
        <v>233</v>
      </c>
      <c r="N144" s="390">
        <f>M144*1.33333</f>
        <v>310.66589</v>
      </c>
      <c r="O144" s="192">
        <f t="shared" si="12"/>
        <v>1617</v>
      </c>
      <c r="P144" s="30">
        <v>0</v>
      </c>
      <c r="Q144" s="28">
        <v>0</v>
      </c>
      <c r="R144" s="28">
        <v>0</v>
      </c>
      <c r="S144" s="281"/>
    </row>
    <row r="145" spans="1:19" s="312" customFormat="1" ht="12.75">
      <c r="A145" s="306">
        <v>749</v>
      </c>
      <c r="B145" s="307" t="s">
        <v>52</v>
      </c>
      <c r="C145" s="306">
        <v>971</v>
      </c>
      <c r="D145" s="383">
        <v>170</v>
      </c>
      <c r="E145" s="367">
        <v>216</v>
      </c>
      <c r="F145" s="193">
        <v>261</v>
      </c>
      <c r="G145" s="304">
        <v>327</v>
      </c>
      <c r="H145" s="304">
        <v>350</v>
      </c>
      <c r="I145" s="361">
        <f t="shared" si="13"/>
        <v>749</v>
      </c>
      <c r="J145" s="308">
        <v>0</v>
      </c>
      <c r="K145" s="308">
        <v>0</v>
      </c>
      <c r="L145" s="304">
        <v>414.7</v>
      </c>
      <c r="M145" s="308">
        <v>0</v>
      </c>
      <c r="N145" s="390">
        <f>M145*1.1</f>
        <v>0</v>
      </c>
      <c r="O145" s="192">
        <f t="shared" si="12"/>
        <v>1298</v>
      </c>
      <c r="P145" s="310">
        <v>0</v>
      </c>
      <c r="Q145" s="306">
        <v>0</v>
      </c>
      <c r="R145" s="306">
        <v>0</v>
      </c>
      <c r="S145" s="311"/>
    </row>
    <row r="146" spans="1:19" ht="12.75">
      <c r="A146" s="28">
        <v>750</v>
      </c>
      <c r="B146" s="29" t="s">
        <v>51</v>
      </c>
      <c r="C146" s="28">
        <v>971</v>
      </c>
      <c r="D146" s="382">
        <v>170</v>
      </c>
      <c r="E146" s="366">
        <v>216</v>
      </c>
      <c r="F146" s="193">
        <v>261</v>
      </c>
      <c r="G146" s="304">
        <v>327</v>
      </c>
      <c r="H146" s="304">
        <v>350</v>
      </c>
      <c r="I146" s="360">
        <f t="shared" si="13"/>
        <v>750</v>
      </c>
      <c r="J146" s="304">
        <v>0</v>
      </c>
      <c r="K146" s="304">
        <v>0</v>
      </c>
      <c r="L146" s="304">
        <v>414.7</v>
      </c>
      <c r="M146" s="304">
        <v>0</v>
      </c>
      <c r="N146" s="390">
        <f>M146*1.1</f>
        <v>0</v>
      </c>
      <c r="O146" s="192">
        <f t="shared" si="12"/>
        <v>1298</v>
      </c>
      <c r="P146" s="30">
        <v>0</v>
      </c>
      <c r="Q146" s="28">
        <v>0</v>
      </c>
      <c r="R146" s="28">
        <v>0</v>
      </c>
      <c r="S146" s="281"/>
    </row>
    <row r="147" spans="1:19" ht="12.75">
      <c r="A147" s="28">
        <v>751</v>
      </c>
      <c r="B147" s="347" t="s">
        <v>424</v>
      </c>
      <c r="C147" s="28">
        <v>1500</v>
      </c>
      <c r="D147" s="382">
        <v>101</v>
      </c>
      <c r="E147" s="144">
        <v>101</v>
      </c>
      <c r="F147" s="193">
        <f>IF(C147&lt;972,E147+44,E147)</f>
        <v>101</v>
      </c>
      <c r="G147" s="193">
        <v>101</v>
      </c>
      <c r="H147" s="193">
        <v>101</v>
      </c>
      <c r="I147" s="360">
        <f t="shared" si="13"/>
        <v>751</v>
      </c>
      <c r="J147" s="304">
        <v>0</v>
      </c>
      <c r="K147" s="346">
        <v>116</v>
      </c>
      <c r="L147" s="304">
        <v>101</v>
      </c>
      <c r="M147" s="346">
        <v>233</v>
      </c>
      <c r="N147" s="390">
        <f>M147*1.33333</f>
        <v>310.66589</v>
      </c>
      <c r="O147" s="192">
        <f t="shared" si="12"/>
        <v>1834</v>
      </c>
      <c r="P147" s="30">
        <v>150</v>
      </c>
      <c r="Q147" s="28">
        <v>0</v>
      </c>
      <c r="R147" s="28">
        <v>0</v>
      </c>
      <c r="S147" s="281"/>
    </row>
    <row r="148" spans="1:19" ht="12.75">
      <c r="A148" s="28">
        <v>752</v>
      </c>
      <c r="B148" s="29" t="s">
        <v>146</v>
      </c>
      <c r="C148" s="28">
        <v>2913</v>
      </c>
      <c r="D148" s="382">
        <v>0</v>
      </c>
      <c r="E148" s="144">
        <v>0</v>
      </c>
      <c r="F148" s="193">
        <f>IF(C148&lt;972,E148+44,E148)</f>
        <v>0</v>
      </c>
      <c r="G148" s="193">
        <v>0</v>
      </c>
      <c r="H148" s="193">
        <v>0</v>
      </c>
      <c r="I148" s="360">
        <f t="shared" si="13"/>
        <v>752</v>
      </c>
      <c r="J148" s="304">
        <v>0</v>
      </c>
      <c r="K148" s="304">
        <v>0</v>
      </c>
      <c r="L148" s="304">
        <v>0</v>
      </c>
      <c r="M148" s="304">
        <v>0</v>
      </c>
      <c r="N148" s="390">
        <f>M148*1.1</f>
        <v>0</v>
      </c>
      <c r="O148" s="192">
        <f t="shared" si="12"/>
        <v>2913</v>
      </c>
      <c r="P148" s="30">
        <v>20</v>
      </c>
      <c r="Q148" s="28">
        <v>0</v>
      </c>
      <c r="R148" s="28">
        <v>0</v>
      </c>
      <c r="S148" s="281"/>
    </row>
    <row r="149" spans="1:19" ht="12.75">
      <c r="A149" s="28">
        <v>753</v>
      </c>
      <c r="B149" s="29" t="s">
        <v>147</v>
      </c>
      <c r="C149" s="28">
        <v>1942</v>
      </c>
      <c r="D149" s="382">
        <v>43</v>
      </c>
      <c r="E149" s="144">
        <v>43</v>
      </c>
      <c r="F149" s="193">
        <f>IF(C149&lt;972,E149+44,E149)</f>
        <v>43</v>
      </c>
      <c r="G149" s="193">
        <v>43</v>
      </c>
      <c r="H149" s="193">
        <v>43</v>
      </c>
      <c r="I149" s="360">
        <f t="shared" si="13"/>
        <v>753</v>
      </c>
      <c r="J149" s="304">
        <v>0</v>
      </c>
      <c r="K149" s="304">
        <v>233</v>
      </c>
      <c r="L149" s="304">
        <v>43</v>
      </c>
      <c r="M149" s="304">
        <v>466</v>
      </c>
      <c r="N149" s="390">
        <f>M149*1.33333</f>
        <v>621.33178</v>
      </c>
      <c r="O149" s="192">
        <f t="shared" si="12"/>
        <v>2451</v>
      </c>
      <c r="P149" s="30">
        <v>150</v>
      </c>
      <c r="Q149" s="28">
        <v>0</v>
      </c>
      <c r="R149" s="28">
        <v>0</v>
      </c>
      <c r="S149" s="281"/>
    </row>
    <row r="150" spans="1:19" ht="12.75">
      <c r="A150" s="28">
        <v>754</v>
      </c>
      <c r="B150" s="29" t="s">
        <v>148</v>
      </c>
      <c r="C150" s="28">
        <v>971</v>
      </c>
      <c r="D150" s="382">
        <v>170</v>
      </c>
      <c r="E150" s="366">
        <v>216</v>
      </c>
      <c r="F150" s="193">
        <v>261</v>
      </c>
      <c r="G150" s="304">
        <v>327</v>
      </c>
      <c r="H150" s="304">
        <v>350</v>
      </c>
      <c r="I150" s="360">
        <f t="shared" si="13"/>
        <v>754</v>
      </c>
      <c r="J150" s="304">
        <v>0</v>
      </c>
      <c r="K150" s="304">
        <v>0</v>
      </c>
      <c r="L150" s="304">
        <v>414.7</v>
      </c>
      <c r="M150" s="304">
        <v>0</v>
      </c>
      <c r="N150" s="390">
        <f>M150*1.1</f>
        <v>0</v>
      </c>
      <c r="O150" s="192">
        <f t="shared" si="12"/>
        <v>1298</v>
      </c>
      <c r="P150" s="30">
        <v>0</v>
      </c>
      <c r="Q150" s="28">
        <v>0</v>
      </c>
      <c r="R150" s="28">
        <v>0</v>
      </c>
      <c r="S150" s="281"/>
    </row>
    <row r="151" spans="1:19" ht="12.75">
      <c r="A151" s="28">
        <v>755</v>
      </c>
      <c r="B151" s="29" t="s">
        <v>149</v>
      </c>
      <c r="C151" s="28">
        <v>971</v>
      </c>
      <c r="D151" s="382">
        <v>170</v>
      </c>
      <c r="E151" s="366">
        <v>216</v>
      </c>
      <c r="F151" s="193">
        <v>261</v>
      </c>
      <c r="G151" s="304">
        <v>327</v>
      </c>
      <c r="H151" s="304">
        <v>350</v>
      </c>
      <c r="I151" s="360">
        <f t="shared" si="13"/>
        <v>755</v>
      </c>
      <c r="J151" s="304">
        <v>0</v>
      </c>
      <c r="K151" s="304">
        <v>0</v>
      </c>
      <c r="L151" s="304">
        <v>414.7</v>
      </c>
      <c r="M151" s="304">
        <v>0</v>
      </c>
      <c r="N151" s="390">
        <f>M151*1.1</f>
        <v>0</v>
      </c>
      <c r="O151" s="192">
        <f t="shared" si="12"/>
        <v>1298</v>
      </c>
      <c r="P151" s="30">
        <v>0</v>
      </c>
      <c r="Q151" s="28">
        <v>0</v>
      </c>
      <c r="R151" s="28">
        <v>0</v>
      </c>
      <c r="S151" s="281"/>
    </row>
    <row r="152" spans="1:19" ht="12.75">
      <c r="A152" s="28">
        <v>756</v>
      </c>
      <c r="B152" s="29" t="s">
        <v>150</v>
      </c>
      <c r="C152" s="28">
        <v>1290</v>
      </c>
      <c r="D152" s="382">
        <v>128</v>
      </c>
      <c r="E152" s="144">
        <v>128</v>
      </c>
      <c r="F152" s="193">
        <f>IF(C152&lt;972,E152+44,E152)</f>
        <v>128</v>
      </c>
      <c r="G152" s="193">
        <v>128</v>
      </c>
      <c r="H152" s="193">
        <v>128</v>
      </c>
      <c r="I152" s="360">
        <f t="shared" si="13"/>
        <v>756</v>
      </c>
      <c r="J152" s="304">
        <v>0</v>
      </c>
      <c r="K152" s="346">
        <v>116</v>
      </c>
      <c r="L152" s="304">
        <v>128</v>
      </c>
      <c r="M152" s="346">
        <v>232</v>
      </c>
      <c r="N152" s="390">
        <f>M152*1.33333</f>
        <v>309.33256</v>
      </c>
      <c r="O152" s="192">
        <f t="shared" si="12"/>
        <v>1650</v>
      </c>
      <c r="P152" s="30">
        <v>0</v>
      </c>
      <c r="Q152" s="28">
        <v>0</v>
      </c>
      <c r="R152" s="28">
        <v>0</v>
      </c>
      <c r="S152" s="281"/>
    </row>
    <row r="153" spans="1:19" ht="12.75">
      <c r="A153" s="28">
        <v>757</v>
      </c>
      <c r="B153" s="29" t="s">
        <v>151</v>
      </c>
      <c r="C153" s="28">
        <v>971</v>
      </c>
      <c r="D153" s="382">
        <v>170</v>
      </c>
      <c r="E153" s="366">
        <v>216</v>
      </c>
      <c r="F153" s="193">
        <v>261</v>
      </c>
      <c r="G153" s="304">
        <v>327</v>
      </c>
      <c r="H153" s="304">
        <v>350</v>
      </c>
      <c r="I153" s="360">
        <f t="shared" si="13"/>
        <v>757</v>
      </c>
      <c r="J153" s="304">
        <v>0</v>
      </c>
      <c r="K153" s="304">
        <v>0</v>
      </c>
      <c r="L153" s="304">
        <v>414.7</v>
      </c>
      <c r="M153" s="304">
        <v>0</v>
      </c>
      <c r="N153" s="390">
        <f>M153*1.1</f>
        <v>0</v>
      </c>
      <c r="O153" s="192">
        <f t="shared" si="12"/>
        <v>1298</v>
      </c>
      <c r="P153" s="30">
        <v>0</v>
      </c>
      <c r="Q153" s="28">
        <v>0</v>
      </c>
      <c r="R153" s="28">
        <v>0</v>
      </c>
      <c r="S153" s="281"/>
    </row>
    <row r="154" spans="1:19" ht="12.75">
      <c r="A154" s="28">
        <v>758</v>
      </c>
      <c r="B154" s="29" t="s">
        <v>152</v>
      </c>
      <c r="C154" s="28">
        <v>971</v>
      </c>
      <c r="D154" s="382">
        <v>170</v>
      </c>
      <c r="E154" s="366">
        <v>216</v>
      </c>
      <c r="F154" s="193">
        <v>261</v>
      </c>
      <c r="G154" s="304">
        <v>327</v>
      </c>
      <c r="H154" s="304">
        <v>350</v>
      </c>
      <c r="I154" s="360">
        <f t="shared" si="13"/>
        <v>758</v>
      </c>
      <c r="J154" s="304">
        <v>0</v>
      </c>
      <c r="K154" s="304">
        <v>0</v>
      </c>
      <c r="L154" s="304">
        <v>414.7</v>
      </c>
      <c r="M154" s="304">
        <v>0</v>
      </c>
      <c r="N154" s="390">
        <f>M154*1.1</f>
        <v>0</v>
      </c>
      <c r="O154" s="192">
        <f t="shared" si="12"/>
        <v>1298</v>
      </c>
      <c r="P154" s="30">
        <v>0</v>
      </c>
      <c r="Q154" s="28">
        <v>0</v>
      </c>
      <c r="R154" s="28">
        <v>0</v>
      </c>
      <c r="S154" s="281"/>
    </row>
    <row r="155" spans="1:19" ht="12.75">
      <c r="A155" s="28">
        <v>759</v>
      </c>
      <c r="B155" s="29" t="s">
        <v>153</v>
      </c>
      <c r="C155" s="28">
        <v>971</v>
      </c>
      <c r="D155" s="382">
        <v>170</v>
      </c>
      <c r="E155" s="366">
        <v>216</v>
      </c>
      <c r="F155" s="193">
        <v>261</v>
      </c>
      <c r="G155" s="304">
        <v>327</v>
      </c>
      <c r="H155" s="304">
        <v>350</v>
      </c>
      <c r="I155" s="360">
        <f t="shared" si="13"/>
        <v>759</v>
      </c>
      <c r="J155" s="304">
        <v>0</v>
      </c>
      <c r="K155" s="304">
        <v>0</v>
      </c>
      <c r="L155" s="304">
        <v>414.7</v>
      </c>
      <c r="M155" s="304">
        <v>0</v>
      </c>
      <c r="N155" s="390">
        <f>M155*1.1</f>
        <v>0</v>
      </c>
      <c r="O155" s="192">
        <f t="shared" si="12"/>
        <v>1298</v>
      </c>
      <c r="P155" s="30">
        <v>150</v>
      </c>
      <c r="Q155" s="28">
        <v>0</v>
      </c>
      <c r="R155" s="28">
        <v>0</v>
      </c>
      <c r="S155" s="281"/>
    </row>
    <row r="156" spans="1:19" ht="12.75">
      <c r="A156" s="28">
        <v>760</v>
      </c>
      <c r="B156" s="29" t="s">
        <v>154</v>
      </c>
      <c r="C156" s="28">
        <v>1400</v>
      </c>
      <c r="D156" s="382">
        <v>114</v>
      </c>
      <c r="E156" s="144">
        <v>114</v>
      </c>
      <c r="F156" s="193">
        <f>IF(C156&lt;972,E156+44,E156)</f>
        <v>114</v>
      </c>
      <c r="G156" s="193">
        <v>114</v>
      </c>
      <c r="H156" s="193">
        <v>114</v>
      </c>
      <c r="I156" s="360">
        <f t="shared" si="13"/>
        <v>760</v>
      </c>
      <c r="J156" s="304">
        <v>0</v>
      </c>
      <c r="K156" s="304">
        <v>0</v>
      </c>
      <c r="L156" s="304">
        <v>114</v>
      </c>
      <c r="M156" s="304">
        <v>0</v>
      </c>
      <c r="N156" s="390">
        <f>M156*1.1</f>
        <v>0</v>
      </c>
      <c r="O156" s="192">
        <f t="shared" si="12"/>
        <v>1514</v>
      </c>
      <c r="P156" s="30">
        <v>0</v>
      </c>
      <c r="Q156" s="28">
        <v>0</v>
      </c>
      <c r="R156" s="28">
        <v>0</v>
      </c>
      <c r="S156" s="281"/>
    </row>
    <row r="157" spans="1:19" ht="12.75">
      <c r="A157" s="28">
        <v>761</v>
      </c>
      <c r="B157" s="29" t="s">
        <v>155</v>
      </c>
      <c r="C157" s="28">
        <v>1700</v>
      </c>
      <c r="D157" s="382">
        <v>75</v>
      </c>
      <c r="E157" s="144">
        <v>75</v>
      </c>
      <c r="F157" s="193">
        <f>IF(C157&lt;972,E157+44,E157)</f>
        <v>75</v>
      </c>
      <c r="G157" s="193">
        <v>75</v>
      </c>
      <c r="H157" s="193">
        <v>75</v>
      </c>
      <c r="I157" s="360">
        <f t="shared" si="13"/>
        <v>761</v>
      </c>
      <c r="J157" s="304">
        <v>0</v>
      </c>
      <c r="K157" s="304">
        <v>136</v>
      </c>
      <c r="L157" s="304">
        <v>75</v>
      </c>
      <c r="M157" s="304">
        <v>272</v>
      </c>
      <c r="N157" s="390">
        <f>M157*1.33333</f>
        <v>362.66576</v>
      </c>
      <c r="O157" s="192">
        <f t="shared" si="12"/>
        <v>2047</v>
      </c>
      <c r="P157" s="30">
        <v>150</v>
      </c>
      <c r="Q157" s="28">
        <v>0</v>
      </c>
      <c r="R157" s="28">
        <v>0</v>
      </c>
      <c r="S157" s="281"/>
    </row>
    <row r="158" spans="1:19" ht="12.75">
      <c r="A158" s="28">
        <v>762</v>
      </c>
      <c r="B158" s="29" t="s">
        <v>156</v>
      </c>
      <c r="C158" s="28">
        <v>971</v>
      </c>
      <c r="D158" s="382">
        <v>170</v>
      </c>
      <c r="E158" s="366">
        <v>216</v>
      </c>
      <c r="F158" s="193">
        <v>261</v>
      </c>
      <c r="G158" s="304">
        <v>327</v>
      </c>
      <c r="H158" s="304">
        <v>350</v>
      </c>
      <c r="I158" s="360">
        <f t="shared" si="13"/>
        <v>762</v>
      </c>
      <c r="J158" s="304">
        <v>0</v>
      </c>
      <c r="K158" s="304">
        <v>0</v>
      </c>
      <c r="L158" s="304">
        <v>414.7</v>
      </c>
      <c r="M158" s="304">
        <v>0</v>
      </c>
      <c r="N158" s="390">
        <f>M158*1.1</f>
        <v>0</v>
      </c>
      <c r="O158" s="192">
        <f t="shared" si="12"/>
        <v>1298</v>
      </c>
      <c r="P158" s="30">
        <v>0</v>
      </c>
      <c r="Q158" s="28">
        <v>0</v>
      </c>
      <c r="R158" s="28">
        <v>0</v>
      </c>
      <c r="S158" s="281"/>
    </row>
    <row r="159" spans="1:19" ht="12.75">
      <c r="A159" s="28">
        <v>763</v>
      </c>
      <c r="B159" s="29" t="s">
        <v>157</v>
      </c>
      <c r="C159" s="28">
        <v>971</v>
      </c>
      <c r="D159" s="382">
        <v>170</v>
      </c>
      <c r="E159" s="366">
        <v>216</v>
      </c>
      <c r="F159" s="193">
        <v>261</v>
      </c>
      <c r="G159" s="304">
        <v>327</v>
      </c>
      <c r="H159" s="304">
        <v>350</v>
      </c>
      <c r="I159" s="360">
        <f t="shared" si="13"/>
        <v>763</v>
      </c>
      <c r="J159" s="304">
        <v>0</v>
      </c>
      <c r="K159" s="304">
        <v>0</v>
      </c>
      <c r="L159" s="304">
        <v>414.7</v>
      </c>
      <c r="M159" s="304">
        <v>0</v>
      </c>
      <c r="N159" s="390">
        <f>M159*1.1</f>
        <v>0</v>
      </c>
      <c r="O159" s="192">
        <f t="shared" si="12"/>
        <v>1298</v>
      </c>
      <c r="P159" s="30">
        <v>0</v>
      </c>
      <c r="Q159" s="28">
        <v>0</v>
      </c>
      <c r="R159" s="28">
        <v>0</v>
      </c>
      <c r="S159" s="281"/>
    </row>
    <row r="160" spans="1:19" ht="12.75">
      <c r="A160" s="28">
        <v>764</v>
      </c>
      <c r="B160" s="29" t="s">
        <v>158</v>
      </c>
      <c r="C160" s="28">
        <v>1500</v>
      </c>
      <c r="D160" s="382">
        <v>101</v>
      </c>
      <c r="E160" s="144">
        <v>101</v>
      </c>
      <c r="F160" s="193">
        <f>IF(C160&lt;972,E160+44,E160)</f>
        <v>101</v>
      </c>
      <c r="G160" s="193">
        <v>101</v>
      </c>
      <c r="H160" s="193">
        <v>101</v>
      </c>
      <c r="I160" s="360">
        <f t="shared" si="13"/>
        <v>764</v>
      </c>
      <c r="J160" s="304">
        <v>0</v>
      </c>
      <c r="K160" s="304">
        <v>0</v>
      </c>
      <c r="L160" s="304">
        <v>101</v>
      </c>
      <c r="M160" s="304">
        <v>0</v>
      </c>
      <c r="N160" s="390">
        <f>M160*1.1</f>
        <v>0</v>
      </c>
      <c r="O160" s="192">
        <f t="shared" si="12"/>
        <v>1601</v>
      </c>
      <c r="P160" s="30">
        <v>150</v>
      </c>
      <c r="Q160" s="28">
        <v>0</v>
      </c>
      <c r="R160" s="28">
        <v>0</v>
      </c>
      <c r="S160" s="281"/>
    </row>
    <row r="161" spans="1:19" ht="12.75">
      <c r="A161" s="28">
        <v>765</v>
      </c>
      <c r="B161" s="29" t="s">
        <v>159</v>
      </c>
      <c r="C161" s="28">
        <v>1500</v>
      </c>
      <c r="D161" s="382">
        <v>101</v>
      </c>
      <c r="E161" s="144">
        <v>101</v>
      </c>
      <c r="F161" s="193">
        <f>IF(C161&lt;972,E161+44,E161)</f>
        <v>101</v>
      </c>
      <c r="G161" s="193">
        <v>101</v>
      </c>
      <c r="H161" s="193">
        <v>101</v>
      </c>
      <c r="I161" s="360">
        <f t="shared" si="13"/>
        <v>765</v>
      </c>
      <c r="J161" s="304">
        <v>0</v>
      </c>
      <c r="K161" s="304">
        <v>0</v>
      </c>
      <c r="L161" s="304">
        <v>101</v>
      </c>
      <c r="M161" s="304">
        <v>0</v>
      </c>
      <c r="N161" s="390">
        <f>M161*1.1</f>
        <v>0</v>
      </c>
      <c r="O161" s="192">
        <f t="shared" si="12"/>
        <v>1601</v>
      </c>
      <c r="P161" s="30">
        <v>150</v>
      </c>
      <c r="Q161" s="28">
        <v>0</v>
      </c>
      <c r="R161" s="28">
        <v>0</v>
      </c>
      <c r="S161" s="281"/>
    </row>
    <row r="162" spans="1:19" ht="12.75">
      <c r="A162" s="28">
        <v>766</v>
      </c>
      <c r="B162" s="29" t="s">
        <v>160</v>
      </c>
      <c r="C162" s="28">
        <v>1942</v>
      </c>
      <c r="D162" s="382">
        <v>43</v>
      </c>
      <c r="E162" s="144">
        <v>43</v>
      </c>
      <c r="F162" s="193">
        <f>IF(C162&lt;972,E162+44,E162)</f>
        <v>43</v>
      </c>
      <c r="G162" s="193">
        <v>43</v>
      </c>
      <c r="H162" s="193">
        <v>43</v>
      </c>
      <c r="I162" s="360">
        <f t="shared" si="13"/>
        <v>766</v>
      </c>
      <c r="J162" s="304">
        <v>0</v>
      </c>
      <c r="K162" s="304">
        <v>233</v>
      </c>
      <c r="L162" s="304">
        <v>43</v>
      </c>
      <c r="M162" s="304">
        <v>466</v>
      </c>
      <c r="N162" s="390">
        <f>M162*1.33333</f>
        <v>621.33178</v>
      </c>
      <c r="O162" s="192">
        <f t="shared" si="12"/>
        <v>2451</v>
      </c>
      <c r="P162" s="30">
        <v>150</v>
      </c>
      <c r="Q162" s="28">
        <v>0</v>
      </c>
      <c r="R162" s="28">
        <v>0</v>
      </c>
      <c r="S162" s="281"/>
    </row>
    <row r="163" spans="1:19" ht="12.75">
      <c r="A163" s="28">
        <v>767</v>
      </c>
      <c r="B163" s="29" t="s">
        <v>161</v>
      </c>
      <c r="C163" s="28">
        <v>1700</v>
      </c>
      <c r="D163" s="382">
        <v>75</v>
      </c>
      <c r="E163" s="144">
        <v>75</v>
      </c>
      <c r="F163" s="193">
        <f>IF(C163&lt;972,E163+44,E163)</f>
        <v>75</v>
      </c>
      <c r="G163" s="193">
        <v>75</v>
      </c>
      <c r="H163" s="193">
        <v>75</v>
      </c>
      <c r="I163" s="360">
        <f t="shared" si="13"/>
        <v>767</v>
      </c>
      <c r="J163" s="304">
        <v>0</v>
      </c>
      <c r="K163" s="346">
        <v>116</v>
      </c>
      <c r="L163" s="304">
        <v>75</v>
      </c>
      <c r="M163" s="346">
        <v>232</v>
      </c>
      <c r="N163" s="390">
        <f>M163*1.33333</f>
        <v>309.33256</v>
      </c>
      <c r="O163" s="192">
        <f t="shared" si="12"/>
        <v>2007</v>
      </c>
      <c r="P163" s="30">
        <v>150</v>
      </c>
      <c r="Q163" s="28">
        <v>0</v>
      </c>
      <c r="R163" s="28">
        <v>0</v>
      </c>
      <c r="S163" s="281"/>
    </row>
    <row r="164" spans="1:19" ht="12.75">
      <c r="A164" s="28">
        <v>768</v>
      </c>
      <c r="B164" s="29" t="s">
        <v>162</v>
      </c>
      <c r="C164" s="28">
        <v>971</v>
      </c>
      <c r="D164" s="382">
        <v>170</v>
      </c>
      <c r="E164" s="366">
        <v>216</v>
      </c>
      <c r="F164" s="193">
        <v>261</v>
      </c>
      <c r="G164" s="304">
        <v>327</v>
      </c>
      <c r="H164" s="304">
        <v>350</v>
      </c>
      <c r="I164" s="360">
        <f t="shared" si="13"/>
        <v>768</v>
      </c>
      <c r="J164" s="304">
        <v>0</v>
      </c>
      <c r="K164" s="304">
        <v>0</v>
      </c>
      <c r="L164" s="304">
        <v>414.7</v>
      </c>
      <c r="M164" s="304">
        <v>0</v>
      </c>
      <c r="N164" s="390">
        <f>M164*1.1</f>
        <v>0</v>
      </c>
      <c r="O164" s="192">
        <f t="shared" si="12"/>
        <v>1298</v>
      </c>
      <c r="P164" s="30">
        <v>150</v>
      </c>
      <c r="Q164" s="28">
        <v>0</v>
      </c>
      <c r="R164" s="28">
        <v>0</v>
      </c>
      <c r="S164" s="281"/>
    </row>
    <row r="165" spans="1:19" ht="12.75">
      <c r="A165" s="28">
        <v>769</v>
      </c>
      <c r="B165" s="29" t="s">
        <v>163</v>
      </c>
      <c r="C165" s="28">
        <v>2913</v>
      </c>
      <c r="D165" s="382">
        <v>0</v>
      </c>
      <c r="E165" s="144">
        <v>0</v>
      </c>
      <c r="F165" s="193">
        <f>IF(C165&lt;972,E165+44,E165)</f>
        <v>0</v>
      </c>
      <c r="G165" s="193">
        <v>0</v>
      </c>
      <c r="H165" s="193">
        <v>0</v>
      </c>
      <c r="I165" s="360">
        <f t="shared" si="13"/>
        <v>769</v>
      </c>
      <c r="J165" s="304">
        <v>0</v>
      </c>
      <c r="K165" s="304">
        <f>D165*0.09</f>
        <v>0</v>
      </c>
      <c r="L165" s="304">
        <v>0</v>
      </c>
      <c r="M165" s="304">
        <v>0</v>
      </c>
      <c r="N165" s="390">
        <f>M165*1.1</f>
        <v>0</v>
      </c>
      <c r="O165" s="192">
        <f t="shared" si="12"/>
        <v>2913</v>
      </c>
      <c r="P165" s="30">
        <v>0</v>
      </c>
      <c r="Q165" s="28">
        <v>0</v>
      </c>
      <c r="R165" s="28">
        <v>0</v>
      </c>
      <c r="S165" s="281"/>
    </row>
    <row r="166" spans="1:19" ht="12.75">
      <c r="A166" s="28">
        <v>770</v>
      </c>
      <c r="B166" s="29" t="s">
        <v>164</v>
      </c>
      <c r="C166" s="28">
        <v>2913</v>
      </c>
      <c r="D166" s="382">
        <v>0</v>
      </c>
      <c r="E166" s="144">
        <v>0</v>
      </c>
      <c r="F166" s="193">
        <f>IF(C166&lt;972,E166+44,E166)</f>
        <v>0</v>
      </c>
      <c r="G166" s="193">
        <v>0</v>
      </c>
      <c r="H166" s="193">
        <v>0</v>
      </c>
      <c r="I166" s="360">
        <f t="shared" si="13"/>
        <v>770</v>
      </c>
      <c r="J166" s="304">
        <v>0</v>
      </c>
      <c r="K166" s="345">
        <v>233</v>
      </c>
      <c r="L166" s="304">
        <v>0</v>
      </c>
      <c r="M166" s="345">
        <v>776</v>
      </c>
      <c r="N166" s="390">
        <f>M166*1.33333</f>
        <v>1034.66408</v>
      </c>
      <c r="O166" s="192">
        <f t="shared" si="12"/>
        <v>3689</v>
      </c>
      <c r="P166" s="30">
        <v>0</v>
      </c>
      <c r="Q166" s="28">
        <v>0</v>
      </c>
      <c r="R166" s="28">
        <v>0</v>
      </c>
      <c r="S166" s="281"/>
    </row>
    <row r="167" spans="1:19" ht="12.75">
      <c r="A167" s="28">
        <v>771</v>
      </c>
      <c r="B167" s="29" t="s">
        <v>165</v>
      </c>
      <c r="C167" s="28">
        <v>971</v>
      </c>
      <c r="D167" s="382">
        <v>170</v>
      </c>
      <c r="E167" s="366">
        <v>216</v>
      </c>
      <c r="F167" s="193">
        <v>261</v>
      </c>
      <c r="G167" s="304">
        <v>327</v>
      </c>
      <c r="H167" s="304">
        <v>350</v>
      </c>
      <c r="I167" s="360">
        <f t="shared" si="13"/>
        <v>771</v>
      </c>
      <c r="J167" s="304">
        <v>0</v>
      </c>
      <c r="K167" s="304">
        <v>0</v>
      </c>
      <c r="L167" s="304">
        <v>414.7</v>
      </c>
      <c r="M167" s="304">
        <v>0</v>
      </c>
      <c r="N167" s="390">
        <f>M167*1.1</f>
        <v>0</v>
      </c>
      <c r="O167" s="192">
        <f t="shared" si="12"/>
        <v>1298</v>
      </c>
      <c r="P167" s="30">
        <v>0</v>
      </c>
      <c r="Q167" s="28">
        <v>0</v>
      </c>
      <c r="R167" s="28">
        <v>620</v>
      </c>
      <c r="S167" s="281"/>
    </row>
    <row r="168" spans="1:19" ht="12.75">
      <c r="A168" s="28">
        <v>772</v>
      </c>
      <c r="B168" s="29" t="s">
        <v>166</v>
      </c>
      <c r="C168" s="28">
        <v>971</v>
      </c>
      <c r="D168" s="382">
        <v>170</v>
      </c>
      <c r="E168" s="366">
        <v>216</v>
      </c>
      <c r="F168" s="193">
        <v>261</v>
      </c>
      <c r="G168" s="304">
        <v>327</v>
      </c>
      <c r="H168" s="304">
        <v>350</v>
      </c>
      <c r="I168" s="360">
        <f t="shared" si="13"/>
        <v>772</v>
      </c>
      <c r="J168" s="304">
        <v>0</v>
      </c>
      <c r="K168" s="304">
        <v>0</v>
      </c>
      <c r="L168" s="304">
        <v>414.7</v>
      </c>
      <c r="M168" s="304">
        <v>0</v>
      </c>
      <c r="N168" s="390">
        <f>M168*1.1</f>
        <v>0</v>
      </c>
      <c r="O168" s="192">
        <f t="shared" si="12"/>
        <v>1298</v>
      </c>
      <c r="P168" s="30">
        <v>0</v>
      </c>
      <c r="Q168" s="28">
        <v>0</v>
      </c>
      <c r="R168" s="28">
        <v>620</v>
      </c>
      <c r="S168" s="281"/>
    </row>
    <row r="169" spans="1:19" ht="12.75">
      <c r="A169" s="28">
        <v>773</v>
      </c>
      <c r="B169" s="29" t="s">
        <v>451</v>
      </c>
      <c r="C169" s="28">
        <v>1942</v>
      </c>
      <c r="D169" s="382">
        <v>43</v>
      </c>
      <c r="E169" s="144">
        <v>43</v>
      </c>
      <c r="F169" s="193">
        <f>IF(C169&lt;972,E169+44,E169)</f>
        <v>43</v>
      </c>
      <c r="G169" s="193">
        <v>43</v>
      </c>
      <c r="H169" s="193">
        <v>43</v>
      </c>
      <c r="I169" s="360">
        <f t="shared" si="13"/>
        <v>773</v>
      </c>
      <c r="J169" s="304">
        <v>0</v>
      </c>
      <c r="K169" s="304">
        <v>233</v>
      </c>
      <c r="L169" s="304">
        <v>43</v>
      </c>
      <c r="M169" s="304">
        <v>466</v>
      </c>
      <c r="N169" s="390">
        <f>M169*1.33333</f>
        <v>621.33178</v>
      </c>
      <c r="O169" s="192">
        <f t="shared" si="12"/>
        <v>2451</v>
      </c>
      <c r="P169" s="30">
        <v>0</v>
      </c>
      <c r="Q169" s="28">
        <v>0</v>
      </c>
      <c r="R169" s="28">
        <v>669</v>
      </c>
      <c r="S169" s="281"/>
    </row>
    <row r="170" spans="1:19" ht="12.75">
      <c r="A170" s="28">
        <v>774</v>
      </c>
      <c r="B170" s="29" t="s">
        <v>450</v>
      </c>
      <c r="C170" s="28">
        <v>1700</v>
      </c>
      <c r="D170" s="382">
        <v>75</v>
      </c>
      <c r="E170" s="144">
        <v>75</v>
      </c>
      <c r="F170" s="193">
        <f>IF(C170&lt;972,E170+44,E170)</f>
        <v>75</v>
      </c>
      <c r="G170" s="193">
        <v>75</v>
      </c>
      <c r="H170" s="193">
        <v>75</v>
      </c>
      <c r="I170" s="360">
        <f t="shared" si="13"/>
        <v>774</v>
      </c>
      <c r="J170" s="304">
        <v>0</v>
      </c>
      <c r="K170" s="304">
        <v>155</v>
      </c>
      <c r="L170" s="304">
        <v>75</v>
      </c>
      <c r="M170" s="304">
        <v>310</v>
      </c>
      <c r="N170" s="390">
        <f>M170*1.33333</f>
        <v>413.3323</v>
      </c>
      <c r="O170" s="192">
        <f t="shared" si="12"/>
        <v>2085</v>
      </c>
      <c r="P170" s="30">
        <v>0</v>
      </c>
      <c r="Q170" s="28">
        <v>0</v>
      </c>
      <c r="R170" s="28">
        <v>657</v>
      </c>
      <c r="S170" s="281"/>
    </row>
    <row r="171" spans="1:19" ht="12.75">
      <c r="A171" s="28">
        <v>775</v>
      </c>
      <c r="B171" s="29" t="s">
        <v>266</v>
      </c>
      <c r="C171" s="28">
        <v>1400</v>
      </c>
      <c r="D171" s="382">
        <v>114</v>
      </c>
      <c r="E171" s="144">
        <v>114</v>
      </c>
      <c r="F171" s="193">
        <f>IF(C171&lt;972,E171+44,E171)</f>
        <v>114</v>
      </c>
      <c r="G171" s="193">
        <v>114</v>
      </c>
      <c r="H171" s="193">
        <v>114</v>
      </c>
      <c r="I171" s="360">
        <f t="shared" si="13"/>
        <v>775</v>
      </c>
      <c r="J171" s="304">
        <v>0</v>
      </c>
      <c r="K171" s="346">
        <v>116</v>
      </c>
      <c r="L171" s="304">
        <v>114</v>
      </c>
      <c r="M171" s="346">
        <v>233</v>
      </c>
      <c r="N171" s="390">
        <f>M171*1.33333</f>
        <v>310.66589</v>
      </c>
      <c r="O171" s="192">
        <f t="shared" si="12"/>
        <v>1747</v>
      </c>
      <c r="P171" s="30">
        <v>150</v>
      </c>
      <c r="Q171" s="28">
        <v>0</v>
      </c>
      <c r="R171" s="28">
        <v>0</v>
      </c>
      <c r="S171" s="281"/>
    </row>
    <row r="172" spans="1:19" ht="12.75">
      <c r="A172" s="28">
        <v>776</v>
      </c>
      <c r="B172" s="29" t="s">
        <v>167</v>
      </c>
      <c r="C172" s="28">
        <v>971</v>
      </c>
      <c r="D172" s="382">
        <v>170</v>
      </c>
      <c r="E172" s="366">
        <v>216</v>
      </c>
      <c r="F172" s="193">
        <v>261</v>
      </c>
      <c r="G172" s="304">
        <v>327</v>
      </c>
      <c r="H172" s="304">
        <v>350</v>
      </c>
      <c r="I172" s="360">
        <f t="shared" si="13"/>
        <v>776</v>
      </c>
      <c r="J172" s="304">
        <v>0</v>
      </c>
      <c r="K172" s="304">
        <v>0</v>
      </c>
      <c r="L172" s="304">
        <v>414.7</v>
      </c>
      <c r="M172" s="304">
        <v>0</v>
      </c>
      <c r="N172" s="390">
        <f>M172*1.1</f>
        <v>0</v>
      </c>
      <c r="O172" s="192">
        <f t="shared" si="12"/>
        <v>1298</v>
      </c>
      <c r="P172" s="30">
        <v>0</v>
      </c>
      <c r="Q172" s="28">
        <v>0</v>
      </c>
      <c r="R172" s="28">
        <v>0</v>
      </c>
      <c r="S172" s="281"/>
    </row>
    <row r="173" spans="1:19" ht="12.75">
      <c r="A173" s="28">
        <v>777</v>
      </c>
      <c r="B173" s="29" t="s">
        <v>168</v>
      </c>
      <c r="C173" s="28">
        <v>971</v>
      </c>
      <c r="D173" s="382">
        <v>170</v>
      </c>
      <c r="E173" s="366">
        <v>216</v>
      </c>
      <c r="F173" s="193">
        <v>261</v>
      </c>
      <c r="G173" s="304">
        <v>327</v>
      </c>
      <c r="H173" s="304">
        <v>350</v>
      </c>
      <c r="I173" s="360">
        <f t="shared" si="13"/>
        <v>777</v>
      </c>
      <c r="J173" s="304">
        <v>0</v>
      </c>
      <c r="K173" s="304">
        <v>0</v>
      </c>
      <c r="L173" s="304">
        <v>414.7</v>
      </c>
      <c r="M173" s="304">
        <v>0</v>
      </c>
      <c r="N173" s="390">
        <f>M173*1.1</f>
        <v>0</v>
      </c>
      <c r="O173" s="192">
        <f t="shared" si="12"/>
        <v>1298</v>
      </c>
      <c r="P173" s="30">
        <v>0</v>
      </c>
      <c r="Q173" s="28">
        <v>0</v>
      </c>
      <c r="R173" s="28">
        <v>155</v>
      </c>
      <c r="S173" s="281"/>
    </row>
    <row r="174" spans="1:19" ht="12.75">
      <c r="A174" s="28">
        <v>778</v>
      </c>
      <c r="B174" s="29" t="s">
        <v>169</v>
      </c>
      <c r="C174" s="28">
        <v>1692</v>
      </c>
      <c r="D174" s="382">
        <v>76</v>
      </c>
      <c r="E174" s="144">
        <v>76</v>
      </c>
      <c r="F174" s="193">
        <f>IF(C174&lt;972,E174+44,E174)</f>
        <v>76</v>
      </c>
      <c r="G174" s="193">
        <v>76</v>
      </c>
      <c r="H174" s="193">
        <v>76</v>
      </c>
      <c r="I174" s="360">
        <f t="shared" si="13"/>
        <v>778</v>
      </c>
      <c r="J174" s="304">
        <v>0</v>
      </c>
      <c r="K174" s="346">
        <v>136</v>
      </c>
      <c r="L174" s="304">
        <v>76</v>
      </c>
      <c r="M174" s="346">
        <v>272</v>
      </c>
      <c r="N174" s="390">
        <f>M174*1.33333</f>
        <v>362.66576</v>
      </c>
      <c r="O174" s="192">
        <f t="shared" si="12"/>
        <v>2040</v>
      </c>
      <c r="P174" s="30">
        <v>17</v>
      </c>
      <c r="Q174" s="28">
        <v>0</v>
      </c>
      <c r="R174" s="28">
        <v>0</v>
      </c>
      <c r="S174" s="281"/>
    </row>
    <row r="175" spans="1:19" ht="12.75">
      <c r="A175" s="28">
        <v>779</v>
      </c>
      <c r="B175" s="31" t="s">
        <v>170</v>
      </c>
      <c r="C175" s="28">
        <v>853</v>
      </c>
      <c r="D175" s="382">
        <v>170</v>
      </c>
      <c r="E175" s="366">
        <v>216</v>
      </c>
      <c r="F175" s="193">
        <v>261</v>
      </c>
      <c r="G175" s="304">
        <v>327</v>
      </c>
      <c r="H175" s="304">
        <v>350</v>
      </c>
      <c r="I175" s="360">
        <f t="shared" si="13"/>
        <v>779</v>
      </c>
      <c r="J175" s="304">
        <v>0</v>
      </c>
      <c r="K175" s="304">
        <v>0</v>
      </c>
      <c r="L175" s="304">
        <v>414.7</v>
      </c>
      <c r="M175" s="304">
        <v>0</v>
      </c>
      <c r="N175" s="390">
        <f>M175*1.1</f>
        <v>0</v>
      </c>
      <c r="O175" s="192">
        <f t="shared" si="12"/>
        <v>1180</v>
      </c>
      <c r="P175" s="30">
        <v>0</v>
      </c>
      <c r="Q175" s="28">
        <v>0</v>
      </c>
      <c r="R175" s="28">
        <v>0</v>
      </c>
      <c r="S175" s="281"/>
    </row>
    <row r="176" spans="1:19" ht="12.75">
      <c r="A176" s="28">
        <v>780</v>
      </c>
      <c r="B176" s="29" t="s">
        <v>171</v>
      </c>
      <c r="C176" s="28">
        <v>3146</v>
      </c>
      <c r="D176" s="382">
        <v>0</v>
      </c>
      <c r="E176" s="144">
        <v>0</v>
      </c>
      <c r="F176" s="193">
        <f>IF(C176&lt;972,E176+44,E176)</f>
        <v>0</v>
      </c>
      <c r="G176" s="193">
        <v>0</v>
      </c>
      <c r="H176" s="193">
        <v>0</v>
      </c>
      <c r="I176" s="360">
        <f t="shared" si="13"/>
        <v>780</v>
      </c>
      <c r="J176" s="304">
        <v>0</v>
      </c>
      <c r="K176" s="304">
        <f>D176*0.09</f>
        <v>0</v>
      </c>
      <c r="L176" s="304">
        <v>0</v>
      </c>
      <c r="M176" s="304">
        <v>0</v>
      </c>
      <c r="N176" s="390">
        <f>M176*1.1</f>
        <v>0</v>
      </c>
      <c r="O176" s="192">
        <f t="shared" si="12"/>
        <v>3146</v>
      </c>
      <c r="P176" s="30">
        <v>0</v>
      </c>
      <c r="Q176" s="28">
        <v>0</v>
      </c>
      <c r="R176" s="28">
        <v>0</v>
      </c>
      <c r="S176" s="281"/>
    </row>
    <row r="177" spans="1:19" ht="12.75">
      <c r="A177" s="28">
        <v>781</v>
      </c>
      <c r="B177" s="29" t="s">
        <v>172</v>
      </c>
      <c r="C177" s="28">
        <v>2288</v>
      </c>
      <c r="D177" s="382">
        <v>0</v>
      </c>
      <c r="E177" s="144">
        <v>0</v>
      </c>
      <c r="F177" s="193">
        <f>IF(C177&lt;972,E177+44,E177)</f>
        <v>0</v>
      </c>
      <c r="G177" s="193">
        <v>0</v>
      </c>
      <c r="H177" s="193">
        <v>0</v>
      </c>
      <c r="I177" s="360">
        <f t="shared" si="13"/>
        <v>781</v>
      </c>
      <c r="J177" s="304">
        <v>0</v>
      </c>
      <c r="K177" s="304">
        <f>D177*0.09</f>
        <v>0</v>
      </c>
      <c r="L177" s="304">
        <v>0</v>
      </c>
      <c r="M177" s="304">
        <v>0</v>
      </c>
      <c r="N177" s="390">
        <f>M177*1.1</f>
        <v>0</v>
      </c>
      <c r="O177" s="192">
        <f t="shared" si="12"/>
        <v>2288</v>
      </c>
      <c r="P177" s="30">
        <v>0</v>
      </c>
      <c r="Q177" s="28">
        <v>0</v>
      </c>
      <c r="R177" s="28">
        <v>0</v>
      </c>
      <c r="S177" s="281"/>
    </row>
    <row r="178" spans="1:19" ht="12.75">
      <c r="A178" s="28">
        <v>783</v>
      </c>
      <c r="B178" s="29" t="s">
        <v>477</v>
      </c>
      <c r="C178" s="28">
        <v>690</v>
      </c>
      <c r="D178" s="382">
        <v>170</v>
      </c>
      <c r="E178" s="366">
        <v>216</v>
      </c>
      <c r="F178" s="193">
        <v>261</v>
      </c>
      <c r="G178" s="304">
        <v>327</v>
      </c>
      <c r="H178" s="304">
        <v>350</v>
      </c>
      <c r="I178" s="360">
        <f t="shared" si="13"/>
        <v>783</v>
      </c>
      <c r="J178" s="304">
        <v>0</v>
      </c>
      <c r="K178" s="304">
        <v>0</v>
      </c>
      <c r="L178" s="304">
        <v>414.7</v>
      </c>
      <c r="M178" s="304">
        <v>0</v>
      </c>
      <c r="N178" s="390">
        <f>M178*1.1</f>
        <v>0</v>
      </c>
      <c r="O178" s="192">
        <f t="shared" si="12"/>
        <v>1017</v>
      </c>
      <c r="P178" s="30">
        <v>0</v>
      </c>
      <c r="Q178" s="28">
        <v>0</v>
      </c>
      <c r="R178" s="28">
        <v>0</v>
      </c>
      <c r="S178" s="281"/>
    </row>
    <row r="179" spans="1:19" ht="12.75">
      <c r="A179" s="28">
        <v>784</v>
      </c>
      <c r="B179" s="347" t="s">
        <v>423</v>
      </c>
      <c r="C179" s="348">
        <v>1600</v>
      </c>
      <c r="D179" s="382">
        <v>88</v>
      </c>
      <c r="E179" s="349">
        <v>88</v>
      </c>
      <c r="F179" s="346">
        <v>88</v>
      </c>
      <c r="G179" s="346">
        <v>88</v>
      </c>
      <c r="H179" s="346">
        <v>88</v>
      </c>
      <c r="I179" s="362">
        <f t="shared" si="13"/>
        <v>784</v>
      </c>
      <c r="J179" s="346">
        <v>0</v>
      </c>
      <c r="K179" s="346">
        <v>116</v>
      </c>
      <c r="L179" s="304">
        <v>88</v>
      </c>
      <c r="M179" s="346">
        <v>233</v>
      </c>
      <c r="N179" s="390">
        <f>M179*1.33333</f>
        <v>310.66589</v>
      </c>
      <c r="O179" s="192">
        <f t="shared" si="12"/>
        <v>1921</v>
      </c>
      <c r="P179" s="30">
        <v>0</v>
      </c>
      <c r="Q179" s="28">
        <v>0</v>
      </c>
      <c r="R179" s="28">
        <v>0</v>
      </c>
      <c r="S179" s="281"/>
    </row>
    <row r="180" spans="1:19" ht="12.75">
      <c r="A180" s="348">
        <v>785</v>
      </c>
      <c r="B180" s="347" t="s">
        <v>420</v>
      </c>
      <c r="C180" s="348">
        <v>1782</v>
      </c>
      <c r="D180" s="382">
        <v>64</v>
      </c>
      <c r="E180" s="349">
        <v>64</v>
      </c>
      <c r="F180" s="346">
        <v>64</v>
      </c>
      <c r="G180" s="346">
        <v>64</v>
      </c>
      <c r="H180" s="346">
        <v>64</v>
      </c>
      <c r="I180" s="362">
        <f t="shared" si="13"/>
        <v>785</v>
      </c>
      <c r="J180" s="346"/>
      <c r="K180" s="346">
        <v>194</v>
      </c>
      <c r="L180" s="304">
        <v>64</v>
      </c>
      <c r="M180" s="346">
        <v>388</v>
      </c>
      <c r="N180" s="390">
        <f>M180*1.33333</f>
        <v>517.33204</v>
      </c>
      <c r="O180" s="192">
        <f t="shared" si="12"/>
        <v>2234</v>
      </c>
      <c r="P180" s="30">
        <v>17</v>
      </c>
      <c r="Q180" s="28">
        <v>0</v>
      </c>
      <c r="R180" s="28">
        <v>0</v>
      </c>
      <c r="S180" s="281"/>
    </row>
    <row r="181" spans="1:19" ht="12.75">
      <c r="A181" s="348">
        <v>787</v>
      </c>
      <c r="B181" s="347" t="s">
        <v>421</v>
      </c>
      <c r="C181" s="348">
        <v>1700</v>
      </c>
      <c r="D181" s="382">
        <v>75</v>
      </c>
      <c r="E181" s="349">
        <v>75</v>
      </c>
      <c r="F181" s="346">
        <v>75</v>
      </c>
      <c r="G181" s="346">
        <v>75</v>
      </c>
      <c r="H181" s="346">
        <v>75</v>
      </c>
      <c r="I181" s="362">
        <f t="shared" si="13"/>
        <v>787</v>
      </c>
      <c r="J181" s="346"/>
      <c r="K181" s="346">
        <v>116</v>
      </c>
      <c r="L181" s="304">
        <v>75</v>
      </c>
      <c r="M181" s="346">
        <v>233</v>
      </c>
      <c r="N181" s="390">
        <f>M181*1.33333</f>
        <v>310.66589</v>
      </c>
      <c r="O181" s="192">
        <f t="shared" si="12"/>
        <v>2008</v>
      </c>
      <c r="P181" s="30">
        <v>17</v>
      </c>
      <c r="Q181" s="28">
        <v>0</v>
      </c>
      <c r="R181" s="28">
        <v>0</v>
      </c>
      <c r="S181" s="281"/>
    </row>
    <row r="182" spans="1:19" ht="12.75">
      <c r="A182" s="28">
        <v>788</v>
      </c>
      <c r="B182" s="29" t="s">
        <v>173</v>
      </c>
      <c r="C182" s="28">
        <v>2000</v>
      </c>
      <c r="D182" s="382">
        <v>36</v>
      </c>
      <c r="E182" s="144">
        <v>36</v>
      </c>
      <c r="F182" s="193">
        <f>IF(C182&lt;972,E182+44,E182)</f>
        <v>36</v>
      </c>
      <c r="G182" s="193">
        <v>36</v>
      </c>
      <c r="H182" s="193">
        <v>36</v>
      </c>
      <c r="I182" s="360">
        <f t="shared" si="13"/>
        <v>788</v>
      </c>
      <c r="J182" s="304">
        <v>0</v>
      </c>
      <c r="K182" s="304">
        <v>0</v>
      </c>
      <c r="L182" s="304">
        <v>36</v>
      </c>
      <c r="M182" s="304">
        <v>0</v>
      </c>
      <c r="N182" s="390">
        <f>M182*1.1</f>
        <v>0</v>
      </c>
      <c r="O182" s="192">
        <f t="shared" si="12"/>
        <v>2036</v>
      </c>
      <c r="P182" s="30">
        <v>0</v>
      </c>
      <c r="Q182" s="28">
        <v>0</v>
      </c>
      <c r="R182" s="28">
        <v>0</v>
      </c>
      <c r="S182" s="281"/>
    </row>
    <row r="183" spans="1:19" ht="12.75">
      <c r="A183" s="28">
        <v>789</v>
      </c>
      <c r="B183" s="29" t="s">
        <v>174</v>
      </c>
      <c r="C183" s="28">
        <v>971</v>
      </c>
      <c r="D183" s="382">
        <v>170</v>
      </c>
      <c r="E183" s="366">
        <v>216</v>
      </c>
      <c r="F183" s="193">
        <v>261</v>
      </c>
      <c r="G183" s="304">
        <v>327</v>
      </c>
      <c r="H183" s="304">
        <v>350</v>
      </c>
      <c r="I183" s="360">
        <f t="shared" si="13"/>
        <v>789</v>
      </c>
      <c r="J183" s="304">
        <v>0</v>
      </c>
      <c r="K183" s="304">
        <v>0</v>
      </c>
      <c r="L183" s="304">
        <v>414.7</v>
      </c>
      <c r="M183" s="304">
        <v>0</v>
      </c>
      <c r="N183" s="390">
        <f>M183*1.1</f>
        <v>0</v>
      </c>
      <c r="O183" s="192">
        <f t="shared" si="12"/>
        <v>1298</v>
      </c>
      <c r="P183" s="30">
        <v>0</v>
      </c>
      <c r="Q183" s="28">
        <v>0</v>
      </c>
      <c r="R183" s="28">
        <v>0</v>
      </c>
      <c r="S183" s="281"/>
    </row>
    <row r="184" spans="1:19" ht="12.75">
      <c r="A184" s="28">
        <v>791</v>
      </c>
      <c r="B184" s="29" t="s">
        <v>175</v>
      </c>
      <c r="C184" s="28">
        <v>2913</v>
      </c>
      <c r="D184" s="382">
        <v>0</v>
      </c>
      <c r="E184" s="144">
        <v>0</v>
      </c>
      <c r="F184" s="193">
        <f aca="true" t="shared" si="14" ref="F184:F190">IF(C184&lt;972,E184+44,E184)</f>
        <v>0</v>
      </c>
      <c r="G184" s="193">
        <v>0</v>
      </c>
      <c r="H184" s="193">
        <v>0</v>
      </c>
      <c r="I184" s="360">
        <f t="shared" si="13"/>
        <v>791</v>
      </c>
      <c r="J184" s="304">
        <v>0</v>
      </c>
      <c r="K184" s="345">
        <v>233</v>
      </c>
      <c r="L184" s="304">
        <v>0</v>
      </c>
      <c r="M184" s="345">
        <v>466</v>
      </c>
      <c r="N184" s="390">
        <v>776</v>
      </c>
      <c r="O184" s="192">
        <f t="shared" si="12"/>
        <v>3379</v>
      </c>
      <c r="P184" s="30">
        <v>17</v>
      </c>
      <c r="Q184" s="28">
        <v>0</v>
      </c>
      <c r="R184" s="28">
        <v>0</v>
      </c>
      <c r="S184" s="281"/>
    </row>
    <row r="185" spans="1:19" ht="12.75">
      <c r="A185" s="28">
        <v>792</v>
      </c>
      <c r="B185" s="29" t="s">
        <v>176</v>
      </c>
      <c r="C185" s="28">
        <v>2913</v>
      </c>
      <c r="D185" s="382">
        <v>0</v>
      </c>
      <c r="E185" s="144">
        <v>0</v>
      </c>
      <c r="F185" s="193">
        <f t="shared" si="14"/>
        <v>0</v>
      </c>
      <c r="G185" s="193">
        <v>0</v>
      </c>
      <c r="H185" s="193">
        <v>0</v>
      </c>
      <c r="I185" s="360">
        <f t="shared" si="13"/>
        <v>792</v>
      </c>
      <c r="J185" s="304">
        <v>0</v>
      </c>
      <c r="K185">
        <v>233</v>
      </c>
      <c r="L185" s="304">
        <v>0</v>
      </c>
      <c r="M185">
        <v>466</v>
      </c>
      <c r="N185" s="390">
        <v>776</v>
      </c>
      <c r="O185" s="192">
        <f t="shared" si="12"/>
        <v>3379</v>
      </c>
      <c r="P185" s="30">
        <v>0</v>
      </c>
      <c r="Q185" s="28">
        <v>0</v>
      </c>
      <c r="R185" s="28">
        <v>0</v>
      </c>
      <c r="S185" s="281"/>
    </row>
    <row r="186" spans="1:19" ht="12.75">
      <c r="A186" s="28">
        <v>793</v>
      </c>
      <c r="B186" s="29" t="s">
        <v>177</v>
      </c>
      <c r="C186" s="28">
        <v>2913</v>
      </c>
      <c r="D186" s="382">
        <v>0</v>
      </c>
      <c r="E186" s="144">
        <v>0</v>
      </c>
      <c r="F186" s="193">
        <f t="shared" si="14"/>
        <v>0</v>
      </c>
      <c r="G186" s="193">
        <v>0</v>
      </c>
      <c r="H186" s="193">
        <v>0</v>
      </c>
      <c r="I186" s="360">
        <f t="shared" si="13"/>
        <v>793</v>
      </c>
      <c r="J186" s="304">
        <v>0</v>
      </c>
      <c r="K186" s="345">
        <v>233</v>
      </c>
      <c r="L186" s="304">
        <v>0</v>
      </c>
      <c r="M186" s="345">
        <v>466</v>
      </c>
      <c r="N186" s="390">
        <v>776</v>
      </c>
      <c r="O186" s="192">
        <f t="shared" si="12"/>
        <v>3379</v>
      </c>
      <c r="P186" s="30">
        <v>0</v>
      </c>
      <c r="Q186" s="28">
        <v>0</v>
      </c>
      <c r="R186" s="28">
        <v>0</v>
      </c>
      <c r="S186" s="281"/>
    </row>
    <row r="187" spans="1:19" ht="12.75">
      <c r="A187" s="28">
        <v>794</v>
      </c>
      <c r="B187" s="29" t="s">
        <v>178</v>
      </c>
      <c r="C187" s="28">
        <v>1840</v>
      </c>
      <c r="D187" s="382">
        <v>57</v>
      </c>
      <c r="E187" s="144">
        <v>57</v>
      </c>
      <c r="F187" s="193">
        <f t="shared" si="14"/>
        <v>57</v>
      </c>
      <c r="G187" s="193">
        <v>57</v>
      </c>
      <c r="H187" s="193">
        <v>57</v>
      </c>
      <c r="I187" s="360">
        <f t="shared" si="13"/>
        <v>794</v>
      </c>
      <c r="J187" s="304">
        <v>0</v>
      </c>
      <c r="K187" s="304">
        <v>175</v>
      </c>
      <c r="L187" s="304">
        <v>57</v>
      </c>
      <c r="M187" s="304">
        <v>349</v>
      </c>
      <c r="N187" s="390">
        <f>M187*1.33333</f>
        <v>465.33216999999996</v>
      </c>
      <c r="O187" s="192">
        <f t="shared" si="12"/>
        <v>2246</v>
      </c>
      <c r="P187" s="30">
        <v>0</v>
      </c>
      <c r="Q187" s="28">
        <v>0</v>
      </c>
      <c r="R187" s="28">
        <v>0</v>
      </c>
      <c r="S187" s="281"/>
    </row>
    <row r="188" spans="1:19" ht="12.75">
      <c r="A188" s="28">
        <v>795</v>
      </c>
      <c r="B188" s="29" t="s">
        <v>179</v>
      </c>
      <c r="C188" s="348">
        <v>1610</v>
      </c>
      <c r="D188" s="382">
        <v>107</v>
      </c>
      <c r="E188" s="349">
        <v>107</v>
      </c>
      <c r="F188" s="346">
        <f t="shared" si="14"/>
        <v>107</v>
      </c>
      <c r="G188" s="346">
        <v>107</v>
      </c>
      <c r="H188" s="346">
        <v>107</v>
      </c>
      <c r="I188" s="362">
        <f t="shared" si="13"/>
        <v>795</v>
      </c>
      <c r="J188" s="346">
        <v>0</v>
      </c>
      <c r="K188" s="346">
        <v>116</v>
      </c>
      <c r="L188" s="304">
        <v>107</v>
      </c>
      <c r="M188" s="346">
        <v>233</v>
      </c>
      <c r="N188" s="390">
        <f>M188*1.33333</f>
        <v>310.66589</v>
      </c>
      <c r="O188" s="192">
        <f t="shared" si="12"/>
        <v>1950</v>
      </c>
      <c r="P188" s="30">
        <v>0</v>
      </c>
      <c r="Q188" s="28">
        <v>0</v>
      </c>
      <c r="R188" s="28">
        <v>0</v>
      </c>
      <c r="S188" s="281"/>
    </row>
    <row r="189" spans="1:19" ht="12.75">
      <c r="A189" s="28">
        <v>796</v>
      </c>
      <c r="B189" s="29" t="s">
        <v>180</v>
      </c>
      <c r="C189" s="28">
        <v>1340</v>
      </c>
      <c r="D189" s="382">
        <v>122</v>
      </c>
      <c r="E189" s="144">
        <v>122</v>
      </c>
      <c r="F189" s="193">
        <f t="shared" si="14"/>
        <v>122</v>
      </c>
      <c r="G189" s="193">
        <v>122</v>
      </c>
      <c r="H189" s="193">
        <v>122</v>
      </c>
      <c r="I189" s="360">
        <f t="shared" si="13"/>
        <v>796</v>
      </c>
      <c r="J189" s="304">
        <v>0</v>
      </c>
      <c r="K189" s="346">
        <v>116</v>
      </c>
      <c r="L189" s="304">
        <v>122</v>
      </c>
      <c r="M189" s="346">
        <v>233</v>
      </c>
      <c r="N189" s="390">
        <f>M189*1.33333</f>
        <v>310.66589</v>
      </c>
      <c r="O189" s="192">
        <f t="shared" si="12"/>
        <v>1695</v>
      </c>
      <c r="P189" s="30">
        <v>0</v>
      </c>
      <c r="Q189" s="28">
        <v>0</v>
      </c>
      <c r="R189" s="28">
        <v>0</v>
      </c>
      <c r="S189" s="281"/>
    </row>
    <row r="190" spans="1:19" ht="12.75">
      <c r="A190" s="28">
        <v>797</v>
      </c>
      <c r="B190" s="29" t="s">
        <v>181</v>
      </c>
      <c r="C190" s="28">
        <v>1170</v>
      </c>
      <c r="D190" s="382">
        <v>144</v>
      </c>
      <c r="E190" s="144">
        <v>144</v>
      </c>
      <c r="F190" s="193">
        <f t="shared" si="14"/>
        <v>144</v>
      </c>
      <c r="G190" s="193">
        <v>144</v>
      </c>
      <c r="H190" s="193">
        <v>144</v>
      </c>
      <c r="I190" s="360">
        <f t="shared" si="13"/>
        <v>797</v>
      </c>
      <c r="J190" s="304">
        <v>0</v>
      </c>
      <c r="K190" s="304">
        <v>0</v>
      </c>
      <c r="L190" s="304">
        <v>144</v>
      </c>
      <c r="M190" s="304">
        <v>0</v>
      </c>
      <c r="N190" s="390">
        <f>M190*1.1</f>
        <v>0</v>
      </c>
      <c r="O190" s="192">
        <f t="shared" si="12"/>
        <v>1314</v>
      </c>
      <c r="P190" s="30">
        <v>0</v>
      </c>
      <c r="Q190" s="28">
        <v>0</v>
      </c>
      <c r="R190" s="28">
        <v>0</v>
      </c>
      <c r="S190" s="281"/>
    </row>
    <row r="191" spans="1:19" ht="12.75">
      <c r="A191" s="28">
        <v>798</v>
      </c>
      <c r="B191" s="29" t="s">
        <v>182</v>
      </c>
      <c r="C191" s="28">
        <v>961</v>
      </c>
      <c r="D191" s="382">
        <v>170</v>
      </c>
      <c r="E191" s="366">
        <v>216</v>
      </c>
      <c r="F191" s="193">
        <v>261</v>
      </c>
      <c r="G191" s="304">
        <v>327</v>
      </c>
      <c r="H191" s="304">
        <v>350</v>
      </c>
      <c r="I191" s="360">
        <f t="shared" si="13"/>
        <v>798</v>
      </c>
      <c r="J191" s="304">
        <v>0</v>
      </c>
      <c r="K191" s="304">
        <v>0</v>
      </c>
      <c r="L191" s="304">
        <v>414.7</v>
      </c>
      <c r="M191" s="304">
        <v>0</v>
      </c>
      <c r="N191" s="390">
        <f>M191*1.1</f>
        <v>0</v>
      </c>
      <c r="O191" s="192">
        <f t="shared" si="12"/>
        <v>1288</v>
      </c>
      <c r="P191" s="30">
        <v>0</v>
      </c>
      <c r="Q191" s="28">
        <v>0</v>
      </c>
      <c r="R191" s="28">
        <v>0</v>
      </c>
      <c r="S191" s="281"/>
    </row>
    <row r="192" spans="1:19" ht="12.75">
      <c r="A192" s="306">
        <v>800</v>
      </c>
      <c r="B192" s="307" t="s">
        <v>445</v>
      </c>
      <c r="C192" s="306">
        <v>1942</v>
      </c>
      <c r="D192" s="382"/>
      <c r="E192" s="366"/>
      <c r="F192" s="193"/>
      <c r="G192" s="304">
        <v>43</v>
      </c>
      <c r="H192" s="304">
        <v>43</v>
      </c>
      <c r="I192" s="360">
        <f t="shared" si="13"/>
        <v>800</v>
      </c>
      <c r="J192" s="304"/>
      <c r="K192" s="304"/>
      <c r="L192" s="304">
        <v>43</v>
      </c>
      <c r="M192" s="304">
        <v>233</v>
      </c>
      <c r="N192" s="390">
        <f>M192*1.33333</f>
        <v>310.66589</v>
      </c>
      <c r="O192" s="192">
        <f t="shared" si="12"/>
        <v>2218</v>
      </c>
      <c r="P192" s="369">
        <v>17</v>
      </c>
      <c r="Q192" s="28">
        <v>0</v>
      </c>
      <c r="R192" s="28">
        <v>0</v>
      </c>
      <c r="S192" s="281"/>
    </row>
    <row r="193" spans="1:19" ht="12.75">
      <c r="A193" s="306">
        <v>801</v>
      </c>
      <c r="B193" s="307" t="s">
        <v>446</v>
      </c>
      <c r="C193" s="306">
        <v>1782</v>
      </c>
      <c r="D193" s="382"/>
      <c r="E193" s="366"/>
      <c r="F193" s="193"/>
      <c r="G193" s="304">
        <v>64</v>
      </c>
      <c r="H193" s="304">
        <v>64</v>
      </c>
      <c r="I193" s="360">
        <f t="shared" si="13"/>
        <v>801</v>
      </c>
      <c r="J193" s="304"/>
      <c r="K193" s="304"/>
      <c r="L193" s="304">
        <v>64</v>
      </c>
      <c r="M193" s="304">
        <v>233</v>
      </c>
      <c r="N193" s="390">
        <f>M193*1.33333</f>
        <v>310.66589</v>
      </c>
      <c r="O193" s="192">
        <f t="shared" si="12"/>
        <v>2079</v>
      </c>
      <c r="P193" s="369">
        <v>17</v>
      </c>
      <c r="Q193" s="28">
        <v>0</v>
      </c>
      <c r="R193" s="28">
        <v>0</v>
      </c>
      <c r="S193" s="281"/>
    </row>
    <row r="194" spans="1:19" ht="12.75">
      <c r="A194" s="306">
        <v>802</v>
      </c>
      <c r="B194" s="307" t="s">
        <v>449</v>
      </c>
      <c r="C194" s="306">
        <v>1700</v>
      </c>
      <c r="D194" s="382"/>
      <c r="E194" s="366"/>
      <c r="F194" s="193"/>
      <c r="G194" s="304">
        <v>75</v>
      </c>
      <c r="H194" s="304">
        <v>75</v>
      </c>
      <c r="I194" s="360">
        <f t="shared" si="13"/>
        <v>802</v>
      </c>
      <c r="J194" s="304"/>
      <c r="K194" s="304"/>
      <c r="L194" s="304">
        <v>75</v>
      </c>
      <c r="M194" s="304">
        <v>233</v>
      </c>
      <c r="N194" s="390">
        <f>M194*1.33333</f>
        <v>310.66589</v>
      </c>
      <c r="O194" s="192">
        <f t="shared" si="12"/>
        <v>2008</v>
      </c>
      <c r="P194" s="369">
        <v>17</v>
      </c>
      <c r="Q194" s="28">
        <v>0</v>
      </c>
      <c r="R194" s="28">
        <v>0</v>
      </c>
      <c r="S194" s="281"/>
    </row>
    <row r="195" spans="1:19" s="312" customFormat="1" ht="12.75">
      <c r="A195" s="306">
        <v>804</v>
      </c>
      <c r="B195" s="307" t="s">
        <v>431</v>
      </c>
      <c r="C195" s="306">
        <v>971</v>
      </c>
      <c r="D195" s="383">
        <v>170</v>
      </c>
      <c r="E195" s="367">
        <v>216</v>
      </c>
      <c r="F195" s="365">
        <v>261</v>
      </c>
      <c r="G195" s="304">
        <v>327</v>
      </c>
      <c r="H195" s="304">
        <v>350</v>
      </c>
      <c r="I195" s="365">
        <f t="shared" si="13"/>
        <v>804</v>
      </c>
      <c r="J195" s="308">
        <v>0</v>
      </c>
      <c r="K195" s="308">
        <v>0</v>
      </c>
      <c r="L195" s="304">
        <v>414.7</v>
      </c>
      <c r="M195" s="309">
        <v>0</v>
      </c>
      <c r="N195" s="390">
        <f>M195*1.1</f>
        <v>0</v>
      </c>
      <c r="O195" s="192">
        <f aca="true" t="shared" si="15" ref="O195:O259">C195+G195+M195</f>
        <v>1298</v>
      </c>
      <c r="P195" s="306">
        <v>0</v>
      </c>
      <c r="Q195" s="306">
        <v>413</v>
      </c>
      <c r="R195" s="311">
        <v>0</v>
      </c>
      <c r="S195" s="311"/>
    </row>
    <row r="196" spans="1:19" s="312" customFormat="1" ht="12.75">
      <c r="A196" s="306">
        <v>807</v>
      </c>
      <c r="B196" s="307" t="s">
        <v>507</v>
      </c>
      <c r="C196" s="306">
        <v>1942</v>
      </c>
      <c r="D196" s="383"/>
      <c r="E196" s="367"/>
      <c r="F196" s="365"/>
      <c r="G196" s="304"/>
      <c r="H196" s="304"/>
      <c r="I196" s="365">
        <f t="shared" si="13"/>
        <v>807</v>
      </c>
      <c r="J196" s="308"/>
      <c r="K196" s="308"/>
      <c r="L196" s="304">
        <v>43</v>
      </c>
      <c r="M196" s="365"/>
      <c r="N196" s="390">
        <v>518</v>
      </c>
      <c r="O196" s="192">
        <v>0</v>
      </c>
      <c r="P196" s="766">
        <v>0</v>
      </c>
      <c r="Q196" s="306">
        <v>0</v>
      </c>
      <c r="R196" s="311">
        <v>0</v>
      </c>
      <c r="S196" s="311">
        <v>0</v>
      </c>
    </row>
    <row r="197" spans="1:19" ht="12.75">
      <c r="A197" s="28">
        <v>808</v>
      </c>
      <c r="B197" s="29" t="s">
        <v>183</v>
      </c>
      <c r="C197" s="28">
        <v>1942</v>
      </c>
      <c r="D197" s="382">
        <v>43</v>
      </c>
      <c r="E197" s="144">
        <v>43</v>
      </c>
      <c r="F197" s="193">
        <f>IF(C197&lt;972,E197+44,E197)</f>
        <v>43</v>
      </c>
      <c r="G197" s="193">
        <v>43</v>
      </c>
      <c r="H197" s="193">
        <v>43</v>
      </c>
      <c r="I197" s="360">
        <f t="shared" si="13"/>
        <v>808</v>
      </c>
      <c r="J197" s="304">
        <v>0</v>
      </c>
      <c r="K197" s="346">
        <v>116</v>
      </c>
      <c r="L197" s="304">
        <v>43</v>
      </c>
      <c r="M197" s="346">
        <v>233</v>
      </c>
      <c r="N197" s="390">
        <f>M197*1.33333</f>
        <v>310.66589</v>
      </c>
      <c r="O197" s="192">
        <f t="shared" si="15"/>
        <v>2218</v>
      </c>
      <c r="P197" s="30">
        <v>0</v>
      </c>
      <c r="Q197" s="28">
        <v>0</v>
      </c>
      <c r="R197" s="28">
        <v>669</v>
      </c>
      <c r="S197" s="281"/>
    </row>
    <row r="198" spans="1:19" ht="12.75">
      <c r="A198" s="28">
        <v>809</v>
      </c>
      <c r="B198" s="29" t="s">
        <v>184</v>
      </c>
      <c r="C198" s="28">
        <v>1782</v>
      </c>
      <c r="D198" s="382">
        <v>64</v>
      </c>
      <c r="E198" s="144">
        <v>64</v>
      </c>
      <c r="F198" s="193">
        <f>IF(C198&lt;972,E198+44,E198)</f>
        <v>64</v>
      </c>
      <c r="G198" s="193">
        <v>64</v>
      </c>
      <c r="H198" s="193">
        <v>64</v>
      </c>
      <c r="I198" s="360">
        <f t="shared" si="13"/>
        <v>809</v>
      </c>
      <c r="J198" s="304">
        <v>0</v>
      </c>
      <c r="K198" s="346">
        <v>116</v>
      </c>
      <c r="L198" s="304">
        <v>64</v>
      </c>
      <c r="M198" s="346">
        <v>233</v>
      </c>
      <c r="N198" s="390">
        <f>M198*1.33333</f>
        <v>310.66589</v>
      </c>
      <c r="O198" s="192">
        <f t="shared" si="15"/>
        <v>2079</v>
      </c>
      <c r="P198" s="30">
        <v>0</v>
      </c>
      <c r="Q198" s="28">
        <v>0</v>
      </c>
      <c r="R198" s="28">
        <v>669</v>
      </c>
      <c r="S198" s="281"/>
    </row>
    <row r="199" spans="1:19" ht="12.75">
      <c r="A199" s="28">
        <v>810</v>
      </c>
      <c r="B199" s="29" t="s">
        <v>185</v>
      </c>
      <c r="C199" s="28">
        <v>1692</v>
      </c>
      <c r="D199" s="382">
        <v>76</v>
      </c>
      <c r="E199" s="144">
        <v>76</v>
      </c>
      <c r="F199" s="193">
        <f>IF(C199&lt;972,E199+44,E199)</f>
        <v>76</v>
      </c>
      <c r="G199" s="193">
        <v>76</v>
      </c>
      <c r="H199" s="193">
        <v>76</v>
      </c>
      <c r="I199" s="360">
        <f aca="true" t="shared" si="16" ref="I199:I262">A199</f>
        <v>810</v>
      </c>
      <c r="J199" s="304">
        <v>0</v>
      </c>
      <c r="K199" s="346">
        <v>116</v>
      </c>
      <c r="L199" s="304">
        <v>76</v>
      </c>
      <c r="M199" s="346">
        <v>233</v>
      </c>
      <c r="N199" s="390">
        <f>M199*1.33333</f>
        <v>310.66589</v>
      </c>
      <c r="O199" s="192">
        <f t="shared" si="15"/>
        <v>2001</v>
      </c>
      <c r="P199" s="30">
        <v>0</v>
      </c>
      <c r="Q199" s="28">
        <v>0</v>
      </c>
      <c r="R199" s="28">
        <v>663</v>
      </c>
      <c r="S199" s="281"/>
    </row>
    <row r="200" spans="1:19" ht="12.75">
      <c r="A200" s="28">
        <v>811</v>
      </c>
      <c r="B200" s="29" t="s">
        <v>186</v>
      </c>
      <c r="C200" s="28">
        <v>1592</v>
      </c>
      <c r="D200" s="382">
        <v>89</v>
      </c>
      <c r="E200" s="144">
        <v>89</v>
      </c>
      <c r="F200" s="193">
        <f>IF(C200&lt;972,E200+44,E200)</f>
        <v>89</v>
      </c>
      <c r="G200" s="193">
        <v>89</v>
      </c>
      <c r="H200" s="193">
        <v>89</v>
      </c>
      <c r="I200" s="360">
        <f t="shared" si="16"/>
        <v>811</v>
      </c>
      <c r="J200" s="304">
        <v>0</v>
      </c>
      <c r="K200" s="346">
        <v>116</v>
      </c>
      <c r="L200" s="304">
        <v>89</v>
      </c>
      <c r="M200" s="346">
        <v>233</v>
      </c>
      <c r="N200" s="390">
        <f>M200*1.33333</f>
        <v>310.66589</v>
      </c>
      <c r="O200" s="192">
        <f t="shared" si="15"/>
        <v>1914</v>
      </c>
      <c r="P200" s="30">
        <v>0</v>
      </c>
      <c r="Q200" s="28">
        <v>0</v>
      </c>
      <c r="R200" s="28">
        <v>657</v>
      </c>
      <c r="S200" s="281"/>
    </row>
    <row r="201" spans="1:19" ht="12.75">
      <c r="A201" s="28">
        <v>812</v>
      </c>
      <c r="B201" s="29" t="s">
        <v>187</v>
      </c>
      <c r="C201" s="28">
        <v>1600</v>
      </c>
      <c r="D201" s="382">
        <v>88</v>
      </c>
      <c r="E201" s="144">
        <v>88</v>
      </c>
      <c r="F201" s="193">
        <f>IF(C201&lt;972,E201+44,E201)</f>
        <v>88</v>
      </c>
      <c r="G201" s="193">
        <v>88</v>
      </c>
      <c r="H201" s="193">
        <v>88</v>
      </c>
      <c r="I201" s="360">
        <f t="shared" si="16"/>
        <v>812</v>
      </c>
      <c r="J201" s="304">
        <v>0</v>
      </c>
      <c r="K201" s="346">
        <v>116</v>
      </c>
      <c r="L201" s="304">
        <v>88</v>
      </c>
      <c r="M201" s="346">
        <v>233</v>
      </c>
      <c r="N201" s="390">
        <f>M201*1.33333</f>
        <v>310.66589</v>
      </c>
      <c r="O201" s="192">
        <f t="shared" si="15"/>
        <v>1921</v>
      </c>
      <c r="P201" s="30">
        <v>0</v>
      </c>
      <c r="Q201" s="28">
        <v>0</v>
      </c>
      <c r="R201" s="28">
        <v>657</v>
      </c>
      <c r="S201" s="281"/>
    </row>
    <row r="202" spans="1:19" ht="12.75">
      <c r="A202" s="28">
        <v>813</v>
      </c>
      <c r="B202" s="29" t="s">
        <v>188</v>
      </c>
      <c r="C202" s="28">
        <v>971</v>
      </c>
      <c r="D202" s="382">
        <v>170</v>
      </c>
      <c r="E202" s="144">
        <v>170</v>
      </c>
      <c r="F202" s="193">
        <v>170</v>
      </c>
      <c r="G202" s="304">
        <v>214</v>
      </c>
      <c r="H202" s="304">
        <v>214</v>
      </c>
      <c r="I202" s="360">
        <f t="shared" si="16"/>
        <v>813</v>
      </c>
      <c r="J202" s="304">
        <v>0</v>
      </c>
      <c r="K202" s="304">
        <v>0</v>
      </c>
      <c r="L202" s="304">
        <v>214</v>
      </c>
      <c r="M202" s="304">
        <v>0</v>
      </c>
      <c r="N202" s="390">
        <f>M202*1.1</f>
        <v>0</v>
      </c>
      <c r="O202" s="192">
        <f t="shared" si="15"/>
        <v>1185</v>
      </c>
      <c r="P202" s="30">
        <v>0</v>
      </c>
      <c r="Q202" s="28">
        <v>0</v>
      </c>
      <c r="R202" s="28">
        <v>620</v>
      </c>
      <c r="S202" s="281"/>
    </row>
    <row r="203" spans="1:19" ht="12.75">
      <c r="A203" s="28">
        <v>814</v>
      </c>
      <c r="B203" s="29" t="s">
        <v>189</v>
      </c>
      <c r="C203" s="28">
        <v>971</v>
      </c>
      <c r="D203" s="382">
        <v>170</v>
      </c>
      <c r="E203" s="144">
        <v>170</v>
      </c>
      <c r="F203" s="193">
        <v>170</v>
      </c>
      <c r="G203" s="304">
        <v>214</v>
      </c>
      <c r="H203" s="304">
        <v>214</v>
      </c>
      <c r="I203" s="360">
        <f t="shared" si="16"/>
        <v>814</v>
      </c>
      <c r="J203" s="304">
        <v>0</v>
      </c>
      <c r="K203" s="304">
        <v>0</v>
      </c>
      <c r="L203" s="304">
        <v>214</v>
      </c>
      <c r="M203" s="304">
        <v>0</v>
      </c>
      <c r="N203" s="390">
        <f>M203*1.1</f>
        <v>0</v>
      </c>
      <c r="O203" s="192">
        <f t="shared" si="15"/>
        <v>1185</v>
      </c>
      <c r="P203" s="30">
        <v>0</v>
      </c>
      <c r="Q203" s="28">
        <v>0</v>
      </c>
      <c r="R203" s="28">
        <v>155</v>
      </c>
      <c r="S203" s="281"/>
    </row>
    <row r="204" spans="1:19" ht="12.75">
      <c r="A204" s="28">
        <v>815</v>
      </c>
      <c r="B204" s="29" t="s">
        <v>190</v>
      </c>
      <c r="C204" s="28">
        <v>971</v>
      </c>
      <c r="D204" s="382">
        <v>170</v>
      </c>
      <c r="E204" s="144">
        <v>170</v>
      </c>
      <c r="F204" s="193">
        <v>170</v>
      </c>
      <c r="G204" s="304">
        <v>214</v>
      </c>
      <c r="H204" s="304">
        <v>214</v>
      </c>
      <c r="I204" s="360">
        <f t="shared" si="16"/>
        <v>815</v>
      </c>
      <c r="J204" s="304">
        <v>0</v>
      </c>
      <c r="K204" s="304">
        <v>0</v>
      </c>
      <c r="L204" s="304">
        <v>214</v>
      </c>
      <c r="M204" s="304">
        <v>0</v>
      </c>
      <c r="N204" s="390">
        <f>M204*1.1</f>
        <v>0</v>
      </c>
      <c r="O204" s="192">
        <f t="shared" si="15"/>
        <v>1185</v>
      </c>
      <c r="P204" s="30">
        <v>17</v>
      </c>
      <c r="Q204" s="28">
        <v>0</v>
      </c>
      <c r="R204" s="28">
        <v>0</v>
      </c>
      <c r="S204" s="281"/>
    </row>
    <row r="205" spans="1:19" ht="12.75">
      <c r="A205" s="28">
        <v>816</v>
      </c>
      <c r="B205" s="29" t="s">
        <v>191</v>
      </c>
      <c r="C205" s="28">
        <v>1600</v>
      </c>
      <c r="D205" s="382">
        <v>88</v>
      </c>
      <c r="E205" s="144">
        <v>88</v>
      </c>
      <c r="F205" s="193">
        <f>IF(C205&lt;972,E205+44,E205)</f>
        <v>88</v>
      </c>
      <c r="G205" s="193">
        <v>88</v>
      </c>
      <c r="H205" s="193">
        <v>88</v>
      </c>
      <c r="I205" s="360">
        <f t="shared" si="16"/>
        <v>816</v>
      </c>
      <c r="J205" s="304">
        <v>0</v>
      </c>
      <c r="K205" s="346">
        <v>116</v>
      </c>
      <c r="L205" s="304">
        <v>88</v>
      </c>
      <c r="M205" s="346">
        <v>233</v>
      </c>
      <c r="N205" s="390">
        <f>M205*1.33333</f>
        <v>310.66589</v>
      </c>
      <c r="O205" s="192">
        <f t="shared" si="15"/>
        <v>1921</v>
      </c>
      <c r="P205" s="30">
        <v>17</v>
      </c>
      <c r="Q205" s="28">
        <v>0</v>
      </c>
      <c r="R205" s="28">
        <v>0</v>
      </c>
      <c r="S205" s="281"/>
    </row>
    <row r="206" spans="1:19" ht="12.75">
      <c r="A206" s="28">
        <v>817</v>
      </c>
      <c r="B206" s="29" t="s">
        <v>192</v>
      </c>
      <c r="C206" s="28">
        <v>1782</v>
      </c>
      <c r="D206" s="382">
        <v>64</v>
      </c>
      <c r="E206" s="144">
        <v>64</v>
      </c>
      <c r="F206" s="193">
        <f>IF(C206&lt;972,E206+44,E206)</f>
        <v>64</v>
      </c>
      <c r="G206" s="193">
        <v>64</v>
      </c>
      <c r="H206" s="193">
        <v>64</v>
      </c>
      <c r="I206" s="360">
        <f t="shared" si="16"/>
        <v>817</v>
      </c>
      <c r="J206" s="304">
        <v>0</v>
      </c>
      <c r="K206" s="304">
        <v>175</v>
      </c>
      <c r="L206" s="304">
        <v>64</v>
      </c>
      <c r="M206" s="304">
        <v>349</v>
      </c>
      <c r="N206" s="390">
        <f>M206*1.33333</f>
        <v>465.33216999999996</v>
      </c>
      <c r="O206" s="192">
        <f t="shared" si="15"/>
        <v>2195</v>
      </c>
      <c r="P206" s="30">
        <v>0</v>
      </c>
      <c r="Q206" s="28">
        <v>0</v>
      </c>
      <c r="R206" s="28">
        <v>839</v>
      </c>
      <c r="S206" s="281"/>
    </row>
    <row r="207" spans="1:19" ht="12.75">
      <c r="A207" s="28">
        <v>818</v>
      </c>
      <c r="B207" s="29" t="s">
        <v>193</v>
      </c>
      <c r="C207" s="28">
        <v>971</v>
      </c>
      <c r="D207" s="382">
        <v>170</v>
      </c>
      <c r="E207" s="144">
        <v>170</v>
      </c>
      <c r="F207" s="193">
        <v>170</v>
      </c>
      <c r="G207" s="304">
        <v>214</v>
      </c>
      <c r="H207" s="304">
        <v>214</v>
      </c>
      <c r="I207" s="360">
        <f t="shared" si="16"/>
        <v>818</v>
      </c>
      <c r="J207" s="304">
        <v>0</v>
      </c>
      <c r="K207" s="304">
        <v>0</v>
      </c>
      <c r="L207" s="304">
        <v>214</v>
      </c>
      <c r="M207" s="304">
        <v>0</v>
      </c>
      <c r="N207" s="390">
        <f>M207*1.1</f>
        <v>0</v>
      </c>
      <c r="O207" s="192">
        <f t="shared" si="15"/>
        <v>1185</v>
      </c>
      <c r="P207" s="30">
        <v>0</v>
      </c>
      <c r="Q207" s="28">
        <v>0</v>
      </c>
      <c r="R207" s="28">
        <v>659</v>
      </c>
      <c r="S207" s="281"/>
    </row>
    <row r="208" spans="1:19" ht="12.75">
      <c r="A208" s="28">
        <v>819</v>
      </c>
      <c r="B208" s="29" t="s">
        <v>194</v>
      </c>
      <c r="C208" s="28">
        <v>971</v>
      </c>
      <c r="D208" s="382">
        <v>170</v>
      </c>
      <c r="E208" s="144">
        <v>170</v>
      </c>
      <c r="F208" s="193">
        <v>170</v>
      </c>
      <c r="G208" s="304">
        <v>214</v>
      </c>
      <c r="H208" s="304">
        <v>214</v>
      </c>
      <c r="I208" s="360">
        <f t="shared" si="16"/>
        <v>819</v>
      </c>
      <c r="J208" s="304">
        <v>0</v>
      </c>
      <c r="K208" s="304">
        <v>0</v>
      </c>
      <c r="L208" s="304">
        <v>214</v>
      </c>
      <c r="M208" s="304">
        <v>0</v>
      </c>
      <c r="N208" s="390">
        <f>M208*1.1</f>
        <v>0</v>
      </c>
      <c r="O208" s="192">
        <f t="shared" si="15"/>
        <v>1185</v>
      </c>
      <c r="P208" s="30">
        <v>0</v>
      </c>
      <c r="Q208" s="28">
        <v>0</v>
      </c>
      <c r="R208" s="28">
        <v>155</v>
      </c>
      <c r="S208" s="281"/>
    </row>
    <row r="209" spans="1:19" ht="12.75">
      <c r="A209" s="28">
        <v>820</v>
      </c>
      <c r="B209" s="29" t="s">
        <v>195</v>
      </c>
      <c r="C209" s="28">
        <v>1692</v>
      </c>
      <c r="D209" s="382">
        <v>76</v>
      </c>
      <c r="E209" s="144">
        <v>76</v>
      </c>
      <c r="F209" s="193">
        <f>IF(C209&lt;972,E209+44,E209)</f>
        <v>76</v>
      </c>
      <c r="G209" s="193">
        <v>76</v>
      </c>
      <c r="H209" s="193">
        <v>76</v>
      </c>
      <c r="I209" s="360">
        <f t="shared" si="16"/>
        <v>820</v>
      </c>
      <c r="J209" s="304">
        <v>0</v>
      </c>
      <c r="K209" s="346">
        <v>136</v>
      </c>
      <c r="L209" s="304">
        <v>76</v>
      </c>
      <c r="M209" s="346">
        <v>272</v>
      </c>
      <c r="N209" s="390">
        <f>M209*1.33333</f>
        <v>362.66576</v>
      </c>
      <c r="O209" s="192">
        <f t="shared" si="15"/>
        <v>2040</v>
      </c>
      <c r="P209" s="30">
        <v>0</v>
      </c>
      <c r="Q209" s="28">
        <v>0</v>
      </c>
      <c r="R209" s="28">
        <v>839</v>
      </c>
      <c r="S209" s="281"/>
    </row>
    <row r="210" spans="1:19" ht="12.75">
      <c r="A210" s="28">
        <v>821</v>
      </c>
      <c r="B210" s="29" t="s">
        <v>196</v>
      </c>
      <c r="C210" s="28">
        <v>1592</v>
      </c>
      <c r="D210" s="382">
        <v>89</v>
      </c>
      <c r="E210" s="144">
        <v>89</v>
      </c>
      <c r="F210" s="193">
        <f>IF(C210&lt;972,E210+44,E210)</f>
        <v>89</v>
      </c>
      <c r="G210" s="193">
        <v>89</v>
      </c>
      <c r="H210" s="193">
        <v>89</v>
      </c>
      <c r="I210" s="360">
        <f t="shared" si="16"/>
        <v>821</v>
      </c>
      <c r="J210" s="304">
        <v>0</v>
      </c>
      <c r="K210" s="346">
        <v>116</v>
      </c>
      <c r="L210" s="304">
        <v>89</v>
      </c>
      <c r="M210" s="346">
        <v>233</v>
      </c>
      <c r="N210" s="390">
        <f>M210*1.33333</f>
        <v>310.66589</v>
      </c>
      <c r="O210" s="192">
        <f t="shared" si="15"/>
        <v>1914</v>
      </c>
      <c r="P210" s="30">
        <v>0</v>
      </c>
      <c r="Q210" s="28">
        <v>0</v>
      </c>
      <c r="R210" s="28">
        <v>839</v>
      </c>
      <c r="S210" s="281"/>
    </row>
    <row r="211" spans="1:19" ht="12.75">
      <c r="A211" s="28">
        <v>822</v>
      </c>
      <c r="B211" s="29" t="s">
        <v>197</v>
      </c>
      <c r="C211" s="28">
        <v>971</v>
      </c>
      <c r="D211" s="382">
        <v>170</v>
      </c>
      <c r="E211" s="366">
        <v>216</v>
      </c>
      <c r="F211" s="193">
        <v>261</v>
      </c>
      <c r="G211" s="304">
        <v>327</v>
      </c>
      <c r="H211" s="304">
        <v>350</v>
      </c>
      <c r="I211" s="360">
        <f t="shared" si="16"/>
        <v>822</v>
      </c>
      <c r="J211" s="304">
        <v>0</v>
      </c>
      <c r="K211" s="304">
        <v>0</v>
      </c>
      <c r="L211" s="304">
        <v>414.7</v>
      </c>
      <c r="M211" s="304">
        <v>0</v>
      </c>
      <c r="N211" s="390">
        <f>M211*1.1</f>
        <v>0</v>
      </c>
      <c r="O211" s="192">
        <f t="shared" si="15"/>
        <v>1298</v>
      </c>
      <c r="P211" s="30">
        <v>0</v>
      </c>
      <c r="Q211" s="28">
        <v>0</v>
      </c>
      <c r="R211" s="28">
        <v>155</v>
      </c>
      <c r="S211" s="281"/>
    </row>
    <row r="212" spans="1:19" ht="12.75">
      <c r="A212" s="28">
        <v>823</v>
      </c>
      <c r="B212" s="29" t="s">
        <v>198</v>
      </c>
      <c r="C212" s="28">
        <v>1700</v>
      </c>
      <c r="D212" s="382">
        <v>75</v>
      </c>
      <c r="E212" s="144">
        <v>75</v>
      </c>
      <c r="F212" s="193">
        <f>IF(C212&lt;972,E212+44,E212)</f>
        <v>75</v>
      </c>
      <c r="G212" s="193">
        <v>75</v>
      </c>
      <c r="H212" s="193">
        <v>75</v>
      </c>
      <c r="I212" s="360">
        <f t="shared" si="16"/>
        <v>823</v>
      </c>
      <c r="J212" s="304">
        <v>0</v>
      </c>
      <c r="K212" s="346">
        <v>116</v>
      </c>
      <c r="L212" s="304">
        <v>75</v>
      </c>
      <c r="M212" s="346">
        <v>233</v>
      </c>
      <c r="N212" s="390">
        <f>M212*1.33333</f>
        <v>310.66589</v>
      </c>
      <c r="O212" s="192">
        <f t="shared" si="15"/>
        <v>2008</v>
      </c>
      <c r="P212" s="30">
        <v>0</v>
      </c>
      <c r="Q212" s="28">
        <v>0</v>
      </c>
      <c r="R212" s="28">
        <v>657</v>
      </c>
      <c r="S212" s="281"/>
    </row>
    <row r="213" spans="1:19" ht="12.75">
      <c r="A213" s="28">
        <v>824</v>
      </c>
      <c r="B213" s="29" t="s">
        <v>199</v>
      </c>
      <c r="C213" s="28">
        <v>1400</v>
      </c>
      <c r="D213" s="382">
        <v>114</v>
      </c>
      <c r="E213" s="144">
        <v>114</v>
      </c>
      <c r="F213" s="193">
        <f>IF(C213&lt;972,E213+44,E213)</f>
        <v>114</v>
      </c>
      <c r="G213" s="193">
        <v>114</v>
      </c>
      <c r="H213" s="193">
        <v>114</v>
      </c>
      <c r="I213" s="360">
        <f t="shared" si="16"/>
        <v>824</v>
      </c>
      <c r="J213" s="304">
        <v>0</v>
      </c>
      <c r="K213" s="346">
        <v>116</v>
      </c>
      <c r="L213" s="304">
        <v>114</v>
      </c>
      <c r="M213" s="346">
        <v>233</v>
      </c>
      <c r="N213" s="390">
        <f>M213*1.33333</f>
        <v>310.66589</v>
      </c>
      <c r="O213" s="192">
        <f t="shared" si="15"/>
        <v>1747</v>
      </c>
      <c r="P213" s="30">
        <v>0</v>
      </c>
      <c r="Q213" s="28">
        <v>0</v>
      </c>
      <c r="R213" s="28">
        <v>657</v>
      </c>
      <c r="S213" s="281"/>
    </row>
    <row r="214" spans="1:19" ht="12.75">
      <c r="A214" s="28">
        <v>825</v>
      </c>
      <c r="B214" s="29" t="s">
        <v>200</v>
      </c>
      <c r="C214" s="28">
        <v>1300</v>
      </c>
      <c r="D214" s="382">
        <v>127</v>
      </c>
      <c r="E214" s="144">
        <v>127</v>
      </c>
      <c r="F214" s="193">
        <f>IF(C214&lt;972,E214+44,E214)</f>
        <v>127</v>
      </c>
      <c r="G214" s="193">
        <v>127</v>
      </c>
      <c r="H214" s="193">
        <v>127</v>
      </c>
      <c r="I214" s="360">
        <f t="shared" si="16"/>
        <v>825</v>
      </c>
      <c r="J214" s="304">
        <v>0</v>
      </c>
      <c r="K214" s="346">
        <v>116</v>
      </c>
      <c r="L214" s="304">
        <v>127</v>
      </c>
      <c r="M214" s="346">
        <v>233</v>
      </c>
      <c r="N214" s="390">
        <f>M214*1.33333</f>
        <v>310.66589</v>
      </c>
      <c r="O214" s="192">
        <f t="shared" si="15"/>
        <v>1660</v>
      </c>
      <c r="P214" s="30">
        <v>0</v>
      </c>
      <c r="Q214" s="28">
        <v>0</v>
      </c>
      <c r="R214" s="28">
        <v>657</v>
      </c>
      <c r="S214" s="281"/>
    </row>
    <row r="215" spans="1:19" ht="12.75">
      <c r="A215" s="28">
        <v>826</v>
      </c>
      <c r="B215" s="29" t="s">
        <v>201</v>
      </c>
      <c r="C215" s="28">
        <v>1250</v>
      </c>
      <c r="D215" s="382">
        <v>134</v>
      </c>
      <c r="E215" s="144">
        <v>134</v>
      </c>
      <c r="F215" s="193">
        <f>IF(C215&lt;972,E215+44,E215)</f>
        <v>134</v>
      </c>
      <c r="G215" s="193">
        <v>134</v>
      </c>
      <c r="H215" s="193">
        <v>134</v>
      </c>
      <c r="I215" s="360">
        <f t="shared" si="16"/>
        <v>826</v>
      </c>
      <c r="J215" s="304">
        <v>0</v>
      </c>
      <c r="K215" s="346">
        <v>116</v>
      </c>
      <c r="L215" s="304">
        <v>134</v>
      </c>
      <c r="M215" s="346">
        <v>233</v>
      </c>
      <c r="N215" s="390">
        <f>M215*1.33333</f>
        <v>310.66589</v>
      </c>
      <c r="O215" s="192">
        <f t="shared" si="15"/>
        <v>1617</v>
      </c>
      <c r="P215" s="30">
        <v>0</v>
      </c>
      <c r="Q215" s="28">
        <v>0</v>
      </c>
      <c r="R215" s="28">
        <v>657</v>
      </c>
      <c r="S215" s="281"/>
    </row>
    <row r="216" spans="1:19" ht="12.75">
      <c r="A216" s="28">
        <v>827</v>
      </c>
      <c r="B216" s="347" t="s">
        <v>419</v>
      </c>
      <c r="C216" s="348">
        <v>1942</v>
      </c>
      <c r="D216" s="382">
        <v>43</v>
      </c>
      <c r="E216" s="349">
        <v>43</v>
      </c>
      <c r="F216" s="346">
        <v>43</v>
      </c>
      <c r="G216" s="346">
        <v>43</v>
      </c>
      <c r="H216" s="346">
        <v>43</v>
      </c>
      <c r="I216" s="362">
        <f t="shared" si="16"/>
        <v>827</v>
      </c>
      <c r="J216" s="346">
        <v>0</v>
      </c>
      <c r="K216" s="346">
        <v>194</v>
      </c>
      <c r="L216" s="304">
        <v>43</v>
      </c>
      <c r="M216" s="346">
        <v>388</v>
      </c>
      <c r="N216" s="390">
        <f>M216*1.33333</f>
        <v>517.33204</v>
      </c>
      <c r="O216" s="192">
        <f t="shared" si="15"/>
        <v>2373</v>
      </c>
      <c r="P216" s="30">
        <v>0</v>
      </c>
      <c r="Q216" s="28">
        <v>0</v>
      </c>
      <c r="R216" s="28">
        <v>0</v>
      </c>
      <c r="S216" s="281"/>
    </row>
    <row r="217" spans="1:19" ht="12.75">
      <c r="A217" s="28">
        <v>828</v>
      </c>
      <c r="B217" s="29" t="s">
        <v>202</v>
      </c>
      <c r="C217" s="28">
        <v>2913</v>
      </c>
      <c r="D217" s="382">
        <v>0</v>
      </c>
      <c r="E217" s="144">
        <v>0</v>
      </c>
      <c r="F217" s="193">
        <f>IF(C217&lt;972,E217+44,E217)</f>
        <v>0</v>
      </c>
      <c r="G217" s="193">
        <v>0</v>
      </c>
      <c r="H217" s="193">
        <v>0</v>
      </c>
      <c r="I217" s="360">
        <f t="shared" si="16"/>
        <v>828</v>
      </c>
      <c r="J217" s="304">
        <v>0</v>
      </c>
      <c r="K217" s="304">
        <v>0</v>
      </c>
      <c r="L217" s="304">
        <v>0</v>
      </c>
      <c r="M217" s="304">
        <v>0</v>
      </c>
      <c r="N217" s="390">
        <f>M217*1.1</f>
        <v>0</v>
      </c>
      <c r="O217" s="192">
        <f t="shared" si="15"/>
        <v>2913</v>
      </c>
      <c r="P217" s="30">
        <v>0</v>
      </c>
      <c r="Q217" s="28">
        <v>0</v>
      </c>
      <c r="R217" s="28">
        <v>0</v>
      </c>
      <c r="S217" s="281"/>
    </row>
    <row r="218" spans="1:19" ht="12.75">
      <c r="A218" s="28">
        <v>829</v>
      </c>
      <c r="B218" s="347" t="s">
        <v>447</v>
      </c>
      <c r="C218" s="348">
        <v>1782</v>
      </c>
      <c r="D218" s="382">
        <v>64</v>
      </c>
      <c r="E218" s="349">
        <v>64</v>
      </c>
      <c r="F218" s="193">
        <v>64</v>
      </c>
      <c r="G218" s="193">
        <v>64</v>
      </c>
      <c r="H218" s="193">
        <v>64</v>
      </c>
      <c r="I218" s="360">
        <f t="shared" si="16"/>
        <v>829</v>
      </c>
      <c r="J218" s="304">
        <v>0</v>
      </c>
      <c r="K218" s="346">
        <v>175</v>
      </c>
      <c r="L218" s="304">
        <v>64</v>
      </c>
      <c r="M218" s="346">
        <v>349</v>
      </c>
      <c r="N218" s="390">
        <f>M218*1.33333</f>
        <v>465.33216999999996</v>
      </c>
      <c r="O218" s="192">
        <f t="shared" si="15"/>
        <v>2195</v>
      </c>
      <c r="P218" s="30">
        <v>0</v>
      </c>
      <c r="Q218" s="28">
        <v>0</v>
      </c>
      <c r="R218" s="28">
        <v>0</v>
      </c>
      <c r="S218" s="281"/>
    </row>
    <row r="219" spans="1:19" ht="12.75">
      <c r="A219" s="28">
        <v>830</v>
      </c>
      <c r="B219" s="29" t="s">
        <v>203</v>
      </c>
      <c r="C219" s="28">
        <v>1740</v>
      </c>
      <c r="D219" s="382">
        <v>70</v>
      </c>
      <c r="E219" s="144">
        <v>70</v>
      </c>
      <c r="F219" s="193">
        <f>IF(C219&lt;972,E219+44,E219)</f>
        <v>70</v>
      </c>
      <c r="G219" s="193">
        <v>70</v>
      </c>
      <c r="H219" s="193">
        <v>70</v>
      </c>
      <c r="I219" s="360">
        <f t="shared" si="16"/>
        <v>830</v>
      </c>
      <c r="J219" s="304">
        <v>0</v>
      </c>
      <c r="K219" s="304">
        <v>0</v>
      </c>
      <c r="L219" s="304">
        <v>70</v>
      </c>
      <c r="M219" s="304">
        <v>0</v>
      </c>
      <c r="N219" s="390">
        <f>M219*1.1</f>
        <v>0</v>
      </c>
      <c r="O219" s="192">
        <f t="shared" si="15"/>
        <v>1810</v>
      </c>
      <c r="P219" s="30">
        <v>0</v>
      </c>
      <c r="Q219" s="28">
        <v>0</v>
      </c>
      <c r="R219" s="28">
        <v>0</v>
      </c>
      <c r="S219" s="281"/>
    </row>
    <row r="220" spans="1:19" ht="12.75">
      <c r="A220" s="28">
        <v>831</v>
      </c>
      <c r="B220" s="29" t="s">
        <v>204</v>
      </c>
      <c r="C220" s="28">
        <v>971</v>
      </c>
      <c r="D220" s="382">
        <v>170</v>
      </c>
      <c r="E220" s="366">
        <v>216</v>
      </c>
      <c r="F220" s="193">
        <v>261</v>
      </c>
      <c r="G220" s="304">
        <v>327</v>
      </c>
      <c r="H220" s="304">
        <v>350</v>
      </c>
      <c r="I220" s="360">
        <f t="shared" si="16"/>
        <v>831</v>
      </c>
      <c r="J220" s="304">
        <v>0</v>
      </c>
      <c r="K220" s="304">
        <v>0</v>
      </c>
      <c r="L220" s="304">
        <v>414.7</v>
      </c>
      <c r="M220" s="304">
        <v>0</v>
      </c>
      <c r="N220" s="390">
        <f>M220*1.1</f>
        <v>0</v>
      </c>
      <c r="O220" s="192">
        <f t="shared" si="15"/>
        <v>1298</v>
      </c>
      <c r="P220" s="30">
        <v>0</v>
      </c>
      <c r="Q220" s="28">
        <v>0</v>
      </c>
      <c r="R220" s="28">
        <v>0</v>
      </c>
      <c r="S220" s="281"/>
    </row>
    <row r="221" spans="1:19" ht="12.75">
      <c r="A221" s="348">
        <v>832</v>
      </c>
      <c r="B221" s="347" t="s">
        <v>422</v>
      </c>
      <c r="C221" s="348">
        <v>1700</v>
      </c>
      <c r="D221" s="382">
        <v>0</v>
      </c>
      <c r="E221" s="349">
        <v>0</v>
      </c>
      <c r="F221" s="346">
        <f>IF(C221&lt;972,E221+44,E221)</f>
        <v>0</v>
      </c>
      <c r="G221" s="346">
        <v>75</v>
      </c>
      <c r="H221" s="346">
        <v>75</v>
      </c>
      <c r="I221" s="362">
        <f t="shared" si="16"/>
        <v>832</v>
      </c>
      <c r="J221" s="346">
        <v>0</v>
      </c>
      <c r="K221" s="346">
        <v>116</v>
      </c>
      <c r="L221" s="304">
        <v>75</v>
      </c>
      <c r="M221" s="346">
        <v>233</v>
      </c>
      <c r="N221" s="390">
        <f>M221*1.33333</f>
        <v>310.66589</v>
      </c>
      <c r="O221" s="192">
        <f t="shared" si="15"/>
        <v>2008</v>
      </c>
      <c r="P221" s="30">
        <v>0</v>
      </c>
      <c r="Q221" s="28">
        <v>0</v>
      </c>
      <c r="R221" s="28">
        <v>0</v>
      </c>
      <c r="S221" s="281"/>
    </row>
    <row r="222" spans="1:19" ht="12.75">
      <c r="A222" s="28">
        <v>833</v>
      </c>
      <c r="B222" s="29" t="s">
        <v>205</v>
      </c>
      <c r="C222" s="28">
        <v>971</v>
      </c>
      <c r="D222" s="382">
        <v>170</v>
      </c>
      <c r="E222" s="366">
        <v>216</v>
      </c>
      <c r="F222" s="193">
        <v>261</v>
      </c>
      <c r="G222" s="304">
        <v>327</v>
      </c>
      <c r="H222" s="304">
        <v>214</v>
      </c>
      <c r="I222" s="360">
        <f>A222</f>
        <v>833</v>
      </c>
      <c r="J222" s="304">
        <v>0</v>
      </c>
      <c r="K222" s="304">
        <v>0</v>
      </c>
      <c r="L222" s="304">
        <v>214</v>
      </c>
      <c r="M222" s="304">
        <v>0</v>
      </c>
      <c r="N222" s="390">
        <f aca="true" t="shared" si="17" ref="N222:N228">M222*1.1</f>
        <v>0</v>
      </c>
      <c r="O222" s="192">
        <f t="shared" si="15"/>
        <v>1298</v>
      </c>
      <c r="P222" s="30">
        <v>0</v>
      </c>
      <c r="Q222" s="28">
        <v>0</v>
      </c>
      <c r="R222" s="28">
        <v>155</v>
      </c>
      <c r="S222" s="281"/>
    </row>
    <row r="223" spans="1:19" ht="12.75">
      <c r="A223" s="28">
        <v>834</v>
      </c>
      <c r="B223" s="29" t="s">
        <v>206</v>
      </c>
      <c r="C223" s="28">
        <v>971</v>
      </c>
      <c r="D223" s="382">
        <v>170</v>
      </c>
      <c r="E223" s="366">
        <v>216</v>
      </c>
      <c r="F223" s="193">
        <v>261</v>
      </c>
      <c r="G223" s="304">
        <v>327</v>
      </c>
      <c r="H223" s="304">
        <v>214</v>
      </c>
      <c r="I223" s="360">
        <f>A223</f>
        <v>834</v>
      </c>
      <c r="J223" s="304">
        <v>0</v>
      </c>
      <c r="K223" s="304">
        <v>0</v>
      </c>
      <c r="L223" s="304">
        <v>214</v>
      </c>
      <c r="M223" s="304">
        <v>0</v>
      </c>
      <c r="N223" s="390">
        <f t="shared" si="17"/>
        <v>0</v>
      </c>
      <c r="O223" s="192">
        <f t="shared" si="15"/>
        <v>1298</v>
      </c>
      <c r="P223" s="30">
        <v>0</v>
      </c>
      <c r="Q223" s="28">
        <v>0</v>
      </c>
      <c r="R223" s="28">
        <v>155</v>
      </c>
      <c r="S223" s="281"/>
    </row>
    <row r="224" spans="1:19" ht="12.75">
      <c r="A224" s="28">
        <v>835</v>
      </c>
      <c r="B224" s="29" t="s">
        <v>207</v>
      </c>
      <c r="C224" s="28">
        <v>971</v>
      </c>
      <c r="D224" s="382">
        <v>170</v>
      </c>
      <c r="E224" s="366">
        <v>216</v>
      </c>
      <c r="F224" s="193">
        <v>261</v>
      </c>
      <c r="G224" s="304">
        <v>327</v>
      </c>
      <c r="H224" s="304">
        <v>350</v>
      </c>
      <c r="I224" s="360">
        <f t="shared" si="16"/>
        <v>835</v>
      </c>
      <c r="J224" s="304">
        <v>0</v>
      </c>
      <c r="K224" s="304">
        <v>0</v>
      </c>
      <c r="L224" s="304">
        <v>414.7</v>
      </c>
      <c r="M224" s="304">
        <v>0</v>
      </c>
      <c r="N224" s="390">
        <f t="shared" si="17"/>
        <v>0</v>
      </c>
      <c r="O224" s="192">
        <f t="shared" si="15"/>
        <v>1298</v>
      </c>
      <c r="P224" s="30">
        <v>0</v>
      </c>
      <c r="Q224" s="28">
        <v>0</v>
      </c>
      <c r="R224" s="28">
        <v>0</v>
      </c>
      <c r="S224" s="281"/>
    </row>
    <row r="225" spans="1:19" ht="12.75">
      <c r="A225" s="28">
        <v>836</v>
      </c>
      <c r="B225" s="29" t="s">
        <v>208</v>
      </c>
      <c r="C225" s="28">
        <v>971</v>
      </c>
      <c r="D225" s="382">
        <v>170</v>
      </c>
      <c r="E225" s="366">
        <v>216</v>
      </c>
      <c r="F225" s="193">
        <v>261</v>
      </c>
      <c r="G225" s="304">
        <v>327</v>
      </c>
      <c r="H225" s="304">
        <v>350</v>
      </c>
      <c r="I225" s="360">
        <f t="shared" si="16"/>
        <v>836</v>
      </c>
      <c r="J225" s="304">
        <v>0</v>
      </c>
      <c r="K225" s="304">
        <v>0</v>
      </c>
      <c r="L225" s="304">
        <v>414.7</v>
      </c>
      <c r="M225" s="304">
        <v>0</v>
      </c>
      <c r="N225" s="390">
        <f t="shared" si="17"/>
        <v>0</v>
      </c>
      <c r="O225" s="192">
        <f t="shared" si="15"/>
        <v>1298</v>
      </c>
      <c r="P225" s="30">
        <v>0</v>
      </c>
      <c r="Q225" s="28">
        <v>0</v>
      </c>
      <c r="R225" s="28">
        <v>155</v>
      </c>
      <c r="S225" s="281"/>
    </row>
    <row r="226" spans="1:19" ht="12.75">
      <c r="A226" s="28">
        <v>837</v>
      </c>
      <c r="B226" s="29" t="s">
        <v>209</v>
      </c>
      <c r="C226" s="28">
        <v>971</v>
      </c>
      <c r="D226" s="382">
        <v>170</v>
      </c>
      <c r="E226" s="366">
        <v>216</v>
      </c>
      <c r="F226" s="193">
        <v>261</v>
      </c>
      <c r="G226" s="304">
        <v>327</v>
      </c>
      <c r="H226" s="304">
        <v>350</v>
      </c>
      <c r="I226" s="360">
        <f t="shared" si="16"/>
        <v>837</v>
      </c>
      <c r="J226" s="304">
        <v>0</v>
      </c>
      <c r="K226" s="304">
        <v>0</v>
      </c>
      <c r="L226" s="304">
        <v>414.7</v>
      </c>
      <c r="M226" s="304">
        <v>0</v>
      </c>
      <c r="N226" s="390">
        <f t="shared" si="17"/>
        <v>0</v>
      </c>
      <c r="O226" s="192">
        <f t="shared" si="15"/>
        <v>1298</v>
      </c>
      <c r="P226" s="30">
        <v>0</v>
      </c>
      <c r="Q226" s="28">
        <v>0</v>
      </c>
      <c r="R226" s="28">
        <v>155</v>
      </c>
      <c r="S226" s="281"/>
    </row>
    <row r="227" spans="1:19" ht="12.75">
      <c r="A227" s="28">
        <v>839</v>
      </c>
      <c r="B227" s="29" t="s">
        <v>210</v>
      </c>
      <c r="C227" s="28">
        <v>971</v>
      </c>
      <c r="D227" s="382">
        <v>170</v>
      </c>
      <c r="E227" s="366">
        <v>216</v>
      </c>
      <c r="F227" s="193">
        <v>261</v>
      </c>
      <c r="G227" s="304">
        <v>327</v>
      </c>
      <c r="H227" s="304">
        <v>350</v>
      </c>
      <c r="I227" s="360">
        <f t="shared" si="16"/>
        <v>839</v>
      </c>
      <c r="J227" s="304">
        <v>0</v>
      </c>
      <c r="K227" s="304">
        <v>0</v>
      </c>
      <c r="L227" s="304">
        <v>414.7</v>
      </c>
      <c r="M227" s="304">
        <v>0</v>
      </c>
      <c r="N227" s="390">
        <f t="shared" si="17"/>
        <v>0</v>
      </c>
      <c r="O227" s="192">
        <f t="shared" si="15"/>
        <v>1298</v>
      </c>
      <c r="P227" s="30">
        <v>0</v>
      </c>
      <c r="Q227" s="28">
        <v>0</v>
      </c>
      <c r="R227" s="28">
        <v>155</v>
      </c>
      <c r="S227" s="281"/>
    </row>
    <row r="228" spans="1:19" ht="12.75">
      <c r="A228" s="28">
        <v>840</v>
      </c>
      <c r="B228" s="29" t="s">
        <v>211</v>
      </c>
      <c r="C228" s="28">
        <v>971</v>
      </c>
      <c r="D228" s="382">
        <v>170</v>
      </c>
      <c r="E228" s="366">
        <v>216</v>
      </c>
      <c r="F228" s="193">
        <v>261</v>
      </c>
      <c r="G228" s="304">
        <v>327</v>
      </c>
      <c r="H228" s="304">
        <v>350</v>
      </c>
      <c r="I228" s="360">
        <f t="shared" si="16"/>
        <v>840</v>
      </c>
      <c r="J228" s="304">
        <v>0</v>
      </c>
      <c r="K228" s="304">
        <v>0</v>
      </c>
      <c r="L228" s="304">
        <v>414.7</v>
      </c>
      <c r="M228" s="304">
        <v>0</v>
      </c>
      <c r="N228" s="390">
        <f t="shared" si="17"/>
        <v>0</v>
      </c>
      <c r="O228" s="192">
        <f t="shared" si="15"/>
        <v>1298</v>
      </c>
      <c r="P228" s="30">
        <v>0</v>
      </c>
      <c r="Q228" s="28">
        <v>0</v>
      </c>
      <c r="R228" s="28">
        <v>155</v>
      </c>
      <c r="S228" s="281"/>
    </row>
    <row r="229" spans="1:19" s="345" customFormat="1" ht="12.75">
      <c r="A229" s="348">
        <v>841</v>
      </c>
      <c r="B229" s="347" t="s">
        <v>425</v>
      </c>
      <c r="C229" s="348">
        <v>1300</v>
      </c>
      <c r="D229" s="382">
        <v>127</v>
      </c>
      <c r="E229" s="349">
        <v>127</v>
      </c>
      <c r="F229" s="346">
        <v>127</v>
      </c>
      <c r="G229" s="346">
        <v>127</v>
      </c>
      <c r="H229" s="346">
        <v>127</v>
      </c>
      <c r="I229" s="362">
        <f t="shared" si="16"/>
        <v>841</v>
      </c>
      <c r="J229" s="346"/>
      <c r="K229" s="346">
        <v>116</v>
      </c>
      <c r="L229" s="304">
        <v>127</v>
      </c>
      <c r="M229" s="346">
        <v>388</v>
      </c>
      <c r="N229" s="390">
        <f>M229</f>
        <v>388</v>
      </c>
      <c r="O229" s="192">
        <f t="shared" si="15"/>
        <v>1815</v>
      </c>
      <c r="P229" s="353">
        <v>0</v>
      </c>
      <c r="Q229" s="348">
        <v>0</v>
      </c>
      <c r="R229" s="348">
        <v>0</v>
      </c>
      <c r="S229" s="354"/>
    </row>
    <row r="230" spans="1:19" ht="12.75">
      <c r="A230" s="28">
        <v>842</v>
      </c>
      <c r="B230" s="29" t="s">
        <v>212</v>
      </c>
      <c r="C230" s="28">
        <v>1500</v>
      </c>
      <c r="D230" s="382">
        <v>101</v>
      </c>
      <c r="E230" s="144">
        <v>101</v>
      </c>
      <c r="F230" s="193">
        <f>IF(C230&lt;972,E230+44,E230)</f>
        <v>101</v>
      </c>
      <c r="G230" s="193">
        <v>101</v>
      </c>
      <c r="H230" s="193">
        <v>101</v>
      </c>
      <c r="I230" s="360">
        <f t="shared" si="16"/>
        <v>842</v>
      </c>
      <c r="J230" s="304">
        <v>0</v>
      </c>
      <c r="K230" s="346">
        <v>194</v>
      </c>
      <c r="L230" s="304">
        <v>101</v>
      </c>
      <c r="M230" s="346">
        <v>388</v>
      </c>
      <c r="N230" s="390">
        <f>M230</f>
        <v>388</v>
      </c>
      <c r="O230" s="192">
        <f t="shared" si="15"/>
        <v>1989</v>
      </c>
      <c r="P230" s="30">
        <v>0</v>
      </c>
      <c r="Q230" s="28">
        <v>0</v>
      </c>
      <c r="R230" s="28">
        <v>0</v>
      </c>
      <c r="S230" s="281"/>
    </row>
    <row r="231" spans="1:19" ht="12.75">
      <c r="A231" s="28">
        <v>843</v>
      </c>
      <c r="B231" s="29" t="s">
        <v>213</v>
      </c>
      <c r="C231" s="28">
        <v>1250</v>
      </c>
      <c r="D231" s="382">
        <v>134</v>
      </c>
      <c r="E231" s="144">
        <v>134</v>
      </c>
      <c r="F231" s="193">
        <f>IF(C231&lt;972,E231+44,E231)</f>
        <v>134</v>
      </c>
      <c r="G231" s="193">
        <v>134</v>
      </c>
      <c r="H231" s="193">
        <v>134</v>
      </c>
      <c r="I231" s="360">
        <f t="shared" si="16"/>
        <v>843</v>
      </c>
      <c r="J231" s="304">
        <v>0</v>
      </c>
      <c r="K231" s="346">
        <v>116</v>
      </c>
      <c r="L231" s="304">
        <v>134</v>
      </c>
      <c r="M231" s="346">
        <v>233</v>
      </c>
      <c r="N231" s="390">
        <f>M231*1.33333</f>
        <v>310.66589</v>
      </c>
      <c r="O231" s="192">
        <f t="shared" si="15"/>
        <v>1617</v>
      </c>
      <c r="P231" s="30">
        <v>0</v>
      </c>
      <c r="Q231" s="28">
        <v>0</v>
      </c>
      <c r="R231" s="28">
        <v>0</v>
      </c>
      <c r="S231" s="281"/>
    </row>
    <row r="232" spans="1:19" ht="12.75">
      <c r="A232" s="28">
        <v>844</v>
      </c>
      <c r="B232" s="29" t="s">
        <v>214</v>
      </c>
      <c r="C232" s="28">
        <v>1660</v>
      </c>
      <c r="D232" s="382">
        <v>80</v>
      </c>
      <c r="E232" s="144">
        <v>80</v>
      </c>
      <c r="F232" s="193">
        <f>IF(C232&lt;972,E232+44,E232)</f>
        <v>80</v>
      </c>
      <c r="G232" s="193">
        <v>80</v>
      </c>
      <c r="H232" s="193">
        <v>80</v>
      </c>
      <c r="I232" s="360">
        <f t="shared" si="16"/>
        <v>844</v>
      </c>
      <c r="J232" s="304">
        <v>0</v>
      </c>
      <c r="K232" s="304">
        <v>0</v>
      </c>
      <c r="L232" s="304">
        <v>80</v>
      </c>
      <c r="M232" s="304">
        <v>0</v>
      </c>
      <c r="N232" s="390">
        <f>M232</f>
        <v>0</v>
      </c>
      <c r="O232" s="192">
        <f t="shared" si="15"/>
        <v>1740</v>
      </c>
      <c r="P232" s="30">
        <v>0</v>
      </c>
      <c r="Q232" s="28">
        <v>0</v>
      </c>
      <c r="R232" s="28">
        <v>0</v>
      </c>
      <c r="S232" s="281"/>
    </row>
    <row r="233" spans="1:19" ht="12.75">
      <c r="A233" s="28">
        <v>849</v>
      </c>
      <c r="B233" s="29" t="s">
        <v>215</v>
      </c>
      <c r="C233" s="28">
        <v>971</v>
      </c>
      <c r="D233" s="382">
        <v>170</v>
      </c>
      <c r="E233" s="366">
        <v>216</v>
      </c>
      <c r="F233" s="193">
        <v>261</v>
      </c>
      <c r="G233" s="304">
        <v>327</v>
      </c>
      <c r="H233" s="304">
        <v>350</v>
      </c>
      <c r="I233" s="360">
        <f t="shared" si="16"/>
        <v>849</v>
      </c>
      <c r="J233" s="304">
        <v>0</v>
      </c>
      <c r="K233" s="304">
        <v>0</v>
      </c>
      <c r="L233" s="304">
        <v>414.7</v>
      </c>
      <c r="M233" s="304">
        <v>0</v>
      </c>
      <c r="N233" s="390">
        <f>M233</f>
        <v>0</v>
      </c>
      <c r="O233" s="192">
        <f t="shared" si="15"/>
        <v>1298</v>
      </c>
      <c r="P233" s="30">
        <v>0</v>
      </c>
      <c r="Q233" s="28">
        <v>0</v>
      </c>
      <c r="R233" s="28">
        <v>0</v>
      </c>
      <c r="S233" s="281"/>
    </row>
    <row r="234" spans="1:19" ht="12.75">
      <c r="A234" s="28">
        <v>850</v>
      </c>
      <c r="B234" s="307" t="s">
        <v>436</v>
      </c>
      <c r="C234" s="28">
        <v>3146</v>
      </c>
      <c r="D234" s="382"/>
      <c r="E234" s="366"/>
      <c r="F234" s="193"/>
      <c r="G234" s="304">
        <v>0</v>
      </c>
      <c r="H234" s="304">
        <v>0</v>
      </c>
      <c r="I234" s="360">
        <f t="shared" si="16"/>
        <v>850</v>
      </c>
      <c r="J234" s="304">
        <v>0</v>
      </c>
      <c r="K234" s="304"/>
      <c r="L234" s="304">
        <v>0</v>
      </c>
      <c r="M234" s="304">
        <v>466</v>
      </c>
      <c r="N234" s="390">
        <f>M234*1.33333</f>
        <v>621.33178</v>
      </c>
      <c r="O234" s="192">
        <f t="shared" si="15"/>
        <v>3612</v>
      </c>
      <c r="P234" s="30">
        <v>0</v>
      </c>
      <c r="Q234" s="28">
        <v>0</v>
      </c>
      <c r="R234" s="28"/>
      <c r="S234" s="281"/>
    </row>
    <row r="235" spans="1:19" ht="12.75">
      <c r="A235" s="28">
        <v>851</v>
      </c>
      <c r="B235" s="307" t="s">
        <v>440</v>
      </c>
      <c r="C235" s="28">
        <v>2913</v>
      </c>
      <c r="D235" s="382"/>
      <c r="E235" s="366"/>
      <c r="F235" s="193"/>
      <c r="G235" s="304">
        <v>0</v>
      </c>
      <c r="H235" s="304">
        <v>0</v>
      </c>
      <c r="I235" s="360">
        <f t="shared" si="16"/>
        <v>851</v>
      </c>
      <c r="J235" s="304"/>
      <c r="K235" s="304"/>
      <c r="L235" s="304">
        <v>0</v>
      </c>
      <c r="M235" s="304">
        <v>466</v>
      </c>
      <c r="N235" s="390">
        <v>776</v>
      </c>
      <c r="O235" s="192">
        <f t="shared" si="15"/>
        <v>3379</v>
      </c>
      <c r="P235" s="30">
        <v>20</v>
      </c>
      <c r="Q235" s="28">
        <v>0</v>
      </c>
      <c r="R235" s="28">
        <v>0</v>
      </c>
      <c r="S235" s="281"/>
    </row>
    <row r="236" spans="1:19" ht="12.75">
      <c r="A236" s="28">
        <v>852</v>
      </c>
      <c r="B236" s="307" t="s">
        <v>441</v>
      </c>
      <c r="C236" s="28">
        <v>2913</v>
      </c>
      <c r="D236" s="382"/>
      <c r="E236" s="366"/>
      <c r="F236" s="193"/>
      <c r="G236" s="304">
        <v>0</v>
      </c>
      <c r="H236" s="304">
        <v>0</v>
      </c>
      <c r="I236" s="360">
        <f t="shared" si="16"/>
        <v>852</v>
      </c>
      <c r="J236" s="304"/>
      <c r="K236" s="304"/>
      <c r="L236" s="304">
        <v>0</v>
      </c>
      <c r="M236" s="304">
        <v>466</v>
      </c>
      <c r="N236" s="390">
        <v>776</v>
      </c>
      <c r="O236" s="192">
        <f t="shared" si="15"/>
        <v>3379</v>
      </c>
      <c r="P236" s="30">
        <v>0</v>
      </c>
      <c r="Q236" s="28">
        <v>0</v>
      </c>
      <c r="R236" s="28">
        <v>0</v>
      </c>
      <c r="S236" s="281"/>
    </row>
    <row r="237" spans="1:19" ht="12.75">
      <c r="A237" s="28">
        <v>853</v>
      </c>
      <c r="B237" s="307" t="s">
        <v>442</v>
      </c>
      <c r="C237" s="28">
        <v>2913</v>
      </c>
      <c r="D237" s="382"/>
      <c r="E237" s="366"/>
      <c r="F237" s="193"/>
      <c r="G237" s="304">
        <v>0</v>
      </c>
      <c r="H237" s="304">
        <v>0</v>
      </c>
      <c r="I237" s="360">
        <f t="shared" si="16"/>
        <v>853</v>
      </c>
      <c r="J237" s="304"/>
      <c r="K237" s="304"/>
      <c r="L237" s="304">
        <v>0</v>
      </c>
      <c r="M237" s="304">
        <v>466</v>
      </c>
      <c r="N237" s="390">
        <v>776</v>
      </c>
      <c r="O237" s="192">
        <f t="shared" si="15"/>
        <v>3379</v>
      </c>
      <c r="P237" s="30">
        <v>17</v>
      </c>
      <c r="Q237" s="28">
        <v>0</v>
      </c>
      <c r="R237" s="28">
        <v>0</v>
      </c>
      <c r="S237" s="281"/>
    </row>
    <row r="238" spans="1:19" ht="12.75">
      <c r="A238" s="28">
        <v>854</v>
      </c>
      <c r="B238" s="307" t="s">
        <v>443</v>
      </c>
      <c r="C238" s="28">
        <v>2913</v>
      </c>
      <c r="D238" s="382"/>
      <c r="E238" s="366"/>
      <c r="F238" s="193"/>
      <c r="G238" s="304">
        <v>0</v>
      </c>
      <c r="H238" s="304">
        <v>0</v>
      </c>
      <c r="I238" s="360">
        <f t="shared" si="16"/>
        <v>854</v>
      </c>
      <c r="J238" s="304"/>
      <c r="K238" s="304"/>
      <c r="L238" s="304">
        <v>0</v>
      </c>
      <c r="M238" s="304">
        <v>466</v>
      </c>
      <c r="N238" s="390">
        <v>776</v>
      </c>
      <c r="O238" s="192">
        <f t="shared" si="15"/>
        <v>3379</v>
      </c>
      <c r="P238" s="30">
        <v>0</v>
      </c>
      <c r="Q238" s="28">
        <v>0</v>
      </c>
      <c r="R238" s="28">
        <v>0</v>
      </c>
      <c r="S238" s="281"/>
    </row>
    <row r="239" spans="1:19" ht="12.75">
      <c r="A239" s="28">
        <v>857</v>
      </c>
      <c r="B239" s="307" t="s">
        <v>444</v>
      </c>
      <c r="C239" s="28">
        <v>2913</v>
      </c>
      <c r="D239" s="382"/>
      <c r="E239" s="366"/>
      <c r="F239" s="193"/>
      <c r="G239" s="304">
        <v>0</v>
      </c>
      <c r="H239" s="304">
        <v>0</v>
      </c>
      <c r="I239" s="360">
        <f t="shared" si="16"/>
        <v>857</v>
      </c>
      <c r="J239" s="304"/>
      <c r="K239" s="304"/>
      <c r="L239" s="304">
        <v>0</v>
      </c>
      <c r="M239" s="304">
        <v>466</v>
      </c>
      <c r="N239" s="390">
        <v>776</v>
      </c>
      <c r="O239" s="192">
        <f t="shared" si="15"/>
        <v>3379</v>
      </c>
      <c r="P239" s="30">
        <v>0</v>
      </c>
      <c r="Q239" s="28">
        <v>0</v>
      </c>
      <c r="R239" s="28">
        <v>0</v>
      </c>
      <c r="S239" s="281"/>
    </row>
    <row r="240" spans="1:18" ht="12.75">
      <c r="A240" s="28">
        <v>883</v>
      </c>
      <c r="B240" s="307" t="s">
        <v>461</v>
      </c>
      <c r="C240" s="28">
        <v>2220</v>
      </c>
      <c r="D240" s="382"/>
      <c r="E240" s="366"/>
      <c r="F240" s="193"/>
      <c r="G240" s="304">
        <v>7</v>
      </c>
      <c r="H240" s="304">
        <v>7</v>
      </c>
      <c r="I240" s="360">
        <f t="shared" si="16"/>
        <v>883</v>
      </c>
      <c r="J240" s="304"/>
      <c r="K240" s="304"/>
      <c r="L240" s="304">
        <v>7</v>
      </c>
      <c r="M240" s="281">
        <v>521.4</v>
      </c>
      <c r="N240" s="390">
        <f>M240</f>
        <v>521.4</v>
      </c>
      <c r="O240" s="192">
        <f t="shared" si="15"/>
        <v>2748.4</v>
      </c>
      <c r="P240" s="30">
        <v>0</v>
      </c>
      <c r="Q240" s="28">
        <v>0</v>
      </c>
      <c r="R240" s="28">
        <v>0</v>
      </c>
    </row>
    <row r="241" spans="1:18" ht="12.75">
      <c r="A241" s="28">
        <v>885</v>
      </c>
      <c r="B241" s="307" t="s">
        <v>463</v>
      </c>
      <c r="C241" s="28">
        <v>1850</v>
      </c>
      <c r="D241" s="382"/>
      <c r="E241" s="366"/>
      <c r="F241" s="193"/>
      <c r="G241" s="304">
        <v>55</v>
      </c>
      <c r="H241" s="304">
        <v>55</v>
      </c>
      <c r="I241" s="360">
        <f t="shared" si="16"/>
        <v>885</v>
      </c>
      <c r="J241" s="304"/>
      <c r="K241" s="304"/>
      <c r="L241" s="304">
        <v>55</v>
      </c>
      <c r="M241" s="281">
        <v>434.5</v>
      </c>
      <c r="N241" s="390">
        <f>M241</f>
        <v>434.5</v>
      </c>
      <c r="O241" s="192">
        <f t="shared" si="15"/>
        <v>2339.5</v>
      </c>
      <c r="P241" s="30">
        <v>0</v>
      </c>
      <c r="Q241" s="28">
        <v>0</v>
      </c>
      <c r="R241" s="28"/>
    </row>
    <row r="242" spans="1:18" ht="12.75">
      <c r="A242" s="28">
        <v>887</v>
      </c>
      <c r="B242" s="307" t="s">
        <v>462</v>
      </c>
      <c r="C242" s="28">
        <v>1580</v>
      </c>
      <c r="D242" s="382"/>
      <c r="E242" s="366"/>
      <c r="F242" s="193"/>
      <c r="G242" s="304">
        <v>90</v>
      </c>
      <c r="H242" s="304">
        <v>90</v>
      </c>
      <c r="I242" s="360">
        <f t="shared" si="16"/>
        <v>887</v>
      </c>
      <c r="J242" s="304"/>
      <c r="K242" s="304"/>
      <c r="L242" s="304">
        <v>90</v>
      </c>
      <c r="M242" s="281">
        <v>347.6</v>
      </c>
      <c r="N242" s="390">
        <f>M242</f>
        <v>347.6</v>
      </c>
      <c r="O242" s="192">
        <f t="shared" si="15"/>
        <v>2017.6</v>
      </c>
      <c r="P242" s="30">
        <v>0</v>
      </c>
      <c r="Q242" s="28">
        <v>0</v>
      </c>
      <c r="R242" s="28">
        <v>0</v>
      </c>
    </row>
    <row r="243" spans="1:19" ht="12.75">
      <c r="A243" s="28">
        <v>900</v>
      </c>
      <c r="B243" s="29" t="s">
        <v>216</v>
      </c>
      <c r="C243" s="28">
        <v>3146</v>
      </c>
      <c r="D243" s="382">
        <v>0</v>
      </c>
      <c r="E243" s="144">
        <v>0</v>
      </c>
      <c r="F243" s="193">
        <f aca="true" t="shared" si="18" ref="F243:F259">IF(C243&lt;972,E243+44,E243)</f>
        <v>0</v>
      </c>
      <c r="G243" s="193">
        <v>0</v>
      </c>
      <c r="H243" s="193">
        <v>0</v>
      </c>
      <c r="I243" s="360">
        <f t="shared" si="16"/>
        <v>900</v>
      </c>
      <c r="J243" s="304">
        <v>0</v>
      </c>
      <c r="K243" s="304">
        <v>0</v>
      </c>
      <c r="L243" s="304">
        <v>0</v>
      </c>
      <c r="M243" s="304">
        <v>0</v>
      </c>
      <c r="N243" s="390">
        <f>M243</f>
        <v>0</v>
      </c>
      <c r="O243" s="192">
        <f t="shared" si="15"/>
        <v>3146</v>
      </c>
      <c r="P243" s="30">
        <v>0</v>
      </c>
      <c r="Q243" s="28">
        <v>0</v>
      </c>
      <c r="R243" s="28">
        <v>0</v>
      </c>
      <c r="S243" s="281"/>
    </row>
    <row r="244" spans="1:19" ht="12.75">
      <c r="A244" s="28">
        <v>901</v>
      </c>
      <c r="B244" s="29" t="s">
        <v>217</v>
      </c>
      <c r="C244" s="28">
        <v>2913</v>
      </c>
      <c r="D244" s="382">
        <v>0</v>
      </c>
      <c r="E244" s="144">
        <v>0</v>
      </c>
      <c r="F244" s="193">
        <f t="shared" si="18"/>
        <v>0</v>
      </c>
      <c r="G244" s="193">
        <v>0</v>
      </c>
      <c r="H244" s="193">
        <v>0</v>
      </c>
      <c r="I244" s="360">
        <f t="shared" si="16"/>
        <v>901</v>
      </c>
      <c r="J244" s="304">
        <v>0</v>
      </c>
      <c r="K244" s="304">
        <v>0</v>
      </c>
      <c r="L244" s="304">
        <v>0</v>
      </c>
      <c r="M244" s="304">
        <v>0</v>
      </c>
      <c r="N244" s="390">
        <f>M244</f>
        <v>0</v>
      </c>
      <c r="O244" s="192">
        <f t="shared" si="15"/>
        <v>2913</v>
      </c>
      <c r="P244" s="30">
        <v>0</v>
      </c>
      <c r="Q244" s="28">
        <v>0</v>
      </c>
      <c r="R244" s="28">
        <v>0</v>
      </c>
      <c r="S244" s="281"/>
    </row>
    <row r="245" spans="1:19" ht="12.75">
      <c r="A245" s="28">
        <v>902</v>
      </c>
      <c r="B245" s="29" t="s">
        <v>218</v>
      </c>
      <c r="C245" s="28">
        <v>2913</v>
      </c>
      <c r="D245" s="382">
        <v>0</v>
      </c>
      <c r="E245" s="144">
        <v>0</v>
      </c>
      <c r="F245" s="193">
        <f t="shared" si="18"/>
        <v>0</v>
      </c>
      <c r="G245" s="193">
        <v>0</v>
      </c>
      <c r="H245" s="193">
        <v>0</v>
      </c>
      <c r="I245" s="360">
        <f t="shared" si="16"/>
        <v>902</v>
      </c>
      <c r="J245" s="304">
        <v>0</v>
      </c>
      <c r="K245">
        <v>233</v>
      </c>
      <c r="L245" s="304">
        <v>0</v>
      </c>
      <c r="M245">
        <v>466</v>
      </c>
      <c r="N245" s="390">
        <v>776</v>
      </c>
      <c r="O245" s="192">
        <f t="shared" si="15"/>
        <v>3379</v>
      </c>
      <c r="P245" s="30">
        <v>20</v>
      </c>
      <c r="Q245" s="28">
        <v>0</v>
      </c>
      <c r="R245" s="28">
        <v>0</v>
      </c>
      <c r="S245" s="281"/>
    </row>
    <row r="246" spans="1:19" ht="12.75">
      <c r="A246" s="28">
        <v>903</v>
      </c>
      <c r="B246" s="29" t="s">
        <v>219</v>
      </c>
      <c r="C246" s="28">
        <v>2913</v>
      </c>
      <c r="D246" s="382">
        <v>0</v>
      </c>
      <c r="E246" s="144">
        <v>0</v>
      </c>
      <c r="F246" s="193">
        <f t="shared" si="18"/>
        <v>0</v>
      </c>
      <c r="G246" s="193">
        <v>0</v>
      </c>
      <c r="H246" s="193">
        <v>0</v>
      </c>
      <c r="I246" s="360">
        <f t="shared" si="16"/>
        <v>903</v>
      </c>
      <c r="J246" s="304">
        <v>0</v>
      </c>
      <c r="K246">
        <v>233</v>
      </c>
      <c r="L246" s="304">
        <v>0</v>
      </c>
      <c r="M246">
        <v>466</v>
      </c>
      <c r="N246" s="390">
        <v>776</v>
      </c>
      <c r="O246" s="192">
        <f t="shared" si="15"/>
        <v>3379</v>
      </c>
      <c r="P246" s="30">
        <v>0</v>
      </c>
      <c r="Q246" s="28">
        <v>0</v>
      </c>
      <c r="R246" s="28">
        <v>0</v>
      </c>
      <c r="S246" s="281"/>
    </row>
    <row r="247" spans="1:19" ht="12.75">
      <c r="A247" s="28">
        <v>904</v>
      </c>
      <c r="B247" s="29" t="s">
        <v>220</v>
      </c>
      <c r="C247" s="28">
        <v>2100</v>
      </c>
      <c r="D247" s="382">
        <v>23</v>
      </c>
      <c r="E247" s="144">
        <v>23</v>
      </c>
      <c r="F247" s="193">
        <f t="shared" si="18"/>
        <v>23</v>
      </c>
      <c r="G247" s="193">
        <v>23</v>
      </c>
      <c r="H247" s="193">
        <v>23</v>
      </c>
      <c r="I247" s="360">
        <f t="shared" si="16"/>
        <v>904</v>
      </c>
      <c r="J247" s="304">
        <v>0</v>
      </c>
      <c r="K247" s="304">
        <v>0</v>
      </c>
      <c r="L247" s="304">
        <v>23</v>
      </c>
      <c r="M247" s="304">
        <v>0</v>
      </c>
      <c r="N247" s="390">
        <f>M247</f>
        <v>0</v>
      </c>
      <c r="O247" s="192">
        <f t="shared" si="15"/>
        <v>2123</v>
      </c>
      <c r="P247" s="30">
        <v>0</v>
      </c>
      <c r="Q247" s="28">
        <v>0</v>
      </c>
      <c r="R247" s="28">
        <v>0</v>
      </c>
      <c r="S247" s="281"/>
    </row>
    <row r="248" spans="1:19" ht="12.75">
      <c r="A248" s="28">
        <v>905</v>
      </c>
      <c r="B248" s="29" t="s">
        <v>221</v>
      </c>
      <c r="C248" s="28">
        <v>1800</v>
      </c>
      <c r="D248" s="382">
        <v>62</v>
      </c>
      <c r="E248" s="144">
        <v>62</v>
      </c>
      <c r="F248" s="193">
        <f t="shared" si="18"/>
        <v>62</v>
      </c>
      <c r="G248" s="193">
        <v>62</v>
      </c>
      <c r="H248" s="193">
        <v>62</v>
      </c>
      <c r="I248" s="360">
        <f t="shared" si="16"/>
        <v>905</v>
      </c>
      <c r="J248" s="304">
        <v>0</v>
      </c>
      <c r="K248" s="304">
        <v>0</v>
      </c>
      <c r="L248" s="304">
        <v>62</v>
      </c>
      <c r="M248" s="304">
        <v>0</v>
      </c>
      <c r="N248" s="390">
        <f>M248</f>
        <v>0</v>
      </c>
      <c r="O248" s="192">
        <f t="shared" si="15"/>
        <v>1862</v>
      </c>
      <c r="P248" s="30">
        <v>0</v>
      </c>
      <c r="Q248" s="28">
        <v>0</v>
      </c>
      <c r="R248" s="28">
        <v>0</v>
      </c>
      <c r="S248" s="281"/>
    </row>
    <row r="249" spans="1:19" ht="12.75">
      <c r="A249" s="28">
        <v>906</v>
      </c>
      <c r="B249" s="29" t="s">
        <v>222</v>
      </c>
      <c r="C249" s="28">
        <v>1942</v>
      </c>
      <c r="D249" s="382">
        <v>43</v>
      </c>
      <c r="E249" s="144">
        <v>43</v>
      </c>
      <c r="F249" s="193">
        <f t="shared" si="18"/>
        <v>43</v>
      </c>
      <c r="G249" s="193">
        <v>43</v>
      </c>
      <c r="H249" s="193">
        <v>43</v>
      </c>
      <c r="I249" s="360">
        <f t="shared" si="16"/>
        <v>906</v>
      </c>
      <c r="J249" s="304">
        <v>0</v>
      </c>
      <c r="K249" s="304">
        <v>194</v>
      </c>
      <c r="L249" s="304">
        <v>43</v>
      </c>
      <c r="M249" s="304">
        <v>388</v>
      </c>
      <c r="N249" s="390">
        <f aca="true" t="shared" si="19" ref="N249:N259">M249*1.33333</f>
        <v>517.33204</v>
      </c>
      <c r="O249" s="192">
        <f t="shared" si="15"/>
        <v>2373</v>
      </c>
      <c r="P249" s="30">
        <v>0</v>
      </c>
      <c r="Q249" s="28">
        <v>0</v>
      </c>
      <c r="R249" s="28">
        <v>0</v>
      </c>
      <c r="S249" s="282">
        <v>782</v>
      </c>
    </row>
    <row r="250" spans="1:19" ht="12.75">
      <c r="A250" s="28">
        <v>907</v>
      </c>
      <c r="B250" s="29" t="s">
        <v>223</v>
      </c>
      <c r="C250" s="28">
        <v>1782</v>
      </c>
      <c r="D250" s="382">
        <v>64</v>
      </c>
      <c r="E250" s="144">
        <v>64</v>
      </c>
      <c r="F250" s="193">
        <f t="shared" si="18"/>
        <v>64</v>
      </c>
      <c r="G250" s="193">
        <v>64</v>
      </c>
      <c r="H250" s="193">
        <v>64</v>
      </c>
      <c r="I250" s="360">
        <f t="shared" si="16"/>
        <v>907</v>
      </c>
      <c r="J250" s="304">
        <v>0</v>
      </c>
      <c r="K250" s="304">
        <v>175</v>
      </c>
      <c r="L250" s="304">
        <v>64</v>
      </c>
      <c r="M250" s="304">
        <v>349</v>
      </c>
      <c r="N250" s="390">
        <f t="shared" si="19"/>
        <v>465.33216999999996</v>
      </c>
      <c r="O250" s="192">
        <f t="shared" si="15"/>
        <v>2195</v>
      </c>
      <c r="P250" s="30">
        <v>0</v>
      </c>
      <c r="Q250" s="28">
        <v>0</v>
      </c>
      <c r="R250" s="28">
        <v>0</v>
      </c>
      <c r="S250" s="282">
        <v>782</v>
      </c>
    </row>
    <row r="251" spans="1:19" ht="12.75">
      <c r="A251" s="28">
        <v>908</v>
      </c>
      <c r="B251" s="29" t="s">
        <v>224</v>
      </c>
      <c r="C251" s="28">
        <v>1692</v>
      </c>
      <c r="D251" s="382">
        <v>76</v>
      </c>
      <c r="E251" s="144">
        <v>76</v>
      </c>
      <c r="F251" s="193">
        <f t="shared" si="18"/>
        <v>76</v>
      </c>
      <c r="G251" s="193">
        <v>76</v>
      </c>
      <c r="H251" s="193">
        <v>76</v>
      </c>
      <c r="I251" s="360">
        <f t="shared" si="16"/>
        <v>908</v>
      </c>
      <c r="J251" s="304">
        <v>0</v>
      </c>
      <c r="K251" s="316">
        <v>136</v>
      </c>
      <c r="L251" s="304">
        <v>76</v>
      </c>
      <c r="M251" s="316">
        <v>272</v>
      </c>
      <c r="N251" s="390">
        <f t="shared" si="19"/>
        <v>362.66576</v>
      </c>
      <c r="O251" s="192">
        <f t="shared" si="15"/>
        <v>2040</v>
      </c>
      <c r="P251" s="30">
        <v>0</v>
      </c>
      <c r="Q251" s="28">
        <v>0</v>
      </c>
      <c r="R251" s="28">
        <v>0</v>
      </c>
      <c r="S251" s="281"/>
    </row>
    <row r="252" spans="1:19" ht="12.75">
      <c r="A252" s="28">
        <v>909</v>
      </c>
      <c r="B252" s="29" t="s">
        <v>225</v>
      </c>
      <c r="C252" s="28">
        <v>1592</v>
      </c>
      <c r="D252" s="382">
        <v>89</v>
      </c>
      <c r="E252" s="144">
        <v>89</v>
      </c>
      <c r="F252" s="193">
        <f t="shared" si="18"/>
        <v>89</v>
      </c>
      <c r="G252" s="193">
        <v>89</v>
      </c>
      <c r="H252" s="193">
        <v>89</v>
      </c>
      <c r="I252" s="360">
        <f t="shared" si="16"/>
        <v>909</v>
      </c>
      <c r="J252" s="304">
        <v>0</v>
      </c>
      <c r="K252" s="304">
        <v>0</v>
      </c>
      <c r="L252" s="304">
        <v>89</v>
      </c>
      <c r="M252" s="304">
        <v>349</v>
      </c>
      <c r="N252" s="390">
        <f t="shared" si="19"/>
        <v>465.33216999999996</v>
      </c>
      <c r="O252" s="192">
        <f t="shared" si="15"/>
        <v>2030</v>
      </c>
      <c r="P252" s="30">
        <v>0</v>
      </c>
      <c r="Q252" s="28">
        <v>0</v>
      </c>
      <c r="R252" s="28">
        <v>0</v>
      </c>
      <c r="S252" s="281"/>
    </row>
    <row r="253" spans="1:19" ht="12.75">
      <c r="A253" s="28">
        <v>910</v>
      </c>
      <c r="B253" s="29" t="s">
        <v>117</v>
      </c>
      <c r="C253" s="28">
        <v>1942</v>
      </c>
      <c r="D253" s="382">
        <v>43</v>
      </c>
      <c r="E253" s="144">
        <v>43</v>
      </c>
      <c r="F253" s="193">
        <f t="shared" si="18"/>
        <v>43</v>
      </c>
      <c r="G253" s="193">
        <v>43</v>
      </c>
      <c r="H253" s="193">
        <v>43</v>
      </c>
      <c r="I253" s="360">
        <f t="shared" si="16"/>
        <v>910</v>
      </c>
      <c r="J253" s="304">
        <v>0</v>
      </c>
      <c r="K253" s="304">
        <v>194</v>
      </c>
      <c r="L253" s="304">
        <v>43</v>
      </c>
      <c r="M253" s="304">
        <v>388</v>
      </c>
      <c r="N253" s="390">
        <f t="shared" si="19"/>
        <v>517.33204</v>
      </c>
      <c r="O253" s="192">
        <f t="shared" si="15"/>
        <v>2373</v>
      </c>
      <c r="P253" s="30">
        <v>150</v>
      </c>
      <c r="Q253" s="28">
        <v>0</v>
      </c>
      <c r="R253" s="28">
        <v>0</v>
      </c>
      <c r="S253" s="281"/>
    </row>
    <row r="254" spans="1:19" ht="12.75">
      <c r="A254" s="28">
        <v>911</v>
      </c>
      <c r="B254" s="29" t="s">
        <v>127</v>
      </c>
      <c r="C254" s="28">
        <v>1592</v>
      </c>
      <c r="D254" s="382">
        <v>89</v>
      </c>
      <c r="E254" s="144">
        <v>89</v>
      </c>
      <c r="F254" s="193">
        <f t="shared" si="18"/>
        <v>89</v>
      </c>
      <c r="G254" s="193">
        <v>89</v>
      </c>
      <c r="H254" s="193">
        <v>89</v>
      </c>
      <c r="I254" s="360">
        <f t="shared" si="16"/>
        <v>911</v>
      </c>
      <c r="J254" s="304">
        <v>0</v>
      </c>
      <c r="K254" s="304">
        <v>136</v>
      </c>
      <c r="L254" s="304">
        <v>89</v>
      </c>
      <c r="M254" s="304">
        <v>350</v>
      </c>
      <c r="N254" s="390">
        <f t="shared" si="19"/>
        <v>466.66549999999995</v>
      </c>
      <c r="O254" s="192">
        <f t="shared" si="15"/>
        <v>2031</v>
      </c>
      <c r="P254" s="30">
        <v>0</v>
      </c>
      <c r="Q254" s="28">
        <v>0</v>
      </c>
      <c r="R254" s="28">
        <v>0</v>
      </c>
      <c r="S254" s="281"/>
    </row>
    <row r="255" spans="1:19" ht="12.75">
      <c r="A255" s="28">
        <v>912</v>
      </c>
      <c r="B255" s="29" t="s">
        <v>226</v>
      </c>
      <c r="C255" s="28">
        <v>1782</v>
      </c>
      <c r="D255" s="382">
        <v>64</v>
      </c>
      <c r="E255" s="144">
        <v>64</v>
      </c>
      <c r="F255" s="193">
        <f t="shared" si="18"/>
        <v>64</v>
      </c>
      <c r="G255" s="193">
        <v>64</v>
      </c>
      <c r="H255" s="193">
        <v>64</v>
      </c>
      <c r="I255" s="360">
        <f t="shared" si="16"/>
        <v>912</v>
      </c>
      <c r="J255" s="304">
        <v>0</v>
      </c>
      <c r="K255" s="304">
        <v>175</v>
      </c>
      <c r="L255" s="304">
        <v>64</v>
      </c>
      <c r="M255" s="304">
        <v>349</v>
      </c>
      <c r="N255" s="390">
        <f t="shared" si="19"/>
        <v>465.33216999999996</v>
      </c>
      <c r="O255" s="192">
        <f t="shared" si="15"/>
        <v>2195</v>
      </c>
      <c r="P255" s="30">
        <v>17</v>
      </c>
      <c r="Q255" s="28">
        <v>0</v>
      </c>
      <c r="R255" s="28">
        <v>0</v>
      </c>
      <c r="S255" s="281"/>
    </row>
    <row r="256" spans="1:19" ht="12.75">
      <c r="A256" s="28">
        <v>913</v>
      </c>
      <c r="B256" s="29" t="s">
        <v>227</v>
      </c>
      <c r="C256" s="28">
        <v>1700</v>
      </c>
      <c r="D256" s="382">
        <v>75</v>
      </c>
      <c r="E256" s="144">
        <v>75</v>
      </c>
      <c r="F256" s="193">
        <f t="shared" si="18"/>
        <v>75</v>
      </c>
      <c r="G256" s="193">
        <v>75</v>
      </c>
      <c r="H256" s="193">
        <v>75</v>
      </c>
      <c r="I256" s="360">
        <f t="shared" si="16"/>
        <v>913</v>
      </c>
      <c r="J256" s="304">
        <v>0</v>
      </c>
      <c r="K256" s="304">
        <v>155</v>
      </c>
      <c r="L256" s="304">
        <v>75</v>
      </c>
      <c r="M256" s="304">
        <v>310</v>
      </c>
      <c r="N256" s="390">
        <f t="shared" si="19"/>
        <v>413.3323</v>
      </c>
      <c r="O256" s="192">
        <f t="shared" si="15"/>
        <v>2085</v>
      </c>
      <c r="P256" s="30">
        <v>0</v>
      </c>
      <c r="Q256" s="28">
        <v>0</v>
      </c>
      <c r="R256" s="28">
        <v>0</v>
      </c>
      <c r="S256" s="282">
        <v>769</v>
      </c>
    </row>
    <row r="257" spans="1:19" ht="12.75">
      <c r="A257" s="28">
        <v>914</v>
      </c>
      <c r="B257" s="29" t="s">
        <v>228</v>
      </c>
      <c r="C257" s="28">
        <v>1600</v>
      </c>
      <c r="D257" s="382">
        <v>88</v>
      </c>
      <c r="E257" s="144">
        <v>88</v>
      </c>
      <c r="F257" s="193">
        <f t="shared" si="18"/>
        <v>88</v>
      </c>
      <c r="G257" s="193">
        <v>88</v>
      </c>
      <c r="H257" s="193">
        <v>88</v>
      </c>
      <c r="I257" s="360">
        <f t="shared" si="16"/>
        <v>914</v>
      </c>
      <c r="J257" s="304">
        <v>0</v>
      </c>
      <c r="K257" s="304">
        <v>116</v>
      </c>
      <c r="L257" s="304">
        <v>88</v>
      </c>
      <c r="M257" s="304">
        <v>232</v>
      </c>
      <c r="N257" s="390">
        <f t="shared" si="19"/>
        <v>309.33256</v>
      </c>
      <c r="O257" s="192">
        <f t="shared" si="15"/>
        <v>1920</v>
      </c>
      <c r="P257" s="30">
        <v>0</v>
      </c>
      <c r="Q257" s="28">
        <v>0</v>
      </c>
      <c r="R257" s="28">
        <v>0</v>
      </c>
      <c r="S257" s="282">
        <v>738</v>
      </c>
    </row>
    <row r="258" spans="1:19" ht="12.75">
      <c r="A258" s="28">
        <v>915</v>
      </c>
      <c r="B258" s="29" t="s">
        <v>229</v>
      </c>
      <c r="C258" s="28">
        <v>1700</v>
      </c>
      <c r="D258" s="382">
        <v>75</v>
      </c>
      <c r="E258" s="144">
        <v>75</v>
      </c>
      <c r="F258" s="193">
        <f t="shared" si="18"/>
        <v>75</v>
      </c>
      <c r="G258" s="193">
        <v>75</v>
      </c>
      <c r="H258" s="193">
        <v>75</v>
      </c>
      <c r="I258" s="360">
        <f t="shared" si="16"/>
        <v>915</v>
      </c>
      <c r="J258" s="304">
        <v>0</v>
      </c>
      <c r="K258" s="304">
        <v>155</v>
      </c>
      <c r="L258" s="304">
        <v>75</v>
      </c>
      <c r="M258" s="304">
        <v>233</v>
      </c>
      <c r="N258" s="390">
        <f t="shared" si="19"/>
        <v>310.66589</v>
      </c>
      <c r="O258" s="192">
        <f t="shared" si="15"/>
        <v>2008</v>
      </c>
      <c r="P258" s="30">
        <v>150</v>
      </c>
      <c r="Q258" s="28">
        <v>0</v>
      </c>
      <c r="R258" s="28">
        <v>0</v>
      </c>
      <c r="S258" s="281"/>
    </row>
    <row r="259" spans="1:19" ht="12.75">
      <c r="A259" s="28">
        <v>916</v>
      </c>
      <c r="B259" s="29" t="s">
        <v>230</v>
      </c>
      <c r="C259" s="28">
        <v>1300</v>
      </c>
      <c r="D259" s="382">
        <v>127</v>
      </c>
      <c r="E259" s="144">
        <v>127</v>
      </c>
      <c r="F259" s="193">
        <f t="shared" si="18"/>
        <v>127</v>
      </c>
      <c r="G259" s="193">
        <v>127</v>
      </c>
      <c r="H259" s="193">
        <v>127</v>
      </c>
      <c r="I259" s="360">
        <f t="shared" si="16"/>
        <v>916</v>
      </c>
      <c r="J259" s="304">
        <v>0</v>
      </c>
      <c r="K259" s="304">
        <v>116</v>
      </c>
      <c r="L259" s="304">
        <v>127</v>
      </c>
      <c r="M259" s="304">
        <v>233</v>
      </c>
      <c r="N259" s="390">
        <f t="shared" si="19"/>
        <v>310.66589</v>
      </c>
      <c r="O259" s="192">
        <f t="shared" si="15"/>
        <v>1660</v>
      </c>
      <c r="P259" s="30">
        <v>0</v>
      </c>
      <c r="Q259" s="28">
        <v>0</v>
      </c>
      <c r="R259" s="28">
        <v>0</v>
      </c>
      <c r="S259" s="281"/>
    </row>
    <row r="260" spans="1:19" ht="12.75">
      <c r="A260" s="28">
        <v>917</v>
      </c>
      <c r="B260" s="29" t="s">
        <v>231</v>
      </c>
      <c r="C260" s="28">
        <v>971</v>
      </c>
      <c r="D260" s="382">
        <v>170</v>
      </c>
      <c r="E260" s="366">
        <v>216</v>
      </c>
      <c r="F260" s="193">
        <v>261</v>
      </c>
      <c r="G260" s="304">
        <v>327</v>
      </c>
      <c r="H260" s="304">
        <v>350</v>
      </c>
      <c r="I260" s="360">
        <f t="shared" si="16"/>
        <v>917</v>
      </c>
      <c r="J260" s="304">
        <v>0</v>
      </c>
      <c r="K260" s="304">
        <v>0</v>
      </c>
      <c r="L260" s="304">
        <v>414.7</v>
      </c>
      <c r="M260" s="304">
        <v>0</v>
      </c>
      <c r="N260" s="390">
        <f>M260</f>
        <v>0</v>
      </c>
      <c r="O260" s="192">
        <f aca="true" t="shared" si="20" ref="O260:O323">C260+G260+M260</f>
        <v>1298</v>
      </c>
      <c r="P260" s="30">
        <v>0</v>
      </c>
      <c r="Q260" s="28">
        <v>0</v>
      </c>
      <c r="R260" s="28">
        <v>0</v>
      </c>
      <c r="S260" s="281"/>
    </row>
    <row r="261" spans="1:19" ht="12.75">
      <c r="A261" s="28">
        <v>918</v>
      </c>
      <c r="B261" s="29" t="s">
        <v>135</v>
      </c>
      <c r="C261" s="28">
        <v>971</v>
      </c>
      <c r="D261" s="382">
        <v>170</v>
      </c>
      <c r="E261" s="366">
        <v>216</v>
      </c>
      <c r="F261" s="193">
        <v>261</v>
      </c>
      <c r="G261" s="304">
        <v>327</v>
      </c>
      <c r="H261" s="304">
        <v>350</v>
      </c>
      <c r="I261" s="360">
        <f t="shared" si="16"/>
        <v>918</v>
      </c>
      <c r="J261" s="304">
        <v>0</v>
      </c>
      <c r="K261" s="304">
        <v>0</v>
      </c>
      <c r="L261" s="304">
        <v>414.7</v>
      </c>
      <c r="M261" s="304">
        <v>0</v>
      </c>
      <c r="N261" s="390">
        <f aca="true" t="shared" si="21" ref="N261:N324">M261</f>
        <v>0</v>
      </c>
      <c r="O261" s="192">
        <f t="shared" si="20"/>
        <v>1298</v>
      </c>
      <c r="P261" s="30">
        <v>150</v>
      </c>
      <c r="Q261" s="28">
        <v>0</v>
      </c>
      <c r="R261" s="28">
        <v>0</v>
      </c>
      <c r="S261" s="281"/>
    </row>
    <row r="262" spans="1:19" ht="12.75">
      <c r="A262" s="28">
        <v>919</v>
      </c>
      <c r="B262" s="29" t="s">
        <v>232</v>
      </c>
      <c r="C262" s="28">
        <v>971</v>
      </c>
      <c r="D262" s="382">
        <v>170</v>
      </c>
      <c r="E262" s="366">
        <v>216</v>
      </c>
      <c r="F262" s="193">
        <v>261</v>
      </c>
      <c r="G262" s="304">
        <v>327</v>
      </c>
      <c r="H262" s="304">
        <v>350</v>
      </c>
      <c r="I262" s="360">
        <f t="shared" si="16"/>
        <v>919</v>
      </c>
      <c r="J262" s="304">
        <v>0</v>
      </c>
      <c r="K262" s="304">
        <v>0</v>
      </c>
      <c r="L262" s="304">
        <v>414.7</v>
      </c>
      <c r="M262" s="304">
        <v>0</v>
      </c>
      <c r="N262" s="390">
        <f t="shared" si="21"/>
        <v>0</v>
      </c>
      <c r="O262" s="192">
        <f t="shared" si="20"/>
        <v>1298</v>
      </c>
      <c r="P262" s="30">
        <v>17</v>
      </c>
      <c r="Q262" s="28">
        <v>0</v>
      </c>
      <c r="R262" s="28">
        <v>0</v>
      </c>
      <c r="S262" s="281"/>
    </row>
    <row r="263" spans="1:19" ht="12.75">
      <c r="A263" s="28">
        <v>920</v>
      </c>
      <c r="B263" s="29" t="s">
        <v>233</v>
      </c>
      <c r="C263" s="28">
        <v>971</v>
      </c>
      <c r="D263" s="382">
        <v>170</v>
      </c>
      <c r="E263" s="366">
        <v>216</v>
      </c>
      <c r="F263" s="193">
        <v>261</v>
      </c>
      <c r="G263" s="304">
        <v>327</v>
      </c>
      <c r="H263" s="304">
        <v>350</v>
      </c>
      <c r="I263" s="360">
        <f aca="true" t="shared" si="22" ref="I263:I326">A263</f>
        <v>920</v>
      </c>
      <c r="J263" s="304">
        <v>0</v>
      </c>
      <c r="K263" s="304">
        <v>0</v>
      </c>
      <c r="L263" s="304">
        <v>414.7</v>
      </c>
      <c r="M263" s="304">
        <v>0</v>
      </c>
      <c r="N263" s="390">
        <f t="shared" si="21"/>
        <v>0</v>
      </c>
      <c r="O263" s="192">
        <f t="shared" si="20"/>
        <v>1298</v>
      </c>
      <c r="P263" s="30">
        <v>150</v>
      </c>
      <c r="Q263" s="28">
        <v>0</v>
      </c>
      <c r="R263" s="28">
        <v>0</v>
      </c>
      <c r="S263" s="281"/>
    </row>
    <row r="264" spans="1:19" ht="12.75">
      <c r="A264" s="28">
        <v>921</v>
      </c>
      <c r="B264" s="29" t="s">
        <v>234</v>
      </c>
      <c r="C264" s="28">
        <v>971</v>
      </c>
      <c r="D264" s="382">
        <v>170</v>
      </c>
      <c r="E264" s="366">
        <v>216</v>
      </c>
      <c r="F264" s="193">
        <v>261</v>
      </c>
      <c r="G264" s="304">
        <v>327</v>
      </c>
      <c r="H264" s="304">
        <v>350</v>
      </c>
      <c r="I264" s="360">
        <f t="shared" si="22"/>
        <v>921</v>
      </c>
      <c r="J264" s="304">
        <v>0</v>
      </c>
      <c r="K264" s="304">
        <v>0</v>
      </c>
      <c r="L264" s="304">
        <v>414.7</v>
      </c>
      <c r="M264" s="304">
        <v>0</v>
      </c>
      <c r="N264" s="390">
        <f t="shared" si="21"/>
        <v>0</v>
      </c>
      <c r="O264" s="192">
        <f t="shared" si="20"/>
        <v>1298</v>
      </c>
      <c r="P264" s="30">
        <v>0</v>
      </c>
      <c r="Q264" s="28">
        <v>0</v>
      </c>
      <c r="R264" s="28">
        <v>0</v>
      </c>
      <c r="S264" s="281"/>
    </row>
    <row r="265" spans="1:19" ht="12.75">
      <c r="A265" s="28">
        <v>922</v>
      </c>
      <c r="B265" s="29" t="s">
        <v>235</v>
      </c>
      <c r="C265" s="28">
        <v>971</v>
      </c>
      <c r="D265" s="382">
        <v>170</v>
      </c>
      <c r="E265" s="366">
        <v>216</v>
      </c>
      <c r="F265" s="193">
        <v>261</v>
      </c>
      <c r="G265" s="304">
        <v>327</v>
      </c>
      <c r="H265" s="304">
        <v>350</v>
      </c>
      <c r="I265" s="360">
        <f t="shared" si="22"/>
        <v>922</v>
      </c>
      <c r="J265" s="304">
        <v>0</v>
      </c>
      <c r="K265" s="304">
        <v>0</v>
      </c>
      <c r="L265" s="304">
        <v>414.7</v>
      </c>
      <c r="M265" s="304">
        <v>0</v>
      </c>
      <c r="N265" s="390">
        <f t="shared" si="21"/>
        <v>0</v>
      </c>
      <c r="O265" s="192">
        <f t="shared" si="20"/>
        <v>1298</v>
      </c>
      <c r="P265" s="30">
        <v>0</v>
      </c>
      <c r="Q265" s="28">
        <v>0</v>
      </c>
      <c r="R265" s="28">
        <v>0</v>
      </c>
      <c r="S265" s="281"/>
    </row>
    <row r="266" spans="1:19" ht="12.75">
      <c r="A266" s="28">
        <v>923</v>
      </c>
      <c r="B266" s="29" t="s">
        <v>236</v>
      </c>
      <c r="C266" s="28">
        <v>971</v>
      </c>
      <c r="D266" s="382">
        <v>170</v>
      </c>
      <c r="E266" s="366">
        <v>216</v>
      </c>
      <c r="F266" s="193">
        <v>261</v>
      </c>
      <c r="G266" s="304">
        <v>327</v>
      </c>
      <c r="H266" s="304">
        <v>350</v>
      </c>
      <c r="I266" s="360">
        <f t="shared" si="22"/>
        <v>923</v>
      </c>
      <c r="J266" s="304">
        <v>0</v>
      </c>
      <c r="K266" s="304">
        <v>0</v>
      </c>
      <c r="L266" s="304">
        <v>414.7</v>
      </c>
      <c r="M266" s="304">
        <v>0</v>
      </c>
      <c r="N266" s="390">
        <f t="shared" si="21"/>
        <v>0</v>
      </c>
      <c r="O266" s="192">
        <f t="shared" si="20"/>
        <v>1298</v>
      </c>
      <c r="P266" s="30">
        <v>0</v>
      </c>
      <c r="Q266" s="28">
        <v>0</v>
      </c>
      <c r="R266" s="28">
        <v>0</v>
      </c>
      <c r="S266" s="281"/>
    </row>
    <row r="267" spans="1:19" ht="12.75">
      <c r="A267" s="28">
        <v>924</v>
      </c>
      <c r="B267" s="29" t="s">
        <v>237</v>
      </c>
      <c r="C267" s="28">
        <v>971</v>
      </c>
      <c r="D267" s="382">
        <v>170</v>
      </c>
      <c r="E267" s="366">
        <v>216</v>
      </c>
      <c r="F267" s="193">
        <v>261</v>
      </c>
      <c r="G267" s="304">
        <v>327</v>
      </c>
      <c r="H267" s="304">
        <v>350</v>
      </c>
      <c r="I267" s="360">
        <f t="shared" si="22"/>
        <v>924</v>
      </c>
      <c r="J267" s="304">
        <v>0</v>
      </c>
      <c r="K267" s="304">
        <v>0</v>
      </c>
      <c r="L267" s="304">
        <v>414.7</v>
      </c>
      <c r="M267" s="304">
        <v>0</v>
      </c>
      <c r="N267" s="390">
        <f t="shared" si="21"/>
        <v>0</v>
      </c>
      <c r="O267" s="192">
        <f t="shared" si="20"/>
        <v>1298</v>
      </c>
      <c r="P267" s="30">
        <v>150</v>
      </c>
      <c r="Q267" s="28">
        <v>0</v>
      </c>
      <c r="R267" s="28">
        <v>0</v>
      </c>
      <c r="S267" s="281"/>
    </row>
    <row r="268" spans="1:19" ht="12.75">
      <c r="A268" s="28">
        <v>925</v>
      </c>
      <c r="B268" s="29" t="s">
        <v>51</v>
      </c>
      <c r="C268" s="28">
        <v>971</v>
      </c>
      <c r="D268" s="382">
        <v>170</v>
      </c>
      <c r="E268" s="366">
        <v>216</v>
      </c>
      <c r="F268" s="193">
        <v>261</v>
      </c>
      <c r="G268" s="304">
        <v>327</v>
      </c>
      <c r="H268" s="304">
        <v>350</v>
      </c>
      <c r="I268" s="360">
        <f t="shared" si="22"/>
        <v>925</v>
      </c>
      <c r="J268" s="304">
        <v>0</v>
      </c>
      <c r="K268" s="304">
        <v>0</v>
      </c>
      <c r="L268" s="304">
        <v>414.7</v>
      </c>
      <c r="M268" s="304">
        <v>0</v>
      </c>
      <c r="N268" s="390">
        <f t="shared" si="21"/>
        <v>0</v>
      </c>
      <c r="O268" s="192">
        <f t="shared" si="20"/>
        <v>1298</v>
      </c>
      <c r="P268" s="30">
        <v>0</v>
      </c>
      <c r="Q268" s="28">
        <v>0</v>
      </c>
      <c r="R268" s="28">
        <v>0</v>
      </c>
      <c r="S268" s="281"/>
    </row>
    <row r="269" spans="1:19" ht="12.75">
      <c r="A269" s="28">
        <v>926</v>
      </c>
      <c r="B269" s="29" t="s">
        <v>159</v>
      </c>
      <c r="C269" s="28">
        <v>1500</v>
      </c>
      <c r="D269" s="382">
        <v>101</v>
      </c>
      <c r="E269" s="144">
        <v>101</v>
      </c>
      <c r="F269" s="193">
        <f>IF(C269&lt;972,E269+44,E269)</f>
        <v>101</v>
      </c>
      <c r="G269" s="193">
        <v>101</v>
      </c>
      <c r="H269" s="193">
        <v>101</v>
      </c>
      <c r="I269" s="360">
        <f t="shared" si="22"/>
        <v>926</v>
      </c>
      <c r="J269" s="304">
        <v>0</v>
      </c>
      <c r="K269" s="304">
        <v>0</v>
      </c>
      <c r="L269" s="304">
        <v>101</v>
      </c>
      <c r="M269" s="304">
        <v>0</v>
      </c>
      <c r="N269" s="390">
        <f t="shared" si="21"/>
        <v>0</v>
      </c>
      <c r="O269" s="192">
        <f t="shared" si="20"/>
        <v>1601</v>
      </c>
      <c r="P269" s="30">
        <v>150</v>
      </c>
      <c r="Q269" s="28">
        <v>0</v>
      </c>
      <c r="R269" s="28">
        <v>0</v>
      </c>
      <c r="S269" s="281"/>
    </row>
    <row r="270" spans="1:19" ht="12.75">
      <c r="A270" s="28">
        <v>928</v>
      </c>
      <c r="B270" s="29" t="s">
        <v>130</v>
      </c>
      <c r="C270" s="28">
        <v>1500</v>
      </c>
      <c r="D270" s="382">
        <v>101</v>
      </c>
      <c r="E270" s="144">
        <v>101</v>
      </c>
      <c r="F270" s="193">
        <f>IF(C270&lt;972,E270+44,E270)</f>
        <v>101</v>
      </c>
      <c r="G270" s="193">
        <v>101</v>
      </c>
      <c r="H270" s="193">
        <v>101</v>
      </c>
      <c r="I270" s="360">
        <f t="shared" si="22"/>
        <v>928</v>
      </c>
      <c r="J270" s="304">
        <v>0</v>
      </c>
      <c r="K270" s="304">
        <v>0</v>
      </c>
      <c r="L270" s="304">
        <v>101</v>
      </c>
      <c r="M270" s="304">
        <v>0</v>
      </c>
      <c r="N270" s="390">
        <f t="shared" si="21"/>
        <v>0</v>
      </c>
      <c r="O270" s="192">
        <f t="shared" si="20"/>
        <v>1601</v>
      </c>
      <c r="P270" s="30">
        <v>150</v>
      </c>
      <c r="Q270" s="28">
        <v>0</v>
      </c>
      <c r="R270" s="28">
        <v>0</v>
      </c>
      <c r="S270" s="281"/>
    </row>
    <row r="271" spans="1:19" ht="12.75">
      <c r="A271" s="28">
        <v>929</v>
      </c>
      <c r="B271" s="29" t="s">
        <v>238</v>
      </c>
      <c r="C271" s="28">
        <v>971</v>
      </c>
      <c r="D271" s="382">
        <v>170</v>
      </c>
      <c r="E271" s="366">
        <v>216</v>
      </c>
      <c r="F271" s="193">
        <v>261</v>
      </c>
      <c r="G271" s="304">
        <v>327</v>
      </c>
      <c r="H271" s="304">
        <v>350</v>
      </c>
      <c r="I271" s="360">
        <f t="shared" si="22"/>
        <v>929</v>
      </c>
      <c r="J271" s="304">
        <v>0</v>
      </c>
      <c r="K271" s="304">
        <v>0</v>
      </c>
      <c r="L271" s="304">
        <v>414.7</v>
      </c>
      <c r="M271" s="304">
        <v>0</v>
      </c>
      <c r="N271" s="390">
        <f t="shared" si="21"/>
        <v>0</v>
      </c>
      <c r="O271" s="192">
        <f t="shared" si="20"/>
        <v>1298</v>
      </c>
      <c r="P271" s="30">
        <v>150</v>
      </c>
      <c r="Q271" s="28">
        <v>0</v>
      </c>
      <c r="R271" s="28">
        <v>0</v>
      </c>
      <c r="S271" s="281"/>
    </row>
    <row r="272" spans="1:19" ht="12.75">
      <c r="A272" s="28">
        <v>930</v>
      </c>
      <c r="B272" s="29" t="s">
        <v>239</v>
      </c>
      <c r="C272" s="28">
        <v>1592</v>
      </c>
      <c r="D272" s="382">
        <v>89</v>
      </c>
      <c r="E272" s="144">
        <v>89</v>
      </c>
      <c r="F272" s="193">
        <f>IF(C272&lt;972,E272+44,E272)</f>
        <v>89</v>
      </c>
      <c r="G272" s="193">
        <v>89</v>
      </c>
      <c r="H272" s="193">
        <v>89</v>
      </c>
      <c r="I272" s="360">
        <f t="shared" si="22"/>
        <v>930</v>
      </c>
      <c r="J272" s="304">
        <v>0</v>
      </c>
      <c r="K272" s="304">
        <v>0</v>
      </c>
      <c r="L272" s="304">
        <v>89</v>
      </c>
      <c r="M272" s="304">
        <v>233</v>
      </c>
      <c r="N272" s="390">
        <f>M272*1.33333</f>
        <v>310.66589</v>
      </c>
      <c r="O272" s="192">
        <f t="shared" si="20"/>
        <v>1914</v>
      </c>
      <c r="P272" s="30">
        <v>0</v>
      </c>
      <c r="Q272" s="28">
        <v>0</v>
      </c>
      <c r="R272" s="28">
        <v>0</v>
      </c>
      <c r="S272" s="281"/>
    </row>
    <row r="273" spans="1:19" ht="12.75">
      <c r="A273" s="28">
        <v>931</v>
      </c>
      <c r="B273" s="29" t="s">
        <v>240</v>
      </c>
      <c r="C273" s="28">
        <v>971</v>
      </c>
      <c r="D273" s="382">
        <v>170</v>
      </c>
      <c r="E273" s="366">
        <v>216</v>
      </c>
      <c r="F273" s="193">
        <v>261</v>
      </c>
      <c r="G273" s="304">
        <v>327</v>
      </c>
      <c r="H273" s="304">
        <v>350</v>
      </c>
      <c r="I273" s="360">
        <f t="shared" si="22"/>
        <v>931</v>
      </c>
      <c r="J273" s="304">
        <v>0</v>
      </c>
      <c r="K273" s="304">
        <v>0</v>
      </c>
      <c r="L273" s="304">
        <v>414.7</v>
      </c>
      <c r="M273" s="304">
        <v>0</v>
      </c>
      <c r="N273" s="390">
        <f t="shared" si="21"/>
        <v>0</v>
      </c>
      <c r="O273" s="192">
        <f t="shared" si="20"/>
        <v>1298</v>
      </c>
      <c r="P273" s="30">
        <v>0</v>
      </c>
      <c r="Q273" s="28">
        <v>0</v>
      </c>
      <c r="R273" s="28">
        <v>0</v>
      </c>
      <c r="S273" s="281"/>
    </row>
    <row r="274" spans="1:19" ht="14.25">
      <c r="A274" s="28">
        <v>932</v>
      </c>
      <c r="B274" s="29" t="s">
        <v>241</v>
      </c>
      <c r="C274" s="28">
        <v>2220</v>
      </c>
      <c r="D274" s="382">
        <v>7</v>
      </c>
      <c r="E274" s="144">
        <v>7</v>
      </c>
      <c r="F274" s="193">
        <f>IF(C274&lt;972,E274+44,E274)</f>
        <v>7</v>
      </c>
      <c r="G274" s="193">
        <v>7</v>
      </c>
      <c r="H274" s="193">
        <v>7</v>
      </c>
      <c r="I274" s="360">
        <f t="shared" si="22"/>
        <v>932</v>
      </c>
      <c r="J274" s="304">
        <v>0</v>
      </c>
      <c r="K274" s="304">
        <v>0</v>
      </c>
      <c r="L274" s="304">
        <v>7</v>
      </c>
      <c r="M274" s="364">
        <v>521.4</v>
      </c>
      <c r="N274" s="390">
        <f t="shared" si="21"/>
        <v>521.4</v>
      </c>
      <c r="O274" s="192">
        <f t="shared" si="20"/>
        <v>2748.4</v>
      </c>
      <c r="P274" s="30">
        <v>0</v>
      </c>
      <c r="Q274" s="28">
        <v>0</v>
      </c>
      <c r="R274" s="28">
        <v>0</v>
      </c>
      <c r="S274" s="281"/>
    </row>
    <row r="275" spans="1:19" ht="14.25">
      <c r="A275" s="37">
        <v>933</v>
      </c>
      <c r="B275" s="38" t="s">
        <v>242</v>
      </c>
      <c r="C275" s="37">
        <v>1580</v>
      </c>
      <c r="D275" s="382">
        <v>90</v>
      </c>
      <c r="E275" s="144">
        <v>90</v>
      </c>
      <c r="F275" s="193">
        <f>IF(C275&lt;972,E275+44,E275)</f>
        <v>90</v>
      </c>
      <c r="G275" s="193">
        <v>90</v>
      </c>
      <c r="H275" s="193">
        <v>90</v>
      </c>
      <c r="I275" s="360">
        <f t="shared" si="22"/>
        <v>933</v>
      </c>
      <c r="J275" s="304">
        <v>0</v>
      </c>
      <c r="K275" s="304">
        <v>0</v>
      </c>
      <c r="L275" s="304">
        <v>90</v>
      </c>
      <c r="M275" s="364">
        <v>347.6</v>
      </c>
      <c r="N275" s="390">
        <f t="shared" si="21"/>
        <v>347.6</v>
      </c>
      <c r="O275" s="192">
        <f t="shared" si="20"/>
        <v>2017.6</v>
      </c>
      <c r="P275" s="39">
        <v>0</v>
      </c>
      <c r="Q275" s="37">
        <v>0</v>
      </c>
      <c r="R275" s="37">
        <v>0</v>
      </c>
      <c r="S275" s="281"/>
    </row>
    <row r="276" spans="1:19" ht="12.75">
      <c r="A276" s="28">
        <v>934</v>
      </c>
      <c r="B276" s="29" t="s">
        <v>243</v>
      </c>
      <c r="C276" s="28">
        <v>922</v>
      </c>
      <c r="D276" s="382">
        <v>176</v>
      </c>
      <c r="E276" s="366">
        <v>216</v>
      </c>
      <c r="F276" s="193">
        <v>261</v>
      </c>
      <c r="G276" s="304">
        <v>327</v>
      </c>
      <c r="H276" s="304">
        <v>350</v>
      </c>
      <c r="I276" s="360">
        <f t="shared" si="22"/>
        <v>934</v>
      </c>
      <c r="J276" s="304">
        <v>0</v>
      </c>
      <c r="K276" s="304">
        <v>0</v>
      </c>
      <c r="L276" s="304">
        <v>414.7</v>
      </c>
      <c r="M276" s="304">
        <v>0</v>
      </c>
      <c r="N276" s="390">
        <f t="shared" si="21"/>
        <v>0</v>
      </c>
      <c r="O276" s="192">
        <f t="shared" si="20"/>
        <v>1249</v>
      </c>
      <c r="P276" s="30">
        <v>0</v>
      </c>
      <c r="Q276" s="28">
        <v>0</v>
      </c>
      <c r="R276" s="28">
        <v>0</v>
      </c>
      <c r="S276" s="281"/>
    </row>
    <row r="277" spans="1:19" ht="12.75">
      <c r="A277" s="28">
        <v>935</v>
      </c>
      <c r="B277" s="29" t="s">
        <v>244</v>
      </c>
      <c r="C277" s="28">
        <v>971</v>
      </c>
      <c r="D277" s="382">
        <v>170</v>
      </c>
      <c r="E277" s="366">
        <v>216</v>
      </c>
      <c r="F277" s="193">
        <v>261</v>
      </c>
      <c r="G277" s="304">
        <v>327</v>
      </c>
      <c r="H277" s="304">
        <v>350</v>
      </c>
      <c r="I277" s="360">
        <f t="shared" si="22"/>
        <v>935</v>
      </c>
      <c r="J277" s="304">
        <v>0</v>
      </c>
      <c r="K277" s="304">
        <v>0</v>
      </c>
      <c r="L277" s="304">
        <v>414.7</v>
      </c>
      <c r="M277" s="304">
        <v>0</v>
      </c>
      <c r="N277" s="390">
        <f t="shared" si="21"/>
        <v>0</v>
      </c>
      <c r="O277" s="192">
        <f t="shared" si="20"/>
        <v>1298</v>
      </c>
      <c r="P277" s="30">
        <v>0</v>
      </c>
      <c r="Q277" s="28">
        <v>0</v>
      </c>
      <c r="R277" s="28">
        <v>0</v>
      </c>
      <c r="S277" s="281"/>
    </row>
    <row r="278" spans="1:19" ht="12.75">
      <c r="A278" s="28">
        <v>936</v>
      </c>
      <c r="B278" s="29" t="s">
        <v>245</v>
      </c>
      <c r="C278" s="28">
        <v>1250</v>
      </c>
      <c r="D278" s="382">
        <v>134</v>
      </c>
      <c r="E278" s="144">
        <v>134</v>
      </c>
      <c r="F278" s="193">
        <f>IF(C278&lt;972,E278+44,E278)</f>
        <v>134</v>
      </c>
      <c r="G278" s="193">
        <v>134</v>
      </c>
      <c r="H278" s="193">
        <v>134</v>
      </c>
      <c r="I278" s="360">
        <f t="shared" si="22"/>
        <v>936</v>
      </c>
      <c r="J278" s="304">
        <v>0</v>
      </c>
      <c r="K278" s="304">
        <v>0</v>
      </c>
      <c r="L278" s="304">
        <v>134</v>
      </c>
      <c r="M278" s="304">
        <v>0</v>
      </c>
      <c r="N278" s="390">
        <f t="shared" si="21"/>
        <v>0</v>
      </c>
      <c r="O278" s="192">
        <f t="shared" si="20"/>
        <v>1384</v>
      </c>
      <c r="P278" s="30">
        <v>0</v>
      </c>
      <c r="Q278" s="28">
        <v>0</v>
      </c>
      <c r="R278" s="28">
        <v>0</v>
      </c>
      <c r="S278" s="281"/>
    </row>
    <row r="279" spans="1:19" ht="12.75">
      <c r="A279" s="34">
        <v>937</v>
      </c>
      <c r="B279" s="35" t="s">
        <v>246</v>
      </c>
      <c r="C279" s="34">
        <v>971</v>
      </c>
      <c r="D279" s="382">
        <v>170</v>
      </c>
      <c r="E279" s="366">
        <v>216</v>
      </c>
      <c r="F279" s="193">
        <v>261</v>
      </c>
      <c r="G279" s="304">
        <v>327</v>
      </c>
      <c r="H279" s="304">
        <v>350</v>
      </c>
      <c r="I279" s="360">
        <f t="shared" si="22"/>
        <v>937</v>
      </c>
      <c r="J279" s="304">
        <v>0</v>
      </c>
      <c r="K279" s="304">
        <v>0</v>
      </c>
      <c r="L279" s="304">
        <v>414.7</v>
      </c>
      <c r="M279" s="304">
        <v>0</v>
      </c>
      <c r="N279" s="390">
        <f t="shared" si="21"/>
        <v>0</v>
      </c>
      <c r="O279" s="192">
        <f t="shared" si="20"/>
        <v>1298</v>
      </c>
      <c r="P279" s="36">
        <v>0</v>
      </c>
      <c r="Q279" s="34">
        <v>0</v>
      </c>
      <c r="R279" s="34">
        <v>0</v>
      </c>
      <c r="S279" s="281"/>
    </row>
    <row r="280" spans="1:19" ht="12.75">
      <c r="A280" s="28">
        <v>940</v>
      </c>
      <c r="B280" s="29" t="s">
        <v>247</v>
      </c>
      <c r="C280" s="28">
        <v>1692</v>
      </c>
      <c r="D280" s="382">
        <v>76</v>
      </c>
      <c r="E280" s="144">
        <v>76</v>
      </c>
      <c r="F280" s="193">
        <f aca="true" t="shared" si="23" ref="F280:F285">IF(C280&lt;972,E280+44,E280)</f>
        <v>76</v>
      </c>
      <c r="G280" s="193">
        <v>76</v>
      </c>
      <c r="H280" s="193">
        <v>76</v>
      </c>
      <c r="I280" s="360">
        <f t="shared" si="22"/>
        <v>940</v>
      </c>
      <c r="J280" s="304">
        <v>0</v>
      </c>
      <c r="K280" s="304">
        <v>0</v>
      </c>
      <c r="L280" s="304">
        <v>76</v>
      </c>
      <c r="M280" s="304">
        <v>272</v>
      </c>
      <c r="N280" s="390">
        <f>M280*1.33333</f>
        <v>362.66576</v>
      </c>
      <c r="O280" s="192">
        <f t="shared" si="20"/>
        <v>2040</v>
      </c>
      <c r="P280" s="30">
        <v>0</v>
      </c>
      <c r="Q280" s="28">
        <v>0</v>
      </c>
      <c r="R280" s="28">
        <v>0</v>
      </c>
      <c r="S280" s="281"/>
    </row>
    <row r="281" spans="1:19" ht="12.75">
      <c r="A281" s="28">
        <v>941</v>
      </c>
      <c r="B281" s="29" t="s">
        <v>248</v>
      </c>
      <c r="C281" s="28">
        <v>1942</v>
      </c>
      <c r="D281" s="382">
        <v>43</v>
      </c>
      <c r="E281" s="144">
        <v>43</v>
      </c>
      <c r="F281" s="193">
        <f t="shared" si="23"/>
        <v>43</v>
      </c>
      <c r="G281" s="193">
        <v>43</v>
      </c>
      <c r="H281" s="193">
        <v>43</v>
      </c>
      <c r="I281" s="360">
        <f t="shared" si="22"/>
        <v>941</v>
      </c>
      <c r="J281" s="304">
        <v>0</v>
      </c>
      <c r="K281" s="304">
        <v>194</v>
      </c>
      <c r="L281" s="304">
        <v>43</v>
      </c>
      <c r="M281" s="304">
        <v>388</v>
      </c>
      <c r="N281" s="390">
        <f>M281*1.33333</f>
        <v>517.33204</v>
      </c>
      <c r="O281" s="192">
        <f t="shared" si="20"/>
        <v>2373</v>
      </c>
      <c r="P281" s="30">
        <v>0</v>
      </c>
      <c r="Q281" s="28">
        <v>0</v>
      </c>
      <c r="R281" s="28">
        <v>0</v>
      </c>
      <c r="S281" s="281"/>
    </row>
    <row r="282" spans="1:19" ht="12.75">
      <c r="A282" s="28">
        <v>942</v>
      </c>
      <c r="B282" s="29" t="s">
        <v>249</v>
      </c>
      <c r="C282" s="28">
        <v>1782</v>
      </c>
      <c r="D282" s="382">
        <v>64</v>
      </c>
      <c r="E282" s="144">
        <v>64</v>
      </c>
      <c r="F282" s="193">
        <f t="shared" si="23"/>
        <v>64</v>
      </c>
      <c r="G282" s="193">
        <v>64</v>
      </c>
      <c r="H282" s="193">
        <v>64</v>
      </c>
      <c r="I282" s="360">
        <f t="shared" si="22"/>
        <v>942</v>
      </c>
      <c r="J282" s="304">
        <v>0</v>
      </c>
      <c r="K282" s="304">
        <v>0</v>
      </c>
      <c r="L282" s="304">
        <v>64</v>
      </c>
      <c r="M282" s="304">
        <v>349</v>
      </c>
      <c r="N282" s="390">
        <f>M282*1.33333</f>
        <v>465.33216999999996</v>
      </c>
      <c r="O282" s="192">
        <f t="shared" si="20"/>
        <v>2195</v>
      </c>
      <c r="P282" s="30">
        <v>0</v>
      </c>
      <c r="Q282" s="28">
        <v>0</v>
      </c>
      <c r="R282" s="28">
        <v>0</v>
      </c>
      <c r="S282" s="281"/>
    </row>
    <row r="283" spans="1:19" ht="12.75">
      <c r="A283" s="28">
        <v>943</v>
      </c>
      <c r="B283" s="29" t="s">
        <v>158</v>
      </c>
      <c r="C283" s="28">
        <v>1500</v>
      </c>
      <c r="D283" s="382">
        <v>101</v>
      </c>
      <c r="E283" s="144">
        <v>101</v>
      </c>
      <c r="F283" s="193">
        <f t="shared" si="23"/>
        <v>101</v>
      </c>
      <c r="G283" s="193">
        <v>101</v>
      </c>
      <c r="H283" s="193">
        <v>101</v>
      </c>
      <c r="I283" s="360">
        <f t="shared" si="22"/>
        <v>943</v>
      </c>
      <c r="J283" s="304">
        <v>0</v>
      </c>
      <c r="K283" s="304">
        <v>0</v>
      </c>
      <c r="L283" s="304">
        <v>101</v>
      </c>
      <c r="M283" s="304">
        <v>0</v>
      </c>
      <c r="N283" s="390">
        <f t="shared" si="21"/>
        <v>0</v>
      </c>
      <c r="O283" s="192">
        <f t="shared" si="20"/>
        <v>1601</v>
      </c>
      <c r="P283" s="30">
        <v>150</v>
      </c>
      <c r="Q283" s="28">
        <v>0</v>
      </c>
      <c r="R283" s="28">
        <v>0</v>
      </c>
      <c r="S283" s="281"/>
    </row>
    <row r="284" spans="1:19" ht="12.75">
      <c r="A284" s="28">
        <v>944</v>
      </c>
      <c r="B284" s="29" t="s">
        <v>250</v>
      </c>
      <c r="C284" s="28">
        <v>1400</v>
      </c>
      <c r="D284" s="382">
        <v>114</v>
      </c>
      <c r="E284" s="144">
        <v>114</v>
      </c>
      <c r="F284" s="193">
        <f t="shared" si="23"/>
        <v>114</v>
      </c>
      <c r="G284" s="193">
        <v>114</v>
      </c>
      <c r="H284" s="193">
        <v>114</v>
      </c>
      <c r="I284" s="360">
        <f t="shared" si="22"/>
        <v>944</v>
      </c>
      <c r="J284" s="304">
        <v>0</v>
      </c>
      <c r="K284" s="304">
        <v>116</v>
      </c>
      <c r="L284" s="304">
        <v>114</v>
      </c>
      <c r="M284" s="304">
        <v>233</v>
      </c>
      <c r="N284" s="390">
        <f>M284*1.33333</f>
        <v>310.66589</v>
      </c>
      <c r="O284" s="192">
        <f t="shared" si="20"/>
        <v>1747</v>
      </c>
      <c r="P284" s="30">
        <v>0</v>
      </c>
      <c r="Q284" s="28">
        <v>0</v>
      </c>
      <c r="R284" s="28">
        <v>0</v>
      </c>
      <c r="S284" s="281"/>
    </row>
    <row r="285" spans="1:19" ht="12.75">
      <c r="A285" s="28">
        <v>945</v>
      </c>
      <c r="B285" s="29" t="s">
        <v>251</v>
      </c>
      <c r="C285" s="28">
        <v>1782</v>
      </c>
      <c r="D285" s="382">
        <v>64</v>
      </c>
      <c r="E285" s="144">
        <v>64</v>
      </c>
      <c r="F285" s="193">
        <f t="shared" si="23"/>
        <v>64</v>
      </c>
      <c r="G285" s="193">
        <v>64</v>
      </c>
      <c r="H285" s="193">
        <v>64</v>
      </c>
      <c r="I285" s="360">
        <f t="shared" si="22"/>
        <v>945</v>
      </c>
      <c r="J285" s="304">
        <v>0</v>
      </c>
      <c r="K285" s="304">
        <v>175</v>
      </c>
      <c r="L285" s="304">
        <v>64</v>
      </c>
      <c r="M285" s="304">
        <v>233</v>
      </c>
      <c r="N285" s="390">
        <f>M285*1.33333</f>
        <v>310.66589</v>
      </c>
      <c r="O285" s="192">
        <f t="shared" si="20"/>
        <v>2079</v>
      </c>
      <c r="P285" s="30">
        <v>0</v>
      </c>
      <c r="Q285" s="28">
        <v>0</v>
      </c>
      <c r="R285" s="28">
        <v>669</v>
      </c>
      <c r="S285" s="281"/>
    </row>
    <row r="286" spans="1:19" ht="12.75">
      <c r="A286" s="28">
        <v>946</v>
      </c>
      <c r="B286" s="29" t="s">
        <v>188</v>
      </c>
      <c r="C286" s="28">
        <v>971</v>
      </c>
      <c r="D286" s="382">
        <v>170</v>
      </c>
      <c r="E286" s="366">
        <v>170</v>
      </c>
      <c r="F286" s="193">
        <v>170</v>
      </c>
      <c r="G286" s="304">
        <v>214</v>
      </c>
      <c r="H286" s="304">
        <v>214</v>
      </c>
      <c r="I286" s="360">
        <f t="shared" si="22"/>
        <v>946</v>
      </c>
      <c r="J286" s="304">
        <v>0</v>
      </c>
      <c r="K286" s="304">
        <v>0</v>
      </c>
      <c r="L286" s="304">
        <v>214</v>
      </c>
      <c r="M286" s="304">
        <v>0</v>
      </c>
      <c r="N286" s="390">
        <f t="shared" si="21"/>
        <v>0</v>
      </c>
      <c r="O286" s="192">
        <f t="shared" si="20"/>
        <v>1185</v>
      </c>
      <c r="P286" s="30">
        <v>0</v>
      </c>
      <c r="Q286" s="28">
        <v>0</v>
      </c>
      <c r="R286" s="28">
        <v>620</v>
      </c>
      <c r="S286" s="281"/>
    </row>
    <row r="287" spans="1:19" ht="12.75">
      <c r="A287" s="28">
        <v>947</v>
      </c>
      <c r="B287" s="29" t="s">
        <v>252</v>
      </c>
      <c r="C287" s="28">
        <v>971</v>
      </c>
      <c r="D287" s="382">
        <v>170</v>
      </c>
      <c r="E287" s="366">
        <v>216</v>
      </c>
      <c r="F287" s="193">
        <v>261</v>
      </c>
      <c r="G287" s="304">
        <v>327</v>
      </c>
      <c r="H287" s="304">
        <v>350</v>
      </c>
      <c r="I287" s="360">
        <f t="shared" si="22"/>
        <v>947</v>
      </c>
      <c r="J287" s="304">
        <v>0</v>
      </c>
      <c r="K287" s="304">
        <v>0</v>
      </c>
      <c r="L287" s="304">
        <v>414.7</v>
      </c>
      <c r="M287" s="304">
        <v>0</v>
      </c>
      <c r="N287" s="390">
        <f t="shared" si="21"/>
        <v>0</v>
      </c>
      <c r="O287" s="192">
        <f t="shared" si="20"/>
        <v>1298</v>
      </c>
      <c r="P287" s="30">
        <v>0</v>
      </c>
      <c r="Q287" s="28">
        <v>0</v>
      </c>
      <c r="R287" s="28">
        <v>155</v>
      </c>
      <c r="S287" s="281"/>
    </row>
    <row r="288" spans="1:19" ht="12.75">
      <c r="A288" s="28">
        <v>948</v>
      </c>
      <c r="B288" s="307" t="s">
        <v>457</v>
      </c>
      <c r="C288" s="28">
        <v>1300</v>
      </c>
      <c r="D288" s="382"/>
      <c r="E288" s="366"/>
      <c r="F288" s="193"/>
      <c r="G288" s="304">
        <v>127</v>
      </c>
      <c r="H288" s="304">
        <v>127</v>
      </c>
      <c r="I288" s="360">
        <f t="shared" si="22"/>
        <v>948</v>
      </c>
      <c r="J288" s="304"/>
      <c r="K288" s="304"/>
      <c r="L288" s="304">
        <v>127</v>
      </c>
      <c r="M288" s="304">
        <v>233</v>
      </c>
      <c r="N288" s="390">
        <f>M288*1.33333</f>
        <v>310.66589</v>
      </c>
      <c r="O288" s="192">
        <f t="shared" si="20"/>
        <v>1660</v>
      </c>
      <c r="P288" s="30">
        <v>0</v>
      </c>
      <c r="Q288" s="28">
        <v>0</v>
      </c>
      <c r="R288" s="28">
        <v>657</v>
      </c>
      <c r="S288" s="281"/>
    </row>
    <row r="289" spans="1:19" ht="12.75">
      <c r="A289" s="28">
        <v>951</v>
      </c>
      <c r="B289" s="29" t="s">
        <v>145</v>
      </c>
      <c r="C289" s="28">
        <v>1500</v>
      </c>
      <c r="D289" s="382">
        <v>101</v>
      </c>
      <c r="E289" s="144">
        <v>101</v>
      </c>
      <c r="F289" s="193">
        <f>IF(C289&lt;972,E289+44,E289)</f>
        <v>101</v>
      </c>
      <c r="G289" s="193">
        <v>101</v>
      </c>
      <c r="H289" s="193">
        <v>101</v>
      </c>
      <c r="I289" s="360">
        <f t="shared" si="22"/>
        <v>951</v>
      </c>
      <c r="J289" s="304">
        <v>0</v>
      </c>
      <c r="K289" s="304">
        <v>0</v>
      </c>
      <c r="L289" s="304">
        <v>101</v>
      </c>
      <c r="M289" s="304">
        <v>0</v>
      </c>
      <c r="N289" s="390">
        <f t="shared" si="21"/>
        <v>0</v>
      </c>
      <c r="O289" s="192">
        <f t="shared" si="20"/>
        <v>1601</v>
      </c>
      <c r="P289" s="30">
        <v>150</v>
      </c>
      <c r="Q289" s="28">
        <v>0</v>
      </c>
      <c r="R289" s="28">
        <v>0</v>
      </c>
      <c r="S289" s="281"/>
    </row>
    <row r="290" spans="1:19" ht="12.75">
      <c r="A290" s="28">
        <v>952</v>
      </c>
      <c r="B290" s="29" t="s">
        <v>253</v>
      </c>
      <c r="C290" s="28">
        <v>971</v>
      </c>
      <c r="D290" s="382">
        <v>170</v>
      </c>
      <c r="E290" s="366">
        <v>216</v>
      </c>
      <c r="F290" s="193">
        <v>261</v>
      </c>
      <c r="G290" s="304">
        <v>327</v>
      </c>
      <c r="H290" s="304">
        <v>350</v>
      </c>
      <c r="I290" s="360">
        <f t="shared" si="22"/>
        <v>952</v>
      </c>
      <c r="J290" s="304">
        <v>0</v>
      </c>
      <c r="K290" s="304">
        <v>0</v>
      </c>
      <c r="L290" s="304">
        <v>414.7</v>
      </c>
      <c r="M290" s="304">
        <v>0</v>
      </c>
      <c r="N290" s="390">
        <f t="shared" si="21"/>
        <v>0</v>
      </c>
      <c r="O290" s="192">
        <f t="shared" si="20"/>
        <v>1298</v>
      </c>
      <c r="P290" s="30">
        <v>0</v>
      </c>
      <c r="Q290" s="28">
        <v>0</v>
      </c>
      <c r="R290" s="28">
        <v>155</v>
      </c>
      <c r="S290" s="281"/>
    </row>
    <row r="291" spans="1:19" ht="12.75">
      <c r="A291" s="28">
        <v>953</v>
      </c>
      <c r="B291" s="29" t="s">
        <v>254</v>
      </c>
      <c r="C291" s="28">
        <v>971</v>
      </c>
      <c r="D291" s="382">
        <v>170</v>
      </c>
      <c r="E291" s="366">
        <v>216</v>
      </c>
      <c r="F291" s="193">
        <v>261</v>
      </c>
      <c r="G291" s="304">
        <v>327</v>
      </c>
      <c r="H291" s="304">
        <v>350</v>
      </c>
      <c r="I291" s="360">
        <f t="shared" si="22"/>
        <v>953</v>
      </c>
      <c r="J291" s="304">
        <v>0</v>
      </c>
      <c r="K291" s="304">
        <v>0</v>
      </c>
      <c r="L291" s="304">
        <v>414.7</v>
      </c>
      <c r="M291" s="304">
        <v>0</v>
      </c>
      <c r="N291" s="390">
        <f t="shared" si="21"/>
        <v>0</v>
      </c>
      <c r="O291" s="192">
        <f t="shared" si="20"/>
        <v>1298</v>
      </c>
      <c r="P291" s="30">
        <v>0</v>
      </c>
      <c r="Q291" s="28">
        <v>0</v>
      </c>
      <c r="R291" s="28">
        <v>155</v>
      </c>
      <c r="S291" s="281"/>
    </row>
    <row r="292" spans="1:19" ht="12.75">
      <c r="A292" s="28">
        <v>954</v>
      </c>
      <c r="B292" s="29" t="s">
        <v>255</v>
      </c>
      <c r="C292" s="28">
        <v>1600</v>
      </c>
      <c r="D292" s="382">
        <v>88</v>
      </c>
      <c r="E292" s="144">
        <v>88</v>
      </c>
      <c r="F292" s="193">
        <f>IF(C292&lt;972,E292+44,E292)</f>
        <v>88</v>
      </c>
      <c r="G292" s="193">
        <v>88</v>
      </c>
      <c r="H292" s="193">
        <v>88</v>
      </c>
      <c r="I292" s="360">
        <f t="shared" si="22"/>
        <v>954</v>
      </c>
      <c r="J292" s="304">
        <v>0</v>
      </c>
      <c r="K292" s="304">
        <v>116</v>
      </c>
      <c r="L292" s="304">
        <v>88</v>
      </c>
      <c r="M292" s="304">
        <v>233</v>
      </c>
      <c r="N292" s="390">
        <f>M292*1.33333</f>
        <v>310.66589</v>
      </c>
      <c r="O292" s="192">
        <f t="shared" si="20"/>
        <v>1921</v>
      </c>
      <c r="P292" s="30">
        <v>0</v>
      </c>
      <c r="Q292" s="28">
        <v>0</v>
      </c>
      <c r="R292" s="28">
        <v>657</v>
      </c>
      <c r="S292" s="281"/>
    </row>
    <row r="293" spans="1:19" ht="12.75">
      <c r="A293" s="28">
        <v>955</v>
      </c>
      <c r="B293" s="29" t="s">
        <v>174</v>
      </c>
      <c r="C293" s="28">
        <v>971</v>
      </c>
      <c r="D293" s="382">
        <v>170</v>
      </c>
      <c r="E293" s="366">
        <v>216</v>
      </c>
      <c r="F293" s="193">
        <v>261</v>
      </c>
      <c r="G293" s="304">
        <v>327</v>
      </c>
      <c r="H293" s="304">
        <v>350</v>
      </c>
      <c r="I293" s="360">
        <f t="shared" si="22"/>
        <v>955</v>
      </c>
      <c r="J293" s="304">
        <v>0</v>
      </c>
      <c r="K293" s="304">
        <v>0</v>
      </c>
      <c r="L293" s="304">
        <v>414.7</v>
      </c>
      <c r="M293" s="304">
        <v>0</v>
      </c>
      <c r="N293" s="390">
        <f t="shared" si="21"/>
        <v>0</v>
      </c>
      <c r="O293" s="192">
        <f t="shared" si="20"/>
        <v>1298</v>
      </c>
      <c r="P293" s="30">
        <v>0</v>
      </c>
      <c r="Q293" s="28">
        <v>0</v>
      </c>
      <c r="R293" s="28">
        <v>0</v>
      </c>
      <c r="S293" s="281"/>
    </row>
    <row r="294" spans="1:19" ht="12.75">
      <c r="A294" s="28">
        <v>956</v>
      </c>
      <c r="B294" s="29" t="s">
        <v>256</v>
      </c>
      <c r="C294" s="28">
        <v>1692</v>
      </c>
      <c r="D294" s="382">
        <v>76</v>
      </c>
      <c r="E294" s="144">
        <v>76</v>
      </c>
      <c r="F294" s="193">
        <f aca="true" t="shared" si="24" ref="F294:F300">IF(C294&lt;972,E294+44,E294)</f>
        <v>76</v>
      </c>
      <c r="G294" s="193">
        <v>76</v>
      </c>
      <c r="H294" s="193">
        <v>76</v>
      </c>
      <c r="I294" s="360">
        <f t="shared" si="22"/>
        <v>956</v>
      </c>
      <c r="J294" s="304">
        <v>0</v>
      </c>
      <c r="K294" s="304">
        <v>136</v>
      </c>
      <c r="L294" s="304">
        <v>76</v>
      </c>
      <c r="M294" s="304">
        <v>272</v>
      </c>
      <c r="N294" s="390">
        <f>M294*1.33333</f>
        <v>362.66576</v>
      </c>
      <c r="O294" s="192">
        <f t="shared" si="20"/>
        <v>2040</v>
      </c>
      <c r="P294" s="30">
        <v>0</v>
      </c>
      <c r="Q294" s="28">
        <v>0</v>
      </c>
      <c r="R294" s="28">
        <v>663</v>
      </c>
      <c r="S294" s="281"/>
    </row>
    <row r="295" spans="1:19" ht="12.75">
      <c r="A295" s="28">
        <v>957</v>
      </c>
      <c r="B295" s="29" t="s">
        <v>453</v>
      </c>
      <c r="C295" s="28">
        <v>1700</v>
      </c>
      <c r="D295" s="382">
        <v>75</v>
      </c>
      <c r="E295" s="144">
        <v>75</v>
      </c>
      <c r="F295" s="193">
        <f t="shared" si="24"/>
        <v>75</v>
      </c>
      <c r="G295" s="193">
        <v>75</v>
      </c>
      <c r="H295" s="193">
        <v>75</v>
      </c>
      <c r="I295" s="360">
        <f t="shared" si="22"/>
        <v>957</v>
      </c>
      <c r="J295" s="304">
        <v>0</v>
      </c>
      <c r="K295" s="304">
        <v>0</v>
      </c>
      <c r="L295" s="304">
        <v>75</v>
      </c>
      <c r="M295" s="304">
        <v>310</v>
      </c>
      <c r="N295" s="390">
        <f>M295*1.33333</f>
        <v>413.3323</v>
      </c>
      <c r="O295" s="192">
        <f t="shared" si="20"/>
        <v>2085</v>
      </c>
      <c r="P295" s="30">
        <v>0</v>
      </c>
      <c r="Q295" s="28">
        <v>0</v>
      </c>
      <c r="R295" s="28">
        <v>0</v>
      </c>
      <c r="S295" s="281"/>
    </row>
    <row r="296" spans="1:19" ht="12.75">
      <c r="A296" s="28">
        <v>958</v>
      </c>
      <c r="B296" s="29" t="s">
        <v>257</v>
      </c>
      <c r="C296" s="28">
        <v>2913</v>
      </c>
      <c r="D296" s="382">
        <v>0</v>
      </c>
      <c r="E296" s="144">
        <v>0</v>
      </c>
      <c r="F296" s="193">
        <f t="shared" si="24"/>
        <v>0</v>
      </c>
      <c r="G296" s="193">
        <v>0</v>
      </c>
      <c r="H296" s="193">
        <v>0</v>
      </c>
      <c r="I296" s="360">
        <f t="shared" si="22"/>
        <v>958</v>
      </c>
      <c r="J296" s="304">
        <v>0</v>
      </c>
      <c r="K296" s="304">
        <v>0</v>
      </c>
      <c r="L296" s="304">
        <v>0</v>
      </c>
      <c r="M296" s="304">
        <v>0</v>
      </c>
      <c r="N296" s="390">
        <f t="shared" si="21"/>
        <v>0</v>
      </c>
      <c r="O296" s="192">
        <f t="shared" si="20"/>
        <v>2913</v>
      </c>
      <c r="P296" s="30">
        <v>0</v>
      </c>
      <c r="Q296" s="28">
        <v>0</v>
      </c>
      <c r="R296" s="28">
        <v>0</v>
      </c>
      <c r="S296" s="281"/>
    </row>
    <row r="297" spans="1:19" ht="12.75">
      <c r="A297" s="28">
        <v>959</v>
      </c>
      <c r="B297" s="29" t="s">
        <v>452</v>
      </c>
      <c r="C297" s="28">
        <v>1942</v>
      </c>
      <c r="D297" s="382">
        <v>7</v>
      </c>
      <c r="E297" s="144">
        <v>7</v>
      </c>
      <c r="F297" s="193">
        <f t="shared" si="24"/>
        <v>7</v>
      </c>
      <c r="G297" s="193">
        <v>43</v>
      </c>
      <c r="H297" s="193">
        <v>43</v>
      </c>
      <c r="I297" s="360">
        <f t="shared" si="22"/>
        <v>959</v>
      </c>
      <c r="J297" s="304">
        <v>0</v>
      </c>
      <c r="K297" s="304">
        <v>0</v>
      </c>
      <c r="L297" s="304">
        <v>43</v>
      </c>
      <c r="M297" s="304">
        <v>388</v>
      </c>
      <c r="N297" s="390">
        <f t="shared" si="21"/>
        <v>388</v>
      </c>
      <c r="O297" s="192">
        <f t="shared" si="20"/>
        <v>2373</v>
      </c>
      <c r="P297" s="30">
        <v>0</v>
      </c>
      <c r="Q297" s="28">
        <v>0</v>
      </c>
      <c r="R297" s="28">
        <v>0</v>
      </c>
      <c r="S297" s="281"/>
    </row>
    <row r="298" spans="1:19" ht="12.75">
      <c r="A298" s="28">
        <v>960</v>
      </c>
      <c r="B298" s="29" t="s">
        <v>455</v>
      </c>
      <c r="C298" s="28">
        <v>1600</v>
      </c>
      <c r="D298" s="382">
        <v>68</v>
      </c>
      <c r="E298" s="144">
        <v>68</v>
      </c>
      <c r="F298" s="193">
        <f t="shared" si="24"/>
        <v>68</v>
      </c>
      <c r="G298" s="193">
        <v>68</v>
      </c>
      <c r="H298" s="193">
        <v>68</v>
      </c>
      <c r="I298" s="360">
        <f t="shared" si="22"/>
        <v>960</v>
      </c>
      <c r="J298" s="304">
        <v>0</v>
      </c>
      <c r="K298" s="304">
        <v>0</v>
      </c>
      <c r="L298" s="304">
        <v>68</v>
      </c>
      <c r="M298" s="304">
        <v>233</v>
      </c>
      <c r="N298" s="390">
        <f t="shared" si="21"/>
        <v>233</v>
      </c>
      <c r="O298" s="192">
        <f t="shared" si="20"/>
        <v>1901</v>
      </c>
      <c r="P298" s="30">
        <v>0</v>
      </c>
      <c r="Q298" s="28">
        <v>0</v>
      </c>
      <c r="R298" s="28">
        <v>0</v>
      </c>
      <c r="S298" s="281"/>
    </row>
    <row r="299" spans="1:19" ht="14.25">
      <c r="A299" s="28">
        <v>961</v>
      </c>
      <c r="B299" s="29" t="s">
        <v>258</v>
      </c>
      <c r="C299" s="28">
        <v>1580</v>
      </c>
      <c r="D299" s="382">
        <v>90</v>
      </c>
      <c r="E299" s="144">
        <v>90</v>
      </c>
      <c r="F299" s="193">
        <f t="shared" si="24"/>
        <v>90</v>
      </c>
      <c r="G299" s="193">
        <v>90</v>
      </c>
      <c r="H299" s="193">
        <v>90</v>
      </c>
      <c r="I299" s="360">
        <f t="shared" si="22"/>
        <v>961</v>
      </c>
      <c r="J299" s="304">
        <v>0</v>
      </c>
      <c r="K299" s="304">
        <v>0</v>
      </c>
      <c r="L299" s="304">
        <v>90</v>
      </c>
      <c r="M299" s="364">
        <v>347.6</v>
      </c>
      <c r="N299" s="390">
        <f t="shared" si="21"/>
        <v>347.6</v>
      </c>
      <c r="O299" s="192">
        <f t="shared" si="20"/>
        <v>2017.6</v>
      </c>
      <c r="P299" s="30">
        <v>0</v>
      </c>
      <c r="Q299" s="28">
        <v>0</v>
      </c>
      <c r="R299" s="28">
        <v>0</v>
      </c>
      <c r="S299" s="281"/>
    </row>
    <row r="300" spans="1:19" ht="12.75">
      <c r="A300" s="28">
        <v>962</v>
      </c>
      <c r="B300" s="29" t="s">
        <v>259</v>
      </c>
      <c r="C300" s="28">
        <v>1580</v>
      </c>
      <c r="D300" s="382">
        <v>90</v>
      </c>
      <c r="E300" s="144">
        <v>90</v>
      </c>
      <c r="F300" s="193">
        <f t="shared" si="24"/>
        <v>90</v>
      </c>
      <c r="G300" s="193">
        <v>90</v>
      </c>
      <c r="H300" s="193">
        <v>90</v>
      </c>
      <c r="I300" s="360">
        <f t="shared" si="22"/>
        <v>962</v>
      </c>
      <c r="J300" s="304">
        <v>0</v>
      </c>
      <c r="K300" s="304">
        <v>0</v>
      </c>
      <c r="L300" s="304">
        <v>90</v>
      </c>
      <c r="M300" s="304">
        <v>0</v>
      </c>
      <c r="N300" s="390">
        <f t="shared" si="21"/>
        <v>0</v>
      </c>
      <c r="O300" s="192">
        <f t="shared" si="20"/>
        <v>1670</v>
      </c>
      <c r="P300" s="30">
        <v>0</v>
      </c>
      <c r="Q300" s="28">
        <v>0</v>
      </c>
      <c r="R300" s="28">
        <v>0</v>
      </c>
      <c r="S300" s="281"/>
    </row>
    <row r="301" spans="1:19" ht="12.75">
      <c r="A301" s="28">
        <v>963</v>
      </c>
      <c r="B301" s="29" t="s">
        <v>260</v>
      </c>
      <c r="C301" s="28">
        <v>951</v>
      </c>
      <c r="D301" s="382">
        <v>170</v>
      </c>
      <c r="E301" s="366">
        <v>216</v>
      </c>
      <c r="F301" s="193">
        <v>261</v>
      </c>
      <c r="G301" s="304">
        <v>327</v>
      </c>
      <c r="H301" s="304">
        <v>350</v>
      </c>
      <c r="I301" s="360">
        <f t="shared" si="22"/>
        <v>963</v>
      </c>
      <c r="J301" s="304">
        <v>0</v>
      </c>
      <c r="K301" s="304">
        <v>0</v>
      </c>
      <c r="L301" s="304">
        <v>414.7</v>
      </c>
      <c r="M301" s="304">
        <v>0</v>
      </c>
      <c r="N301" s="390">
        <f t="shared" si="21"/>
        <v>0</v>
      </c>
      <c r="O301" s="192">
        <f t="shared" si="20"/>
        <v>1278</v>
      </c>
      <c r="P301" s="30">
        <v>0</v>
      </c>
      <c r="Q301" s="28">
        <v>0</v>
      </c>
      <c r="R301" s="28">
        <v>0</v>
      </c>
      <c r="S301" s="281"/>
    </row>
    <row r="302" spans="1:19" ht="12.75">
      <c r="A302" s="28">
        <v>965</v>
      </c>
      <c r="B302" s="29" t="s">
        <v>261</v>
      </c>
      <c r="C302" s="28">
        <v>2913</v>
      </c>
      <c r="D302" s="382">
        <v>0</v>
      </c>
      <c r="E302" s="144">
        <v>0</v>
      </c>
      <c r="F302" s="193">
        <f>IF(C302&lt;972,E302+44,E302)</f>
        <v>0</v>
      </c>
      <c r="G302" s="193">
        <v>0</v>
      </c>
      <c r="H302" s="193">
        <v>0</v>
      </c>
      <c r="I302" s="360">
        <f t="shared" si="22"/>
        <v>965</v>
      </c>
      <c r="J302" s="304">
        <v>0</v>
      </c>
      <c r="K302" s="304">
        <v>0</v>
      </c>
      <c r="L302" s="304">
        <v>0</v>
      </c>
      <c r="M302" s="304">
        <v>0</v>
      </c>
      <c r="N302" s="390">
        <f t="shared" si="21"/>
        <v>0</v>
      </c>
      <c r="O302" s="192">
        <f t="shared" si="20"/>
        <v>2913</v>
      </c>
      <c r="P302" s="30">
        <v>0</v>
      </c>
      <c r="Q302" s="28">
        <v>0</v>
      </c>
      <c r="R302" s="28">
        <v>0</v>
      </c>
      <c r="S302" s="281"/>
    </row>
    <row r="303" spans="1:19" ht="14.25">
      <c r="A303" s="28">
        <v>966</v>
      </c>
      <c r="B303" s="29" t="s">
        <v>262</v>
      </c>
      <c r="C303" s="28">
        <v>1850</v>
      </c>
      <c r="D303" s="382">
        <v>55</v>
      </c>
      <c r="E303" s="144">
        <v>55</v>
      </c>
      <c r="F303" s="193">
        <f>IF(C303&lt;972,E303+44,E303)</f>
        <v>55</v>
      </c>
      <c r="G303" s="193">
        <v>55</v>
      </c>
      <c r="H303" s="193">
        <v>55</v>
      </c>
      <c r="I303" s="360">
        <f t="shared" si="22"/>
        <v>966</v>
      </c>
      <c r="J303" s="304">
        <v>0</v>
      </c>
      <c r="K303" s="304">
        <v>0</v>
      </c>
      <c r="L303" s="304">
        <v>55</v>
      </c>
      <c r="M303" s="364">
        <v>434.5</v>
      </c>
      <c r="N303" s="390">
        <f t="shared" si="21"/>
        <v>434.5</v>
      </c>
      <c r="O303" s="192">
        <f t="shared" si="20"/>
        <v>2339.5</v>
      </c>
      <c r="P303" s="30">
        <v>0</v>
      </c>
      <c r="Q303" s="28">
        <v>0</v>
      </c>
      <c r="R303" s="28">
        <v>0</v>
      </c>
      <c r="S303" s="281"/>
    </row>
    <row r="304" spans="1:19" ht="12.75">
      <c r="A304" s="28">
        <v>967</v>
      </c>
      <c r="B304" s="29" t="s">
        <v>263</v>
      </c>
      <c r="C304" s="28">
        <v>1564</v>
      </c>
      <c r="D304" s="382">
        <v>93</v>
      </c>
      <c r="E304" s="144">
        <v>93</v>
      </c>
      <c r="F304" s="193">
        <f>IF(C304&lt;972,E304+44,E304)</f>
        <v>93</v>
      </c>
      <c r="G304" s="193">
        <v>93</v>
      </c>
      <c r="H304" s="193">
        <v>93</v>
      </c>
      <c r="I304" s="360">
        <f t="shared" si="22"/>
        <v>967</v>
      </c>
      <c r="J304" s="304">
        <v>0</v>
      </c>
      <c r="K304" s="304">
        <v>0</v>
      </c>
      <c r="L304" s="304">
        <v>93</v>
      </c>
      <c r="M304" s="304">
        <v>0</v>
      </c>
      <c r="N304" s="390">
        <f t="shared" si="21"/>
        <v>0</v>
      </c>
      <c r="O304" s="192">
        <f t="shared" si="20"/>
        <v>1657</v>
      </c>
      <c r="P304" s="30">
        <v>0</v>
      </c>
      <c r="Q304" s="28">
        <v>0</v>
      </c>
      <c r="R304" s="28">
        <v>0</v>
      </c>
      <c r="S304" s="281"/>
    </row>
    <row r="305" spans="1:19" ht="12.75">
      <c r="A305" s="28">
        <v>968</v>
      </c>
      <c r="B305" s="29" t="s">
        <v>212</v>
      </c>
      <c r="C305" s="28">
        <v>1500</v>
      </c>
      <c r="D305" s="382">
        <v>101</v>
      </c>
      <c r="E305" s="144">
        <v>101</v>
      </c>
      <c r="F305" s="193">
        <f>IF(C305&lt;972,E305+44,E305)</f>
        <v>101</v>
      </c>
      <c r="G305" s="193">
        <v>101</v>
      </c>
      <c r="H305" s="193">
        <v>101</v>
      </c>
      <c r="I305" s="360">
        <f t="shared" si="22"/>
        <v>968</v>
      </c>
      <c r="J305" s="304">
        <v>0</v>
      </c>
      <c r="K305" s="304">
        <v>0</v>
      </c>
      <c r="L305" s="304">
        <v>101</v>
      </c>
      <c r="M305" s="304">
        <v>388</v>
      </c>
      <c r="N305" s="390">
        <f>M305*1.33333</f>
        <v>517.33204</v>
      </c>
      <c r="O305" s="192">
        <f t="shared" si="20"/>
        <v>1989</v>
      </c>
      <c r="P305" s="30">
        <v>0</v>
      </c>
      <c r="Q305" s="28">
        <v>0</v>
      </c>
      <c r="R305" s="28">
        <v>0</v>
      </c>
      <c r="S305" s="281"/>
    </row>
    <row r="306" spans="1:19" ht="12.75">
      <c r="A306" s="28">
        <v>969</v>
      </c>
      <c r="B306" s="29" t="s">
        <v>264</v>
      </c>
      <c r="C306" s="28">
        <v>971</v>
      </c>
      <c r="D306" s="382">
        <v>170</v>
      </c>
      <c r="E306" s="366">
        <v>216</v>
      </c>
      <c r="F306" s="193">
        <v>261</v>
      </c>
      <c r="G306" s="304">
        <v>327</v>
      </c>
      <c r="H306" s="304">
        <v>350</v>
      </c>
      <c r="I306" s="360">
        <f t="shared" si="22"/>
        <v>969</v>
      </c>
      <c r="J306" s="304">
        <v>0</v>
      </c>
      <c r="K306" s="304">
        <v>0</v>
      </c>
      <c r="L306" s="304">
        <v>414.7</v>
      </c>
      <c r="M306" s="304">
        <v>0</v>
      </c>
      <c r="N306" s="390">
        <f t="shared" si="21"/>
        <v>0</v>
      </c>
      <c r="O306" s="192">
        <f t="shared" si="20"/>
        <v>1298</v>
      </c>
      <c r="P306" s="30">
        <v>150</v>
      </c>
      <c r="Q306" s="28">
        <v>0</v>
      </c>
      <c r="R306" s="28">
        <v>0</v>
      </c>
      <c r="S306" s="281"/>
    </row>
    <row r="307" spans="1:19" ht="12.75">
      <c r="A307" s="28">
        <v>970</v>
      </c>
      <c r="B307" s="29" t="s">
        <v>265</v>
      </c>
      <c r="C307" s="28">
        <v>1480</v>
      </c>
      <c r="D307" s="382">
        <v>104</v>
      </c>
      <c r="E307" s="144">
        <v>104</v>
      </c>
      <c r="F307" s="193">
        <f>IF(C307&lt;972,E307+44,E307)</f>
        <v>104</v>
      </c>
      <c r="G307" s="193">
        <v>104</v>
      </c>
      <c r="H307" s="193">
        <v>104</v>
      </c>
      <c r="I307" s="360">
        <f t="shared" si="22"/>
        <v>970</v>
      </c>
      <c r="J307" s="304">
        <v>0</v>
      </c>
      <c r="K307" s="304">
        <v>0</v>
      </c>
      <c r="L307" s="304">
        <v>104</v>
      </c>
      <c r="M307" s="304">
        <v>0</v>
      </c>
      <c r="N307" s="390">
        <f t="shared" si="21"/>
        <v>0</v>
      </c>
      <c r="O307" s="192">
        <f t="shared" si="20"/>
        <v>1584</v>
      </c>
      <c r="P307" s="30">
        <v>0</v>
      </c>
      <c r="Q307" s="28">
        <v>0</v>
      </c>
      <c r="R307" s="28">
        <v>0</v>
      </c>
      <c r="S307" s="281"/>
    </row>
    <row r="308" spans="1:19" ht="12.75">
      <c r="A308" s="28">
        <v>971</v>
      </c>
      <c r="B308" s="29" t="s">
        <v>266</v>
      </c>
      <c r="C308" s="28">
        <v>1400</v>
      </c>
      <c r="D308" s="382">
        <v>114</v>
      </c>
      <c r="E308" s="144">
        <v>114</v>
      </c>
      <c r="F308" s="193">
        <f>IF(C308&lt;972,E308+44,E308)</f>
        <v>114</v>
      </c>
      <c r="G308" s="193">
        <v>114</v>
      </c>
      <c r="H308" s="193">
        <v>114</v>
      </c>
      <c r="I308" s="360">
        <f t="shared" si="22"/>
        <v>971</v>
      </c>
      <c r="J308" s="304">
        <v>0</v>
      </c>
      <c r="K308" s="304">
        <v>116</v>
      </c>
      <c r="L308" s="304">
        <v>114</v>
      </c>
      <c r="M308" s="304">
        <v>233</v>
      </c>
      <c r="N308" s="390">
        <f>M308*1.33333</f>
        <v>310.66589</v>
      </c>
      <c r="O308" s="192">
        <f t="shared" si="20"/>
        <v>1747</v>
      </c>
      <c r="P308" s="30">
        <v>150</v>
      </c>
      <c r="Q308" s="28">
        <v>0</v>
      </c>
      <c r="R308" s="28">
        <v>0</v>
      </c>
      <c r="S308" s="281"/>
    </row>
    <row r="309" spans="1:19" ht="12.75">
      <c r="A309" s="28">
        <v>972</v>
      </c>
      <c r="B309" s="29" t="s">
        <v>267</v>
      </c>
      <c r="C309" s="28">
        <v>1692</v>
      </c>
      <c r="D309" s="382">
        <v>76</v>
      </c>
      <c r="E309" s="144">
        <v>76</v>
      </c>
      <c r="F309" s="193">
        <f>IF(C309&lt;972,E309+44,E309)</f>
        <v>76</v>
      </c>
      <c r="G309" s="193">
        <v>76</v>
      </c>
      <c r="H309" s="193">
        <v>76</v>
      </c>
      <c r="I309" s="360">
        <f t="shared" si="22"/>
        <v>972</v>
      </c>
      <c r="J309" s="304">
        <v>0</v>
      </c>
      <c r="K309" s="304">
        <v>136</v>
      </c>
      <c r="L309" s="304">
        <v>76</v>
      </c>
      <c r="M309" s="304">
        <v>272</v>
      </c>
      <c r="N309" s="390">
        <f>M309*1.33333</f>
        <v>362.66576</v>
      </c>
      <c r="O309" s="192">
        <f t="shared" si="20"/>
        <v>2040</v>
      </c>
      <c r="P309" s="30">
        <v>17</v>
      </c>
      <c r="Q309" s="28">
        <v>0</v>
      </c>
      <c r="R309" s="28">
        <v>0</v>
      </c>
      <c r="S309" s="281"/>
    </row>
    <row r="310" spans="1:19" ht="12.75">
      <c r="A310" s="28">
        <v>973</v>
      </c>
      <c r="B310" s="29" t="s">
        <v>268</v>
      </c>
      <c r="C310" s="28">
        <v>1592</v>
      </c>
      <c r="D310" s="382">
        <v>89</v>
      </c>
      <c r="E310" s="144">
        <v>89</v>
      </c>
      <c r="F310" s="193">
        <f>IF(C310&lt;972,E310+44,E310)</f>
        <v>89</v>
      </c>
      <c r="G310" s="193">
        <v>89</v>
      </c>
      <c r="H310" s="193">
        <v>89</v>
      </c>
      <c r="I310" s="360">
        <f t="shared" si="22"/>
        <v>973</v>
      </c>
      <c r="J310" s="304">
        <v>0</v>
      </c>
      <c r="K310" s="304">
        <v>0</v>
      </c>
      <c r="L310" s="304">
        <v>89</v>
      </c>
      <c r="M310" s="304">
        <v>233</v>
      </c>
      <c r="N310" s="390">
        <f>M310*1.33333</f>
        <v>310.66589</v>
      </c>
      <c r="O310" s="192">
        <f t="shared" si="20"/>
        <v>1914</v>
      </c>
      <c r="P310" s="30">
        <v>17</v>
      </c>
      <c r="Q310" s="28">
        <v>0</v>
      </c>
      <c r="R310" s="28">
        <v>0</v>
      </c>
      <c r="S310" s="281"/>
    </row>
    <row r="311" spans="1:19" ht="12.75">
      <c r="A311" s="28">
        <v>974</v>
      </c>
      <c r="B311" s="29" t="s">
        <v>269</v>
      </c>
      <c r="C311" s="28">
        <v>1500</v>
      </c>
      <c r="D311" s="382">
        <v>101</v>
      </c>
      <c r="E311" s="144">
        <v>101</v>
      </c>
      <c r="F311" s="193">
        <f>IF(C311&lt;972,E311+44,E311)</f>
        <v>101</v>
      </c>
      <c r="G311" s="193">
        <v>101</v>
      </c>
      <c r="H311" s="193">
        <v>101</v>
      </c>
      <c r="I311" s="360">
        <f t="shared" si="22"/>
        <v>974</v>
      </c>
      <c r="J311" s="304">
        <v>0</v>
      </c>
      <c r="K311" s="304">
        <v>0</v>
      </c>
      <c r="L311" s="304">
        <v>101</v>
      </c>
      <c r="M311" s="304">
        <v>0</v>
      </c>
      <c r="N311" s="390">
        <f t="shared" si="21"/>
        <v>0</v>
      </c>
      <c r="O311" s="192">
        <f t="shared" si="20"/>
        <v>1601</v>
      </c>
      <c r="P311" s="30">
        <v>150</v>
      </c>
      <c r="Q311" s="28">
        <v>0</v>
      </c>
      <c r="R311" s="28">
        <v>0</v>
      </c>
      <c r="S311" s="281"/>
    </row>
    <row r="312" spans="1:19" ht="12.75">
      <c r="A312" s="28">
        <v>975</v>
      </c>
      <c r="B312" s="29" t="s">
        <v>270</v>
      </c>
      <c r="C312" s="28">
        <v>971</v>
      </c>
      <c r="D312" s="382">
        <v>170</v>
      </c>
      <c r="E312" s="366">
        <v>216</v>
      </c>
      <c r="F312" s="193">
        <v>261</v>
      </c>
      <c r="G312" s="304">
        <v>327</v>
      </c>
      <c r="H312" s="304">
        <v>350</v>
      </c>
      <c r="I312" s="360">
        <f t="shared" si="22"/>
        <v>975</v>
      </c>
      <c r="J312" s="304">
        <v>0</v>
      </c>
      <c r="K312" s="304">
        <v>0</v>
      </c>
      <c r="L312" s="304">
        <v>414.7</v>
      </c>
      <c r="M312" s="304">
        <v>0</v>
      </c>
      <c r="N312" s="390">
        <f t="shared" si="21"/>
        <v>0</v>
      </c>
      <c r="O312" s="192">
        <f t="shared" si="20"/>
        <v>1298</v>
      </c>
      <c r="P312" s="30">
        <v>0</v>
      </c>
      <c r="Q312" s="28">
        <v>0</v>
      </c>
      <c r="R312" s="28">
        <v>0</v>
      </c>
      <c r="S312" s="281"/>
    </row>
    <row r="313" spans="1:19" ht="12.75">
      <c r="A313" s="28">
        <v>976</v>
      </c>
      <c r="B313" s="29" t="s">
        <v>271</v>
      </c>
      <c r="C313" s="28">
        <v>971</v>
      </c>
      <c r="D313" s="382">
        <v>170</v>
      </c>
      <c r="E313" s="366">
        <v>216</v>
      </c>
      <c r="F313" s="193">
        <v>261</v>
      </c>
      <c r="G313" s="304">
        <v>327</v>
      </c>
      <c r="H313" s="304">
        <v>350</v>
      </c>
      <c r="I313" s="360">
        <f t="shared" si="22"/>
        <v>976</v>
      </c>
      <c r="J313" s="304">
        <v>0</v>
      </c>
      <c r="K313" s="304">
        <v>0</v>
      </c>
      <c r="L313" s="304">
        <v>414.7</v>
      </c>
      <c r="M313" s="304">
        <v>0</v>
      </c>
      <c r="N313" s="390">
        <f t="shared" si="21"/>
        <v>0</v>
      </c>
      <c r="O313" s="192">
        <f t="shared" si="20"/>
        <v>1298</v>
      </c>
      <c r="P313" s="30">
        <v>0</v>
      </c>
      <c r="Q313" s="28">
        <v>0</v>
      </c>
      <c r="R313" s="28">
        <v>0</v>
      </c>
      <c r="S313" s="281"/>
    </row>
    <row r="314" spans="1:19" ht="12.75">
      <c r="A314" s="28">
        <v>977</v>
      </c>
      <c r="B314" s="29" t="s">
        <v>272</v>
      </c>
      <c r="C314" s="28">
        <v>971</v>
      </c>
      <c r="D314" s="382">
        <v>170</v>
      </c>
      <c r="E314" s="366">
        <v>216</v>
      </c>
      <c r="F314" s="193">
        <v>261</v>
      </c>
      <c r="G314" s="304">
        <v>327</v>
      </c>
      <c r="H314" s="304">
        <v>350</v>
      </c>
      <c r="I314" s="360">
        <f t="shared" si="22"/>
        <v>977</v>
      </c>
      <c r="J314" s="304">
        <v>0</v>
      </c>
      <c r="K314" s="304">
        <v>0</v>
      </c>
      <c r="L314" s="304">
        <v>414.7</v>
      </c>
      <c r="M314" s="304">
        <v>0</v>
      </c>
      <c r="N314" s="390">
        <f t="shared" si="21"/>
        <v>0</v>
      </c>
      <c r="O314" s="192">
        <f t="shared" si="20"/>
        <v>1298</v>
      </c>
      <c r="P314" s="30">
        <v>0</v>
      </c>
      <c r="Q314" s="28">
        <v>0</v>
      </c>
      <c r="R314" s="28">
        <v>0</v>
      </c>
      <c r="S314" s="281"/>
    </row>
    <row r="315" spans="1:19" ht="12.75">
      <c r="A315" s="28">
        <v>978</v>
      </c>
      <c r="B315" s="29" t="s">
        <v>273</v>
      </c>
      <c r="C315" s="28">
        <v>1840</v>
      </c>
      <c r="D315" s="382">
        <v>57</v>
      </c>
      <c r="E315" s="144">
        <v>57</v>
      </c>
      <c r="F315" s="193">
        <f>IF(C315&lt;972,E315+44,E315)</f>
        <v>57</v>
      </c>
      <c r="G315" s="193">
        <v>57</v>
      </c>
      <c r="H315" s="193">
        <v>57</v>
      </c>
      <c r="I315" s="360">
        <f t="shared" si="22"/>
        <v>978</v>
      </c>
      <c r="J315" s="304">
        <v>0</v>
      </c>
      <c r="K315" s="304">
        <v>194</v>
      </c>
      <c r="L315" s="304">
        <v>57</v>
      </c>
      <c r="M315" s="304">
        <v>388</v>
      </c>
      <c r="N315" s="390">
        <f>M315*1.33333</f>
        <v>517.33204</v>
      </c>
      <c r="O315" s="192">
        <f t="shared" si="20"/>
        <v>2285</v>
      </c>
      <c r="P315" s="30">
        <v>0</v>
      </c>
      <c r="Q315" s="28">
        <v>0</v>
      </c>
      <c r="R315" s="28">
        <v>0</v>
      </c>
      <c r="S315" s="281"/>
    </row>
    <row r="316" spans="1:19" ht="12.75">
      <c r="A316" s="28">
        <v>979</v>
      </c>
      <c r="B316" s="29" t="s">
        <v>458</v>
      </c>
      <c r="C316" s="28">
        <v>1400</v>
      </c>
      <c r="D316" s="382">
        <v>70</v>
      </c>
      <c r="E316" s="144">
        <v>70</v>
      </c>
      <c r="F316" s="193">
        <f>IF(C316&lt;972,E316+44,E316)</f>
        <v>70</v>
      </c>
      <c r="G316" s="193">
        <v>70</v>
      </c>
      <c r="H316" s="193">
        <v>70</v>
      </c>
      <c r="I316" s="360">
        <f t="shared" si="22"/>
        <v>979</v>
      </c>
      <c r="J316" s="304">
        <v>0</v>
      </c>
      <c r="K316" s="304">
        <v>0</v>
      </c>
      <c r="L316" s="304">
        <v>70</v>
      </c>
      <c r="M316" s="304">
        <v>233</v>
      </c>
      <c r="N316" s="390">
        <f>M316*1.33333</f>
        <v>310.66589</v>
      </c>
      <c r="O316" s="192">
        <f t="shared" si="20"/>
        <v>1703</v>
      </c>
      <c r="P316" s="30">
        <v>0</v>
      </c>
      <c r="Q316" s="28">
        <v>0</v>
      </c>
      <c r="R316" s="28">
        <v>0</v>
      </c>
      <c r="S316" s="281"/>
    </row>
    <row r="317" spans="1:19" ht="12.75">
      <c r="A317" s="28">
        <v>980</v>
      </c>
      <c r="B317" s="29" t="s">
        <v>459</v>
      </c>
      <c r="C317" s="28">
        <v>1300</v>
      </c>
      <c r="D317" s="382">
        <v>222</v>
      </c>
      <c r="E317" s="144">
        <v>216</v>
      </c>
      <c r="F317" s="193">
        <v>261</v>
      </c>
      <c r="G317" s="193">
        <v>127</v>
      </c>
      <c r="H317" s="193">
        <v>127</v>
      </c>
      <c r="I317" s="360">
        <f t="shared" si="22"/>
        <v>980</v>
      </c>
      <c r="J317" s="304">
        <v>0</v>
      </c>
      <c r="K317" s="304">
        <v>0</v>
      </c>
      <c r="L317" s="304">
        <v>127</v>
      </c>
      <c r="M317" s="304">
        <v>233</v>
      </c>
      <c r="N317" s="390">
        <f>M317*1.33333</f>
        <v>310.66589</v>
      </c>
      <c r="O317" s="192">
        <f t="shared" si="20"/>
        <v>1660</v>
      </c>
      <c r="P317" s="30">
        <v>0</v>
      </c>
      <c r="Q317" s="28">
        <v>0</v>
      </c>
      <c r="R317" s="28">
        <v>0</v>
      </c>
      <c r="S317" s="281"/>
    </row>
    <row r="318" spans="1:19" ht="12.75">
      <c r="A318" s="28">
        <v>981</v>
      </c>
      <c r="B318" s="29" t="s">
        <v>460</v>
      </c>
      <c r="C318" s="28">
        <v>1250</v>
      </c>
      <c r="D318" s="382">
        <v>64</v>
      </c>
      <c r="E318" s="144">
        <v>64</v>
      </c>
      <c r="F318" s="193">
        <f>IF(C318&lt;972,E318+44,E318)</f>
        <v>64</v>
      </c>
      <c r="G318" s="193">
        <v>134</v>
      </c>
      <c r="H318" s="193">
        <v>134</v>
      </c>
      <c r="I318" s="360">
        <f t="shared" si="22"/>
        <v>981</v>
      </c>
      <c r="J318" s="304">
        <v>0</v>
      </c>
      <c r="K318" s="304">
        <v>194</v>
      </c>
      <c r="L318" s="304">
        <v>134</v>
      </c>
      <c r="M318" s="304">
        <v>233</v>
      </c>
      <c r="N318" s="390">
        <f>M318*1.33333</f>
        <v>310.66589</v>
      </c>
      <c r="O318" s="192">
        <f t="shared" si="20"/>
        <v>1617</v>
      </c>
      <c r="P318" s="30">
        <v>0</v>
      </c>
      <c r="Q318" s="28">
        <v>0</v>
      </c>
      <c r="R318" s="28">
        <v>0</v>
      </c>
      <c r="S318" s="281"/>
    </row>
    <row r="319" spans="1:19" ht="12.75">
      <c r="A319" s="28">
        <v>982</v>
      </c>
      <c r="B319" s="29" t="s">
        <v>274</v>
      </c>
      <c r="C319" s="28">
        <v>1740</v>
      </c>
      <c r="D319" s="382">
        <v>70</v>
      </c>
      <c r="E319" s="144">
        <v>70</v>
      </c>
      <c r="F319" s="193">
        <f>IF(C319&lt;972,E319+44,E319)</f>
        <v>70</v>
      </c>
      <c r="G319" s="193">
        <v>70</v>
      </c>
      <c r="H319" s="193">
        <v>70</v>
      </c>
      <c r="I319" s="360">
        <f t="shared" si="22"/>
        <v>982</v>
      </c>
      <c r="J319" s="304">
        <v>0</v>
      </c>
      <c r="K319" s="304">
        <v>155</v>
      </c>
      <c r="L319" s="304">
        <v>70</v>
      </c>
      <c r="M319" s="304">
        <v>310</v>
      </c>
      <c r="N319" s="390">
        <f>M319*1.33333</f>
        <v>413.3323</v>
      </c>
      <c r="O319" s="192">
        <f t="shared" si="20"/>
        <v>2120</v>
      </c>
      <c r="P319" s="30">
        <v>0</v>
      </c>
      <c r="Q319" s="28">
        <v>0</v>
      </c>
      <c r="R319" s="28">
        <v>0</v>
      </c>
      <c r="S319" s="281"/>
    </row>
    <row r="320" spans="1:19" ht="12.75">
      <c r="A320" s="28">
        <v>983</v>
      </c>
      <c r="B320" s="29" t="s">
        <v>275</v>
      </c>
      <c r="C320" s="28">
        <v>1170</v>
      </c>
      <c r="D320" s="382">
        <v>144</v>
      </c>
      <c r="E320" s="144">
        <v>144</v>
      </c>
      <c r="F320" s="193">
        <f>IF(C320&lt;972,E320+44,E320)</f>
        <v>144</v>
      </c>
      <c r="G320" s="193">
        <v>144</v>
      </c>
      <c r="H320" s="193">
        <v>144</v>
      </c>
      <c r="I320" s="360">
        <f t="shared" si="22"/>
        <v>983</v>
      </c>
      <c r="J320" s="304">
        <v>0</v>
      </c>
      <c r="K320" s="304">
        <v>0</v>
      </c>
      <c r="L320" s="304">
        <v>144</v>
      </c>
      <c r="M320" s="304">
        <v>0</v>
      </c>
      <c r="N320" s="390">
        <f t="shared" si="21"/>
        <v>0</v>
      </c>
      <c r="O320" s="192">
        <f t="shared" si="20"/>
        <v>1314</v>
      </c>
      <c r="P320" s="30">
        <v>0</v>
      </c>
      <c r="Q320" s="28">
        <v>0</v>
      </c>
      <c r="R320" s="28">
        <v>0</v>
      </c>
      <c r="S320" s="281"/>
    </row>
    <row r="321" spans="1:19" ht="12.75">
      <c r="A321" s="28">
        <v>984</v>
      </c>
      <c r="B321" s="29" t="s">
        <v>276</v>
      </c>
      <c r="C321" s="28">
        <v>690</v>
      </c>
      <c r="D321" s="382">
        <v>207</v>
      </c>
      <c r="E321" s="366">
        <v>216</v>
      </c>
      <c r="F321" s="193">
        <v>261</v>
      </c>
      <c r="G321" s="304">
        <v>327</v>
      </c>
      <c r="H321" s="304">
        <v>350</v>
      </c>
      <c r="I321" s="360">
        <f t="shared" si="22"/>
        <v>984</v>
      </c>
      <c r="J321" s="304">
        <v>0</v>
      </c>
      <c r="K321" s="304">
        <v>0</v>
      </c>
      <c r="L321" s="304">
        <v>414.7</v>
      </c>
      <c r="M321" s="304">
        <v>0</v>
      </c>
      <c r="N321" s="390">
        <f t="shared" si="21"/>
        <v>0</v>
      </c>
      <c r="O321" s="192">
        <f t="shared" si="20"/>
        <v>1017</v>
      </c>
      <c r="P321" s="30">
        <v>0</v>
      </c>
      <c r="Q321" s="28">
        <v>0</v>
      </c>
      <c r="R321" s="28">
        <v>0</v>
      </c>
      <c r="S321" s="281"/>
    </row>
    <row r="322" spans="1:19" ht="12.75">
      <c r="A322" s="28">
        <v>985</v>
      </c>
      <c r="B322" s="29" t="s">
        <v>277</v>
      </c>
      <c r="C322" s="28">
        <v>2913</v>
      </c>
      <c r="D322" s="382">
        <v>0</v>
      </c>
      <c r="E322" s="144">
        <v>0</v>
      </c>
      <c r="F322" s="193">
        <f>IF(C322&lt;972,E322+44,E322)</f>
        <v>0</v>
      </c>
      <c r="G322" s="193">
        <v>0</v>
      </c>
      <c r="H322" s="193">
        <v>0</v>
      </c>
      <c r="I322" s="360">
        <f t="shared" si="22"/>
        <v>985</v>
      </c>
      <c r="J322" s="304">
        <v>0</v>
      </c>
      <c r="K322" s="304">
        <v>0</v>
      </c>
      <c r="L322" s="304">
        <v>0</v>
      </c>
      <c r="M322" s="304">
        <v>0</v>
      </c>
      <c r="N322" s="390">
        <f t="shared" si="21"/>
        <v>0</v>
      </c>
      <c r="O322" s="192">
        <f t="shared" si="20"/>
        <v>2913</v>
      </c>
      <c r="P322" s="30">
        <v>0</v>
      </c>
      <c r="Q322" s="28">
        <v>0</v>
      </c>
      <c r="R322" s="28">
        <v>0</v>
      </c>
      <c r="S322" s="281"/>
    </row>
    <row r="323" spans="1:19" ht="12.75">
      <c r="A323" s="28">
        <v>986</v>
      </c>
      <c r="B323" s="29" t="s">
        <v>278</v>
      </c>
      <c r="C323" s="28">
        <v>644</v>
      </c>
      <c r="D323" s="382">
        <v>213</v>
      </c>
      <c r="E323" s="366">
        <v>216</v>
      </c>
      <c r="F323" s="193">
        <v>261</v>
      </c>
      <c r="G323" s="304">
        <v>327</v>
      </c>
      <c r="H323" s="304">
        <v>350</v>
      </c>
      <c r="I323" s="360">
        <f t="shared" si="22"/>
        <v>986</v>
      </c>
      <c r="J323" s="304">
        <v>0</v>
      </c>
      <c r="K323" s="304">
        <v>0</v>
      </c>
      <c r="L323" s="304">
        <v>414.7</v>
      </c>
      <c r="M323" s="304">
        <v>0</v>
      </c>
      <c r="N323" s="390">
        <f t="shared" si="21"/>
        <v>0</v>
      </c>
      <c r="O323" s="192">
        <f t="shared" si="20"/>
        <v>971</v>
      </c>
      <c r="P323" s="30">
        <v>0</v>
      </c>
      <c r="Q323" s="28">
        <v>0</v>
      </c>
      <c r="R323" s="28">
        <v>0</v>
      </c>
      <c r="S323" s="281"/>
    </row>
    <row r="324" spans="1:19" ht="12.75">
      <c r="A324" s="28">
        <v>987</v>
      </c>
      <c r="B324" s="29" t="s">
        <v>134</v>
      </c>
      <c r="C324" s="28">
        <v>1170</v>
      </c>
      <c r="D324" s="382">
        <v>144</v>
      </c>
      <c r="E324" s="144">
        <v>144</v>
      </c>
      <c r="F324" s="193">
        <f aca="true" t="shared" si="25" ref="F324:F336">IF(C324&lt;972,E324+44,E324)</f>
        <v>144</v>
      </c>
      <c r="G324" s="193">
        <v>144</v>
      </c>
      <c r="H324" s="193">
        <v>144</v>
      </c>
      <c r="I324" s="360">
        <f t="shared" si="22"/>
        <v>987</v>
      </c>
      <c r="J324" s="304">
        <v>0</v>
      </c>
      <c r="K324" s="304">
        <v>0</v>
      </c>
      <c r="L324" s="304">
        <v>144</v>
      </c>
      <c r="M324" s="304">
        <v>0</v>
      </c>
      <c r="N324" s="390">
        <f t="shared" si="21"/>
        <v>0</v>
      </c>
      <c r="O324" s="192">
        <f aca="true" t="shared" si="26" ref="O324:O336">C324+G324+M324</f>
        <v>1314</v>
      </c>
      <c r="P324" s="30">
        <v>0</v>
      </c>
      <c r="Q324" s="28">
        <v>0</v>
      </c>
      <c r="R324" s="28">
        <v>0</v>
      </c>
      <c r="S324" s="281"/>
    </row>
    <row r="325" spans="1:19" ht="12.75">
      <c r="A325" s="28">
        <v>988</v>
      </c>
      <c r="B325" s="29" t="s">
        <v>279</v>
      </c>
      <c r="C325" s="28">
        <v>2600</v>
      </c>
      <c r="D325" s="382">
        <v>0</v>
      </c>
      <c r="E325" s="144">
        <v>0</v>
      </c>
      <c r="F325" s="193">
        <f t="shared" si="25"/>
        <v>0</v>
      </c>
      <c r="G325" s="193">
        <v>0</v>
      </c>
      <c r="H325" s="193">
        <v>0</v>
      </c>
      <c r="I325" s="360">
        <f t="shared" si="22"/>
        <v>988</v>
      </c>
      <c r="J325" s="304">
        <v>0</v>
      </c>
      <c r="K325" s="304">
        <v>0</v>
      </c>
      <c r="L325" s="304">
        <v>0</v>
      </c>
      <c r="M325" s="304">
        <v>0</v>
      </c>
      <c r="N325" s="390">
        <f aca="true" t="shared" si="27" ref="N325:N335">M325</f>
        <v>0</v>
      </c>
      <c r="O325" s="192">
        <f t="shared" si="26"/>
        <v>2600</v>
      </c>
      <c r="P325" s="30">
        <v>0</v>
      </c>
      <c r="Q325" s="28">
        <v>0</v>
      </c>
      <c r="R325" s="28">
        <v>0</v>
      </c>
      <c r="S325" s="281"/>
    </row>
    <row r="326" spans="1:19" ht="12.75">
      <c r="A326" s="28">
        <v>989</v>
      </c>
      <c r="B326" s="29" t="s">
        <v>280</v>
      </c>
      <c r="C326" s="28">
        <v>2840</v>
      </c>
      <c r="D326" s="382">
        <v>0</v>
      </c>
      <c r="E326" s="144">
        <v>0</v>
      </c>
      <c r="F326" s="193">
        <f t="shared" si="25"/>
        <v>0</v>
      </c>
      <c r="G326" s="193">
        <v>0</v>
      </c>
      <c r="H326" s="193">
        <v>0</v>
      </c>
      <c r="I326" s="360">
        <f t="shared" si="22"/>
        <v>989</v>
      </c>
      <c r="J326" s="304">
        <v>0</v>
      </c>
      <c r="K326" s="304">
        <v>0</v>
      </c>
      <c r="L326" s="304">
        <v>0</v>
      </c>
      <c r="M326" s="304">
        <v>0</v>
      </c>
      <c r="N326" s="390">
        <f t="shared" si="27"/>
        <v>0</v>
      </c>
      <c r="O326" s="192">
        <f t="shared" si="26"/>
        <v>2840</v>
      </c>
      <c r="P326" s="30">
        <v>0</v>
      </c>
      <c r="Q326" s="28">
        <v>0</v>
      </c>
      <c r="R326" s="28">
        <v>0</v>
      </c>
      <c r="S326" s="281"/>
    </row>
    <row r="327" spans="1:19" ht="12.75">
      <c r="A327" s="28">
        <v>990</v>
      </c>
      <c r="B327" s="29" t="s">
        <v>281</v>
      </c>
      <c r="C327" s="28">
        <v>2100</v>
      </c>
      <c r="D327" s="382">
        <v>23</v>
      </c>
      <c r="E327" s="144">
        <v>23</v>
      </c>
      <c r="F327" s="193">
        <f t="shared" si="25"/>
        <v>23</v>
      </c>
      <c r="G327" s="193">
        <v>23</v>
      </c>
      <c r="H327" s="193">
        <v>23</v>
      </c>
      <c r="I327" s="360">
        <f aca="true" t="shared" si="28" ref="I327:I336">A327</f>
        <v>990</v>
      </c>
      <c r="J327" s="304">
        <v>0</v>
      </c>
      <c r="K327" s="304">
        <v>0</v>
      </c>
      <c r="L327" s="304">
        <v>23</v>
      </c>
      <c r="M327" s="304">
        <v>0</v>
      </c>
      <c r="N327" s="390">
        <f t="shared" si="27"/>
        <v>0</v>
      </c>
      <c r="O327" s="192">
        <f t="shared" si="26"/>
        <v>2123</v>
      </c>
      <c r="P327" s="30">
        <v>0</v>
      </c>
      <c r="Q327" s="28">
        <v>0</v>
      </c>
      <c r="R327" s="28">
        <v>0</v>
      </c>
      <c r="S327" s="281"/>
    </row>
    <row r="328" spans="1:19" ht="12.75">
      <c r="A328" s="28">
        <v>991</v>
      </c>
      <c r="B328" s="29" t="s">
        <v>282</v>
      </c>
      <c r="C328" s="28">
        <v>1850</v>
      </c>
      <c r="D328" s="382">
        <v>55</v>
      </c>
      <c r="E328" s="144">
        <v>55</v>
      </c>
      <c r="F328" s="193">
        <f t="shared" si="25"/>
        <v>55</v>
      </c>
      <c r="G328" s="193">
        <v>55</v>
      </c>
      <c r="H328" s="193">
        <v>55</v>
      </c>
      <c r="I328" s="360">
        <f t="shared" si="28"/>
        <v>991</v>
      </c>
      <c r="J328" s="304">
        <v>0</v>
      </c>
      <c r="K328" s="304">
        <v>0</v>
      </c>
      <c r="L328" s="304">
        <v>55</v>
      </c>
      <c r="M328" s="304">
        <v>0</v>
      </c>
      <c r="N328" s="390">
        <f t="shared" si="27"/>
        <v>0</v>
      </c>
      <c r="O328" s="192">
        <f t="shared" si="26"/>
        <v>1905</v>
      </c>
      <c r="P328" s="30">
        <v>0</v>
      </c>
      <c r="Q328" s="28">
        <v>0</v>
      </c>
      <c r="R328" s="28">
        <v>0</v>
      </c>
      <c r="S328" s="281"/>
    </row>
    <row r="329" spans="1:19" ht="12.75">
      <c r="A329" s="28">
        <v>992</v>
      </c>
      <c r="B329" s="29" t="s">
        <v>454</v>
      </c>
      <c r="C329" s="28">
        <v>1500</v>
      </c>
      <c r="D329" s="382">
        <v>0</v>
      </c>
      <c r="E329" s="144">
        <v>0</v>
      </c>
      <c r="F329" s="193">
        <f t="shared" si="25"/>
        <v>0</v>
      </c>
      <c r="G329" s="193">
        <v>0</v>
      </c>
      <c r="H329" s="193">
        <v>0</v>
      </c>
      <c r="I329" s="360">
        <f t="shared" si="28"/>
        <v>992</v>
      </c>
      <c r="J329" s="304">
        <v>0</v>
      </c>
      <c r="K329" s="304">
        <v>0</v>
      </c>
      <c r="L329" s="304">
        <v>0</v>
      </c>
      <c r="M329" s="304">
        <v>233</v>
      </c>
      <c r="N329" s="390">
        <f>M329*1.33333</f>
        <v>310.66589</v>
      </c>
      <c r="O329" s="192">
        <f t="shared" si="26"/>
        <v>1733</v>
      </c>
      <c r="P329" s="30">
        <v>0</v>
      </c>
      <c r="Q329" s="28">
        <v>0</v>
      </c>
      <c r="R329" s="28">
        <v>0</v>
      </c>
      <c r="S329" s="281"/>
    </row>
    <row r="330" spans="1:19" ht="12.75">
      <c r="A330" s="28">
        <v>993</v>
      </c>
      <c r="B330" s="29" t="s">
        <v>283</v>
      </c>
      <c r="C330" s="28">
        <v>2913</v>
      </c>
      <c r="D330" s="382">
        <v>0</v>
      </c>
      <c r="E330" s="144">
        <v>0</v>
      </c>
      <c r="F330" s="193">
        <f t="shared" si="25"/>
        <v>0</v>
      </c>
      <c r="G330" s="193">
        <v>0</v>
      </c>
      <c r="H330" s="193">
        <v>0</v>
      </c>
      <c r="I330" s="360">
        <f t="shared" si="28"/>
        <v>993</v>
      </c>
      <c r="J330" s="304">
        <v>0</v>
      </c>
      <c r="K330" s="304">
        <v>0</v>
      </c>
      <c r="L330" s="304">
        <v>0</v>
      </c>
      <c r="M330" s="304">
        <v>0</v>
      </c>
      <c r="N330" s="390">
        <f t="shared" si="27"/>
        <v>0</v>
      </c>
      <c r="O330" s="192">
        <f t="shared" si="26"/>
        <v>2913</v>
      </c>
      <c r="P330" s="30">
        <v>0</v>
      </c>
      <c r="Q330" s="28">
        <v>0</v>
      </c>
      <c r="R330" s="28">
        <v>0</v>
      </c>
      <c r="S330" s="281"/>
    </row>
    <row r="331" spans="1:19" ht="14.25">
      <c r="A331" s="28">
        <v>994</v>
      </c>
      <c r="B331" s="29" t="s">
        <v>284</v>
      </c>
      <c r="C331" s="28">
        <v>1580</v>
      </c>
      <c r="D331" s="382">
        <v>90</v>
      </c>
      <c r="E331" s="144">
        <v>90</v>
      </c>
      <c r="F331" s="193">
        <f t="shared" si="25"/>
        <v>90</v>
      </c>
      <c r="G331" s="193">
        <v>90</v>
      </c>
      <c r="H331" s="193">
        <v>90</v>
      </c>
      <c r="I331" s="360">
        <f t="shared" si="28"/>
        <v>994</v>
      </c>
      <c r="J331" s="304">
        <v>0</v>
      </c>
      <c r="K331" s="304">
        <v>0</v>
      </c>
      <c r="L331" s="304">
        <v>90</v>
      </c>
      <c r="M331" s="364">
        <v>347.6</v>
      </c>
      <c r="N331" s="390">
        <f t="shared" si="27"/>
        <v>347.6</v>
      </c>
      <c r="O331" s="192">
        <f t="shared" si="26"/>
        <v>2017.6</v>
      </c>
      <c r="P331" s="30">
        <v>0</v>
      </c>
      <c r="Q331" s="28">
        <v>0</v>
      </c>
      <c r="R331" s="28">
        <v>0</v>
      </c>
      <c r="S331" s="281"/>
    </row>
    <row r="332" spans="1:19" ht="12.75">
      <c r="A332" s="28">
        <v>995</v>
      </c>
      <c r="B332" s="29" t="s">
        <v>285</v>
      </c>
      <c r="C332" s="28">
        <v>1564</v>
      </c>
      <c r="D332" s="382">
        <v>93</v>
      </c>
      <c r="E332" s="144">
        <v>93</v>
      </c>
      <c r="F332" s="193">
        <f t="shared" si="25"/>
        <v>93</v>
      </c>
      <c r="G332" s="193">
        <v>93</v>
      </c>
      <c r="H332" s="193">
        <v>93</v>
      </c>
      <c r="I332" s="360">
        <f t="shared" si="28"/>
        <v>995</v>
      </c>
      <c r="J332" s="304">
        <v>0</v>
      </c>
      <c r="K332" s="304">
        <v>0</v>
      </c>
      <c r="L332" s="304">
        <v>93</v>
      </c>
      <c r="M332" s="304">
        <v>0</v>
      </c>
      <c r="N332" s="390">
        <f t="shared" si="27"/>
        <v>0</v>
      </c>
      <c r="O332" s="192">
        <f t="shared" si="26"/>
        <v>1657</v>
      </c>
      <c r="P332" s="30">
        <v>0</v>
      </c>
      <c r="Q332" s="28">
        <v>0</v>
      </c>
      <c r="R332" s="28">
        <v>0</v>
      </c>
      <c r="S332" s="281"/>
    </row>
    <row r="333" spans="1:19" ht="12.75">
      <c r="A333" s="28">
        <v>996</v>
      </c>
      <c r="B333" s="29" t="s">
        <v>51</v>
      </c>
      <c r="C333" s="28">
        <v>1480</v>
      </c>
      <c r="D333" s="382">
        <v>104</v>
      </c>
      <c r="E333" s="144">
        <v>104</v>
      </c>
      <c r="F333" s="193">
        <f t="shared" si="25"/>
        <v>104</v>
      </c>
      <c r="G333" s="193">
        <v>104</v>
      </c>
      <c r="H333" s="193">
        <v>104</v>
      </c>
      <c r="I333" s="360">
        <f t="shared" si="28"/>
        <v>996</v>
      </c>
      <c r="J333" s="304">
        <v>0</v>
      </c>
      <c r="K333" s="304">
        <v>0</v>
      </c>
      <c r="L333" s="304">
        <v>104</v>
      </c>
      <c r="M333" s="304">
        <v>0</v>
      </c>
      <c r="N333" s="390">
        <f t="shared" si="27"/>
        <v>0</v>
      </c>
      <c r="O333" s="192">
        <f t="shared" si="26"/>
        <v>1584</v>
      </c>
      <c r="P333" s="30">
        <v>0</v>
      </c>
      <c r="Q333" s="28">
        <v>0</v>
      </c>
      <c r="R333" s="28">
        <v>0</v>
      </c>
      <c r="S333" s="281"/>
    </row>
    <row r="334" spans="1:19" ht="12.75">
      <c r="A334" s="28">
        <v>997</v>
      </c>
      <c r="B334" s="29" t="s">
        <v>286</v>
      </c>
      <c r="C334" s="28">
        <v>1564</v>
      </c>
      <c r="D334" s="382">
        <v>93</v>
      </c>
      <c r="E334" s="144">
        <v>93</v>
      </c>
      <c r="F334" s="193">
        <f t="shared" si="25"/>
        <v>93</v>
      </c>
      <c r="G334" s="193">
        <v>93</v>
      </c>
      <c r="H334" s="193">
        <v>93</v>
      </c>
      <c r="I334" s="360">
        <f t="shared" si="28"/>
        <v>997</v>
      </c>
      <c r="J334" s="304">
        <v>0</v>
      </c>
      <c r="K334" s="304">
        <v>0</v>
      </c>
      <c r="L334" s="304">
        <v>93</v>
      </c>
      <c r="M334" s="304">
        <v>0</v>
      </c>
      <c r="N334" s="390">
        <f t="shared" si="27"/>
        <v>0</v>
      </c>
      <c r="O334" s="192">
        <f t="shared" si="26"/>
        <v>1657</v>
      </c>
      <c r="P334" s="30">
        <v>0</v>
      </c>
      <c r="Q334" s="28">
        <v>0</v>
      </c>
      <c r="R334" s="28">
        <v>0</v>
      </c>
      <c r="S334" s="281"/>
    </row>
    <row r="335" spans="1:19" ht="12.75">
      <c r="A335" s="28">
        <v>998</v>
      </c>
      <c r="B335" s="29" t="s">
        <v>287</v>
      </c>
      <c r="C335" s="28">
        <v>2220</v>
      </c>
      <c r="D335" s="382">
        <v>7</v>
      </c>
      <c r="E335" s="144">
        <v>7</v>
      </c>
      <c r="F335" s="193">
        <f t="shared" si="25"/>
        <v>7</v>
      </c>
      <c r="G335" s="193">
        <v>7</v>
      </c>
      <c r="H335" s="193">
        <v>7</v>
      </c>
      <c r="I335" s="360">
        <f t="shared" si="28"/>
        <v>998</v>
      </c>
      <c r="J335" s="304">
        <v>0</v>
      </c>
      <c r="K335" s="304">
        <v>0</v>
      </c>
      <c r="L335" s="304">
        <v>7</v>
      </c>
      <c r="M335" s="304">
        <v>0</v>
      </c>
      <c r="N335" s="390">
        <f t="shared" si="27"/>
        <v>0</v>
      </c>
      <c r="O335" s="192">
        <f t="shared" si="26"/>
        <v>2227</v>
      </c>
      <c r="P335" s="30">
        <v>0</v>
      </c>
      <c r="Q335" s="28">
        <v>0</v>
      </c>
      <c r="R335" s="28">
        <v>0</v>
      </c>
      <c r="S335" s="281"/>
    </row>
    <row r="336" spans="1:19" ht="13.5" thickBot="1">
      <c r="A336" s="28">
        <v>999</v>
      </c>
      <c r="B336" s="29" t="s">
        <v>456</v>
      </c>
      <c r="C336" s="28">
        <v>1250</v>
      </c>
      <c r="D336" s="382">
        <v>0</v>
      </c>
      <c r="E336" s="144">
        <v>0</v>
      </c>
      <c r="F336" s="193">
        <f t="shared" si="25"/>
        <v>0</v>
      </c>
      <c r="G336" s="193">
        <v>134</v>
      </c>
      <c r="H336" s="193">
        <v>134</v>
      </c>
      <c r="I336" s="360">
        <f t="shared" si="28"/>
        <v>999</v>
      </c>
      <c r="J336" s="304">
        <v>0</v>
      </c>
      <c r="K336" s="304">
        <v>0</v>
      </c>
      <c r="L336" s="304">
        <v>134</v>
      </c>
      <c r="M336" s="304">
        <v>233</v>
      </c>
      <c r="N336" s="390">
        <f>M336*1.33333</f>
        <v>310.66589</v>
      </c>
      <c r="O336" s="192">
        <f t="shared" si="26"/>
        <v>1617</v>
      </c>
      <c r="P336" s="40">
        <v>0</v>
      </c>
      <c r="Q336" s="41">
        <v>0</v>
      </c>
      <c r="R336" s="41">
        <v>0</v>
      </c>
      <c r="S336" s="281"/>
    </row>
    <row r="337" ht="12.75">
      <c r="D337" s="382"/>
    </row>
    <row r="345" ht="12.75">
      <c r="C345">
        <f>45*13+8.4*6+9*3</f>
        <v>662.4</v>
      </c>
    </row>
  </sheetData>
  <sheetProtection password="DFB3" sheet="1" selectLockedCells="1"/>
  <hyperlinks>
    <hyperlink ref="B1" location="'recibo de sueldo'!A1" display="Volver al simulador"/>
  </hyperlinks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H36"/>
  <sheetViews>
    <sheetView showGridLines="0" zoomScale="85" zoomScaleNormal="85" zoomScalePageLayoutView="0" workbookViewId="0" topLeftCell="A1">
      <selection activeCell="I17" sqref="I17"/>
    </sheetView>
  </sheetViews>
  <sheetFormatPr defaultColWidth="11.421875" defaultRowHeight="12.75"/>
  <cols>
    <col min="1" max="1" width="3.7109375" style="0" customWidth="1"/>
    <col min="3" max="3" width="12.00390625" style="0" customWidth="1"/>
    <col min="4" max="4" width="30.7109375" style="0" customWidth="1"/>
    <col min="5" max="5" width="19.421875" style="0" customWidth="1"/>
    <col min="6" max="6" width="13.00390625" style="0" customWidth="1"/>
    <col min="7" max="7" width="8.57421875" style="0" customWidth="1"/>
    <col min="8" max="8" width="9.28125" style="0" customWidth="1"/>
  </cols>
  <sheetData>
    <row r="2" spans="2:8" ht="12.75">
      <c r="B2" s="223" t="s">
        <v>17</v>
      </c>
      <c r="C2" s="223" t="s">
        <v>291</v>
      </c>
      <c r="D2" s="223" t="s">
        <v>290</v>
      </c>
      <c r="E2" s="223" t="s">
        <v>288</v>
      </c>
      <c r="F2" s="223" t="s">
        <v>289</v>
      </c>
      <c r="G2" s="224" t="s">
        <v>369</v>
      </c>
      <c r="H2" s="224" t="s">
        <v>379</v>
      </c>
    </row>
    <row r="3" spans="2:8" ht="12.75">
      <c r="B3" s="225">
        <f>'recibo de sueldo'!A176</f>
        <v>749</v>
      </c>
      <c r="C3" s="225">
        <f>'recibo de sueldo'!B176</f>
        <v>971</v>
      </c>
      <c r="D3" s="225">
        <f>'recibo de sueldo'!C176</f>
        <v>0</v>
      </c>
      <c r="E3" s="225">
        <f>'recibo de sueldo'!D176</f>
        <v>0</v>
      </c>
      <c r="F3" s="225">
        <f>'recibo de sueldo'!E176</f>
        <v>0</v>
      </c>
      <c r="G3" s="225" t="e">
        <f>'recibo de sueldo'!#REF!</f>
        <v>#REF!</v>
      </c>
      <c r="H3" s="225" t="e">
        <f>'recibo de sueldo'!#REF!</f>
        <v>#REF!</v>
      </c>
    </row>
    <row r="4" spans="2:8" ht="12.75">
      <c r="B4" s="226" t="s">
        <v>345</v>
      </c>
      <c r="C4" s="219"/>
      <c r="D4" s="220" t="str">
        <f>LOOKUP(B3,numcargo,nombrecargo)</f>
        <v> MAESTRO DE GRADO</v>
      </c>
      <c r="E4" s="221"/>
      <c r="F4" s="221"/>
      <c r="G4" s="221"/>
      <c r="H4" s="222"/>
    </row>
    <row r="5" ht="13.5" thickBot="1"/>
    <row r="6" spans="4:6" ht="16.5" thickBot="1">
      <c r="D6" s="93" t="s">
        <v>319</v>
      </c>
      <c r="E6" s="42"/>
      <c r="F6" s="215">
        <f>'recibo de sueldo'!D181</f>
        <v>0</v>
      </c>
    </row>
    <row r="7" spans="4:6" ht="15.75">
      <c r="D7" s="5"/>
      <c r="E7" s="5" t="s">
        <v>384</v>
      </c>
      <c r="F7" s="66">
        <f>porantigcargo</f>
        <v>0</v>
      </c>
    </row>
    <row r="9" spans="2:6" ht="16.5" thickBot="1">
      <c r="B9" s="3"/>
      <c r="C9" s="176" t="s">
        <v>383</v>
      </c>
      <c r="D9" s="10"/>
      <c r="E9" s="210"/>
      <c r="F9" s="7"/>
    </row>
    <row r="10" spans="2:6" ht="13.5" thickBot="1">
      <c r="B10" s="81" t="s">
        <v>349</v>
      </c>
      <c r="C10" s="124" t="s">
        <v>348</v>
      </c>
      <c r="D10" s="124" t="s">
        <v>320</v>
      </c>
      <c r="E10" s="124" t="s">
        <v>321</v>
      </c>
      <c r="F10" s="125" t="s">
        <v>322</v>
      </c>
    </row>
    <row r="11" spans="2:6" ht="12.75">
      <c r="B11" s="122" t="s">
        <v>297</v>
      </c>
      <c r="C11" s="108"/>
      <c r="D11" s="123" t="s">
        <v>298</v>
      </c>
      <c r="E11" s="204" t="e">
        <f>'recibo de sueldo'!#REF!</f>
        <v>#REF!</v>
      </c>
      <c r="F11" s="75"/>
    </row>
    <row r="12" spans="2:6" ht="12.75">
      <c r="B12" s="122" t="s">
        <v>371</v>
      </c>
      <c r="C12" s="108"/>
      <c r="D12" s="123" t="s">
        <v>368</v>
      </c>
      <c r="E12" s="204" t="e">
        <f>'recibo de sueldo'!#REF!</f>
        <v>#REF!</v>
      </c>
      <c r="F12" s="75"/>
    </row>
    <row r="13" spans="2:6" ht="12.75">
      <c r="B13" s="205" t="s">
        <v>380</v>
      </c>
      <c r="C13" s="87"/>
      <c r="D13" s="206" t="s">
        <v>378</v>
      </c>
      <c r="E13" s="204" t="e">
        <f>'recibo de sueldo'!#REF!</f>
        <v>#REF!</v>
      </c>
      <c r="F13" s="75"/>
    </row>
    <row r="14" spans="2:6" ht="12.75">
      <c r="B14" s="44" t="s">
        <v>301</v>
      </c>
      <c r="C14" s="43"/>
      <c r="D14" s="72" t="s">
        <v>328</v>
      </c>
      <c r="E14" s="204" t="e">
        <f>'recibo de sueldo'!#REF!</f>
        <v>#REF!</v>
      </c>
      <c r="F14" s="47"/>
    </row>
    <row r="15" spans="2:6" ht="12.75">
      <c r="B15" s="73" t="s">
        <v>296</v>
      </c>
      <c r="C15" s="74">
        <f>porantigcargo</f>
        <v>0</v>
      </c>
      <c r="D15" s="48" t="s">
        <v>0</v>
      </c>
      <c r="E15" s="204" t="e">
        <f>'recibo de sueldo'!#REF!</f>
        <v>#REF!</v>
      </c>
      <c r="F15" s="75"/>
    </row>
    <row r="16" spans="2:6" ht="12.75">
      <c r="B16" s="44" t="s">
        <v>302</v>
      </c>
      <c r="C16" s="43"/>
      <c r="D16" s="72" t="s">
        <v>329</v>
      </c>
      <c r="E16" s="204" t="e">
        <f>'recibo de sueldo'!#REF!</f>
        <v>#REF!</v>
      </c>
      <c r="F16" s="47"/>
    </row>
    <row r="17" spans="2:6" ht="12.75">
      <c r="B17" s="76" t="s">
        <v>299</v>
      </c>
      <c r="C17" s="48">
        <v>0.07</v>
      </c>
      <c r="D17" s="48" t="s">
        <v>330</v>
      </c>
      <c r="E17" s="204" t="e">
        <f>'recibo de sueldo'!#REF!</f>
        <v>#REF!</v>
      </c>
      <c r="F17" s="75"/>
    </row>
    <row r="18" spans="2:6" ht="12.75">
      <c r="B18" s="70" t="s">
        <v>295</v>
      </c>
      <c r="C18" s="71"/>
      <c r="D18" s="72" t="s">
        <v>311</v>
      </c>
      <c r="E18" s="204" t="e">
        <f>'recibo de sueldo'!#REF!</f>
        <v>#REF!</v>
      </c>
      <c r="F18" s="75"/>
    </row>
    <row r="19" spans="2:6" ht="12.75">
      <c r="B19" s="70" t="s">
        <v>294</v>
      </c>
      <c r="C19" s="71"/>
      <c r="D19" s="48" t="s">
        <v>312</v>
      </c>
      <c r="E19" s="204" t="e">
        <f>'recibo de sueldo'!#REF!</f>
        <v>#REF!</v>
      </c>
      <c r="F19" s="75"/>
    </row>
    <row r="20" spans="2:6" ht="12.75">
      <c r="B20" s="70" t="s">
        <v>293</v>
      </c>
      <c r="C20" s="250" t="e">
        <f>'recibo de sueldo'!#REF!</f>
        <v>#REF!</v>
      </c>
      <c r="D20" s="48" t="s">
        <v>351</v>
      </c>
      <c r="E20" s="204" t="e">
        <f>'recibo de sueldo'!#REF!</f>
        <v>#REF!</v>
      </c>
      <c r="F20" s="77"/>
    </row>
    <row r="21" spans="2:6" ht="12.75">
      <c r="B21" s="76" t="s">
        <v>300</v>
      </c>
      <c r="C21" s="71"/>
      <c r="D21" s="208" t="s">
        <v>317</v>
      </c>
      <c r="E21" s="204" t="e">
        <f>'recibo de sueldo'!#REF!</f>
        <v>#REF!</v>
      </c>
      <c r="F21" s="209"/>
    </row>
    <row r="22" spans="2:6" ht="13.5" thickBot="1">
      <c r="B22" s="78" t="s">
        <v>313</v>
      </c>
      <c r="C22" s="79" t="s">
        <v>314</v>
      </c>
      <c r="D22" s="60"/>
      <c r="E22" s="204" t="e">
        <f>'recibo de sueldo'!#REF!</f>
        <v>#REF!</v>
      </c>
      <c r="F22" s="120"/>
    </row>
    <row r="23" spans="2:6" ht="13.5" thickBot="1">
      <c r="B23" s="78"/>
      <c r="C23" s="80"/>
      <c r="D23" s="81" t="s">
        <v>316</v>
      </c>
      <c r="E23" s="204" t="e">
        <f>'recibo de sueldo'!#REF!</f>
        <v>#REF!</v>
      </c>
      <c r="F23" s="121"/>
    </row>
    <row r="24" spans="2:6" ht="12.75">
      <c r="B24" s="73" t="s">
        <v>303</v>
      </c>
      <c r="C24" s="207" t="e">
        <f>'recibo de sueldo'!#REF!</f>
        <v>#REF!</v>
      </c>
      <c r="D24" s="83" t="s">
        <v>315</v>
      </c>
      <c r="E24" s="204" t="e">
        <f>'recibo de sueldo'!#REF!</f>
        <v>#REF!</v>
      </c>
      <c r="F24" s="120"/>
    </row>
    <row r="25" spans="2:6" ht="15.75">
      <c r="B25" s="73" t="s">
        <v>309</v>
      </c>
      <c r="C25" s="172"/>
      <c r="D25" s="79" t="s">
        <v>318</v>
      </c>
      <c r="E25" s="204" t="e">
        <f>'recibo de sueldo'!#REF!</f>
        <v>#REF!</v>
      </c>
      <c r="F25" s="120"/>
    </row>
    <row r="26" spans="2:6" ht="13.5" thickBot="1">
      <c r="B26" s="73" t="s">
        <v>304</v>
      </c>
      <c r="C26" s="207" t="e">
        <f>'recibo de sueldo'!#REF!</f>
        <v>#REF!</v>
      </c>
      <c r="D26" s="211" t="s">
        <v>310</v>
      </c>
      <c r="E26" s="212" t="e">
        <f>'recibo de sueldo'!#REF!</f>
        <v>#REF!</v>
      </c>
      <c r="F26" s="120"/>
    </row>
    <row r="27" spans="2:6" ht="16.5" thickBot="1">
      <c r="B27" s="78"/>
      <c r="C27" s="84"/>
      <c r="D27" s="85" t="s">
        <v>1</v>
      </c>
      <c r="E27" s="213" t="e">
        <f>'recibo de sueldo'!#REF!</f>
        <v>#REF!</v>
      </c>
      <c r="F27" s="214"/>
    </row>
    <row r="28" spans="2:6" ht="15.75">
      <c r="B28" s="73" t="s">
        <v>335</v>
      </c>
      <c r="C28" s="86"/>
      <c r="D28" s="87" t="s">
        <v>336</v>
      </c>
      <c r="E28" s="136"/>
      <c r="F28" s="217" t="e">
        <f>'recibo de sueldo'!#REF!</f>
        <v>#REF!</v>
      </c>
    </row>
    <row r="29" spans="2:6" ht="15.75">
      <c r="B29" s="70" t="s">
        <v>305</v>
      </c>
      <c r="C29" s="88">
        <v>0.16</v>
      </c>
      <c r="D29" s="89" t="s">
        <v>326</v>
      </c>
      <c r="E29" s="136"/>
      <c r="F29" s="217" t="e">
        <f>'recibo de sueldo'!#REF!</f>
        <v>#REF!</v>
      </c>
    </row>
    <row r="30" spans="2:6" ht="15.75">
      <c r="B30" s="70" t="s">
        <v>306</v>
      </c>
      <c r="C30" s="90">
        <v>0.006</v>
      </c>
      <c r="D30" s="71" t="s">
        <v>323</v>
      </c>
      <c r="E30" s="136"/>
      <c r="F30" s="217" t="e">
        <f>'recibo de sueldo'!#REF!</f>
        <v>#REF!</v>
      </c>
    </row>
    <row r="31" spans="2:6" ht="15.75">
      <c r="B31" s="70" t="s">
        <v>307</v>
      </c>
      <c r="C31" s="88">
        <v>0.03</v>
      </c>
      <c r="D31" s="89" t="s">
        <v>325</v>
      </c>
      <c r="E31" s="136"/>
      <c r="F31" s="217" t="e">
        <f>'recibo de sueldo'!#REF!</f>
        <v>#REF!</v>
      </c>
    </row>
    <row r="32" spans="2:6" ht="15.75">
      <c r="B32" s="70" t="s">
        <v>308</v>
      </c>
      <c r="C32" s="88"/>
      <c r="D32" s="89" t="s">
        <v>324</v>
      </c>
      <c r="E32" s="115"/>
      <c r="F32" s="217" t="e">
        <f>'recibo de sueldo'!#REF!</f>
        <v>#REF!</v>
      </c>
    </row>
    <row r="33" spans="2:6" ht="13.5" thickBot="1">
      <c r="B33" s="91"/>
      <c r="C33" s="207" t="e">
        <f>'recibo de sueldo'!#REF!</f>
        <v>#REF!</v>
      </c>
      <c r="D33" s="92" t="s">
        <v>2</v>
      </c>
      <c r="E33" s="92"/>
      <c r="F33" s="217" t="e">
        <f>'recibo de sueldo'!#REF!</f>
        <v>#REF!</v>
      </c>
    </row>
    <row r="34" spans="2:6" ht="16.5" thickBot="1">
      <c r="B34" s="91"/>
      <c r="C34" s="84"/>
      <c r="D34" s="85" t="s">
        <v>3</v>
      </c>
      <c r="E34" s="61"/>
      <c r="F34" s="216" t="e">
        <f>'recibo de sueldo'!#REF!</f>
        <v>#REF!</v>
      </c>
    </row>
    <row r="35" spans="2:6" ht="13.5" thickBot="1">
      <c r="B35" s="130"/>
      <c r="C35" s="1"/>
      <c r="D35" s="8"/>
      <c r="E35" s="1"/>
      <c r="F35" s="5"/>
    </row>
    <row r="36" spans="2:6" ht="27" customHeight="1" thickBot="1">
      <c r="B36" s="117"/>
      <c r="C36" s="228" t="s">
        <v>4</v>
      </c>
      <c r="D36" s="94"/>
      <c r="E36" s="227" t="e">
        <f>'recibo de sueldo'!#REF!</f>
        <v>#REF!</v>
      </c>
      <c r="F36" s="5"/>
    </row>
  </sheetData>
  <sheetProtection password="DFB3" sheet="1" objects="1" scenarios="1"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F30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4.8515625" style="0" customWidth="1"/>
    <col min="4" max="4" width="27.28125" style="0" customWidth="1"/>
    <col min="6" max="6" width="12.8515625" style="0" customWidth="1"/>
  </cols>
  <sheetData>
    <row r="2" spans="2:4" ht="15.75">
      <c r="B2" s="1"/>
      <c r="C2" s="248" t="s">
        <v>6</v>
      </c>
      <c r="D2" s="1"/>
    </row>
    <row r="3" spans="2:4" ht="12.75">
      <c r="B3" s="1"/>
      <c r="C3" s="1"/>
      <c r="D3" s="1"/>
    </row>
    <row r="4" spans="3:5" ht="12.75">
      <c r="C4" s="243" t="s">
        <v>7</v>
      </c>
      <c r="D4" s="243"/>
      <c r="E4" s="244">
        <f>canthormed</f>
        <v>36</v>
      </c>
    </row>
    <row r="5" spans="3:6" ht="12.75">
      <c r="C5" s="72" t="s">
        <v>344</v>
      </c>
      <c r="D5" s="72"/>
      <c r="E5" s="242">
        <f>canthormed</f>
        <v>36</v>
      </c>
      <c r="F5" s="246">
        <f>porantighormed</f>
        <v>1.2</v>
      </c>
    </row>
    <row r="6" spans="2:6" ht="12.75">
      <c r="B6" s="245"/>
      <c r="C6" s="184"/>
      <c r="D6" s="59"/>
      <c r="E6" s="240"/>
      <c r="F6" s="245"/>
    </row>
    <row r="7" spans="3:5" ht="12.75">
      <c r="C7" s="241" t="s">
        <v>358</v>
      </c>
      <c r="D7" s="241"/>
      <c r="E7" s="244">
        <f>canthor06med</f>
        <v>36</v>
      </c>
    </row>
    <row r="8" spans="3:5" ht="12.75">
      <c r="C8" s="241" t="s">
        <v>359</v>
      </c>
      <c r="D8" s="241"/>
      <c r="E8" s="244">
        <f>canthorincmed</f>
        <v>36</v>
      </c>
    </row>
    <row r="9" spans="3:5" ht="12.75">
      <c r="C9" s="241" t="s">
        <v>360</v>
      </c>
      <c r="D9" s="241"/>
      <c r="E9" s="242" t="e">
        <f>canthor113med</f>
        <v>#NAME?</v>
      </c>
    </row>
    <row r="10" spans="3:5" ht="12.75">
      <c r="C10" s="59"/>
      <c r="D10" s="59"/>
      <c r="E10" s="247"/>
    </row>
    <row r="11" spans="2:6" ht="15.75" thickBot="1">
      <c r="B11" s="10" t="s">
        <v>385</v>
      </c>
      <c r="D11" s="3"/>
      <c r="E11" s="7"/>
      <c r="F11" s="7"/>
    </row>
    <row r="12" spans="2:6" ht="13.5" thickBot="1">
      <c r="B12" s="81" t="s">
        <v>349</v>
      </c>
      <c r="C12" s="124" t="s">
        <v>348</v>
      </c>
      <c r="D12" s="124" t="s">
        <v>320</v>
      </c>
      <c r="E12" s="124" t="s">
        <v>321</v>
      </c>
      <c r="F12" s="239" t="s">
        <v>322</v>
      </c>
    </row>
    <row r="13" spans="2:6" ht="12.75">
      <c r="B13" s="126" t="s">
        <v>331</v>
      </c>
      <c r="C13" s="249" t="e">
        <f>'recibo de sueldo'!#REF!</f>
        <v>#REF!</v>
      </c>
      <c r="D13" s="83" t="s">
        <v>332</v>
      </c>
      <c r="E13" s="127" t="e">
        <f>'recibo de sueldo'!#REF!</f>
        <v>#REF!</v>
      </c>
      <c r="F13" s="100"/>
    </row>
    <row r="14" spans="2:6" ht="12.75">
      <c r="B14" s="99" t="s">
        <v>296</v>
      </c>
      <c r="C14" s="232" t="e">
        <f>'recibo de sueldo'!#REF!</f>
        <v>#REF!</v>
      </c>
      <c r="D14" s="46" t="s">
        <v>0</v>
      </c>
      <c r="E14" s="127" t="e">
        <f>'recibo de sueldo'!#REF!</f>
        <v>#REF!</v>
      </c>
      <c r="F14" s="100"/>
    </row>
    <row r="15" spans="2:6" ht="12.75">
      <c r="B15" s="99" t="s">
        <v>301</v>
      </c>
      <c r="C15" s="249" t="e">
        <f>'recibo de sueldo'!#REF!</f>
        <v>#REF!</v>
      </c>
      <c r="D15" s="72" t="s">
        <v>328</v>
      </c>
      <c r="E15" s="127" t="e">
        <f>'recibo de sueldo'!#REF!</f>
        <v>#REF!</v>
      </c>
      <c r="F15" s="100"/>
    </row>
    <row r="16" spans="2:6" ht="12.75">
      <c r="B16" s="101" t="s">
        <v>302</v>
      </c>
      <c r="C16" s="232" t="e">
        <f>'recibo de sueldo'!#REF!</f>
        <v>#REF!</v>
      </c>
      <c r="D16" s="72" t="s">
        <v>333</v>
      </c>
      <c r="E16" s="127" t="e">
        <f>'recibo de sueldo'!#REF!</f>
        <v>#REF!</v>
      </c>
      <c r="F16" s="100"/>
    </row>
    <row r="17" spans="2:6" ht="12.75">
      <c r="B17" s="102" t="s">
        <v>303</v>
      </c>
      <c r="C17" s="249" t="e">
        <f>'recibo de sueldo'!#REF!</f>
        <v>#REF!</v>
      </c>
      <c r="D17" s="46" t="s">
        <v>315</v>
      </c>
      <c r="E17" s="127" t="e">
        <f>'recibo de sueldo'!#REF!</f>
        <v>#REF!</v>
      </c>
      <c r="F17" s="100"/>
    </row>
    <row r="18" spans="2:6" ht="12.75">
      <c r="B18" s="99" t="s">
        <v>304</v>
      </c>
      <c r="C18" s="249" t="e">
        <f>'recibo de sueldo'!#REF!</f>
        <v>#REF!</v>
      </c>
      <c r="D18" s="46" t="s">
        <v>334</v>
      </c>
      <c r="E18" s="127" t="e">
        <f>'recibo de sueldo'!#REF!</f>
        <v>#REF!</v>
      </c>
      <c r="F18" s="103"/>
    </row>
    <row r="19" spans="2:6" ht="12.75">
      <c r="B19" s="99" t="s">
        <v>299</v>
      </c>
      <c r="C19" s="232" t="e">
        <f>'recibo de sueldo'!#REF!</f>
        <v>#REF!</v>
      </c>
      <c r="D19" s="48" t="s">
        <v>330</v>
      </c>
      <c r="E19" s="127" t="e">
        <f>'recibo de sueldo'!#REF!</f>
        <v>#REF!</v>
      </c>
      <c r="F19" s="100"/>
    </row>
    <row r="20" spans="2:6" ht="12.75">
      <c r="B20" s="99" t="s">
        <v>293</v>
      </c>
      <c r="C20" s="233" t="e">
        <f>'recibo de sueldo'!#REF!</f>
        <v>#REF!</v>
      </c>
      <c r="D20" s="48" t="s">
        <v>351</v>
      </c>
      <c r="E20" s="127" t="e">
        <f>'recibo de sueldo'!#REF!</f>
        <v>#REF!</v>
      </c>
      <c r="F20" s="100"/>
    </row>
    <row r="21" spans="2:6" ht="13.5" thickBot="1">
      <c r="B21" s="105" t="s">
        <v>340</v>
      </c>
      <c r="C21" s="60"/>
      <c r="D21" s="60"/>
      <c r="E21" s="75" t="e">
        <f>'recibo de sueldo'!#REF!</f>
        <v>#REF!</v>
      </c>
      <c r="F21" s="100"/>
    </row>
    <row r="22" spans="2:6" ht="16.5" thickBot="1">
      <c r="B22" s="106"/>
      <c r="C22" s="93" t="s">
        <v>8</v>
      </c>
      <c r="D22" s="107"/>
      <c r="E22" s="238" t="e">
        <f>'recibo de sueldo'!#REF!</f>
        <v>#REF!</v>
      </c>
      <c r="F22" s="237"/>
    </row>
    <row r="23" spans="2:6" ht="15.75">
      <c r="B23" s="104" t="s">
        <v>335</v>
      </c>
      <c r="C23" s="109"/>
      <c r="D23" s="87" t="s">
        <v>336</v>
      </c>
      <c r="E23" s="115"/>
      <c r="F23" s="231" t="e">
        <f>'recibo de sueldo'!#REF!</f>
        <v>#REF!</v>
      </c>
    </row>
    <row r="24" spans="2:6" ht="12.75">
      <c r="B24" s="46">
        <v>502</v>
      </c>
      <c r="C24" s="229" t="e">
        <f>'recibo de sueldo'!#REF!</f>
        <v>#REF!</v>
      </c>
      <c r="D24" s="89" t="s">
        <v>339</v>
      </c>
      <c r="E24" s="89"/>
      <c r="F24" s="231" t="e">
        <f>'recibo de sueldo'!#REF!</f>
        <v>#REF!</v>
      </c>
    </row>
    <row r="25" spans="2:6" ht="12.75">
      <c r="B25" s="46">
        <v>504</v>
      </c>
      <c r="C25" s="230" t="e">
        <f>'recibo de sueldo'!#REF!</f>
        <v>#REF!</v>
      </c>
      <c r="D25" s="71" t="s">
        <v>338</v>
      </c>
      <c r="E25" s="71"/>
      <c r="F25" s="231" t="e">
        <f>'recibo de sueldo'!#REF!</f>
        <v>#REF!</v>
      </c>
    </row>
    <row r="26" spans="2:6" ht="12.75">
      <c r="B26" s="46">
        <v>505</v>
      </c>
      <c r="C26" s="229" t="e">
        <f>'recibo de sueldo'!#REF!</f>
        <v>#REF!</v>
      </c>
      <c r="D26" s="89" t="s">
        <v>337</v>
      </c>
      <c r="E26" s="89"/>
      <c r="F26" s="231" t="e">
        <f>'recibo de sueldo'!#REF!</f>
        <v>#REF!</v>
      </c>
    </row>
    <row r="27" spans="2:6" ht="13.5" thickBot="1">
      <c r="B27" s="110" t="s">
        <v>2</v>
      </c>
      <c r="C27" s="230" t="e">
        <f>'recibo de sueldo'!#REF!</f>
        <v>#REF!</v>
      </c>
      <c r="D27" s="60"/>
      <c r="E27" s="60"/>
      <c r="F27" s="235" t="e">
        <f>'recibo de sueldo'!#REF!</f>
        <v>#REF!</v>
      </c>
    </row>
    <row r="28" spans="2:6" ht="16.5" thickBot="1">
      <c r="B28" s="64"/>
      <c r="C28" s="111"/>
      <c r="D28" s="93" t="s">
        <v>3</v>
      </c>
      <c r="E28" s="112"/>
      <c r="F28" s="236" t="e">
        <f>'recibo de sueldo'!#REF!</f>
        <v>#REF!</v>
      </c>
    </row>
    <row r="29" spans="2:6" ht="13.5" thickBot="1">
      <c r="B29" s="133"/>
      <c r="C29" s="60"/>
      <c r="D29" s="100"/>
      <c r="E29" s="100"/>
      <c r="F29" s="1"/>
    </row>
    <row r="30" spans="2:6" ht="16.5" thickBot="1">
      <c r="B30" s="14"/>
      <c r="C30" s="93" t="s">
        <v>4</v>
      </c>
      <c r="D30" s="94"/>
      <c r="E30" s="82" t="e">
        <f>'recibo de sueldo'!#REF!</f>
        <v>#REF!</v>
      </c>
      <c r="F30" s="2"/>
    </row>
  </sheetData>
  <sheetProtection password="DFB3" sheet="1" objects="1" scenarios="1"/>
  <printOptions/>
  <pageMargins left="0.75" right="0.75" top="1" bottom="1" header="0" footer="0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B2:F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4" max="4" width="29.7109375" style="0" customWidth="1"/>
    <col min="6" max="6" width="12.140625" style="0" customWidth="1"/>
  </cols>
  <sheetData>
    <row r="2" spans="2:4" ht="18">
      <c r="B2" s="1"/>
      <c r="C2" s="265" t="s">
        <v>9</v>
      </c>
      <c r="D2" s="1"/>
    </row>
    <row r="3" spans="2:4" ht="12.75">
      <c r="B3" s="1"/>
      <c r="C3" s="1"/>
      <c r="D3" s="1"/>
    </row>
    <row r="4" spans="3:5" ht="14.25">
      <c r="C4" s="234" t="s">
        <v>7</v>
      </c>
      <c r="D4" s="234"/>
      <c r="E4" s="266">
        <f>'recibo de sueldo'!D313</f>
        <v>36</v>
      </c>
    </row>
    <row r="5" spans="3:6" ht="14.25">
      <c r="C5" s="234" t="s">
        <v>344</v>
      </c>
      <c r="D5" s="234"/>
      <c r="E5" s="266">
        <f>'recibo de sueldo'!D314</f>
        <v>24</v>
      </c>
      <c r="F5" s="267">
        <f>'recibo de sueldo'!D315</f>
        <v>1.2</v>
      </c>
    </row>
    <row r="6" spans="3:4" ht="12.75">
      <c r="C6" s="1"/>
      <c r="D6" s="1"/>
    </row>
    <row r="7" spans="3:5" ht="14.25">
      <c r="C7" s="270" t="s">
        <v>358</v>
      </c>
      <c r="D7" s="268"/>
      <c r="E7" s="269">
        <f>'recibo de sueldo'!D317</f>
        <v>36</v>
      </c>
    </row>
    <row r="8" spans="3:5" ht="14.25">
      <c r="C8" s="270" t="s">
        <v>359</v>
      </c>
      <c r="D8" s="268"/>
      <c r="E8" s="269">
        <f>'recibo de sueldo'!D318</f>
        <v>36</v>
      </c>
    </row>
    <row r="9" spans="3:5" ht="14.25">
      <c r="C9" s="270" t="s">
        <v>360</v>
      </c>
      <c r="D9" s="268"/>
      <c r="E9" s="269" t="e">
        <f>'recibo de sueldo'!#REF!</f>
        <v>#REF!</v>
      </c>
    </row>
    <row r="11" spans="2:6" ht="16.5" thickBot="1">
      <c r="B11" s="271" t="s">
        <v>386</v>
      </c>
      <c r="D11" s="251"/>
      <c r="E11" s="252"/>
      <c r="F11" s="252"/>
    </row>
    <row r="12" spans="2:6" ht="13.5" thickBot="1">
      <c r="B12" s="81" t="s">
        <v>349</v>
      </c>
      <c r="C12" s="124" t="s">
        <v>348</v>
      </c>
      <c r="D12" s="124" t="s">
        <v>320</v>
      </c>
      <c r="E12" s="124" t="s">
        <v>321</v>
      </c>
      <c r="F12" s="239" t="s">
        <v>322</v>
      </c>
    </row>
    <row r="13" spans="2:6" ht="12.75">
      <c r="B13" s="126" t="s">
        <v>331</v>
      </c>
      <c r="C13" s="253" t="e">
        <f>'recibo de sueldo'!#REF!</f>
        <v>#REF!</v>
      </c>
      <c r="D13" s="83" t="s">
        <v>332</v>
      </c>
      <c r="E13" s="127" t="e">
        <f>'recibo de sueldo'!#REF!</f>
        <v>#REF!</v>
      </c>
      <c r="F13" s="168"/>
    </row>
    <row r="14" spans="2:6" ht="12.75">
      <c r="B14" s="99" t="s">
        <v>296</v>
      </c>
      <c r="C14" s="229" t="e">
        <f>'recibo de sueldo'!#REF!</f>
        <v>#REF!</v>
      </c>
      <c r="D14" s="46" t="s">
        <v>0</v>
      </c>
      <c r="E14" s="127" t="e">
        <f>'recibo de sueldo'!#REF!</f>
        <v>#REF!</v>
      </c>
      <c r="F14" s="169"/>
    </row>
    <row r="15" spans="2:6" ht="12.75">
      <c r="B15" s="99" t="s">
        <v>301</v>
      </c>
      <c r="C15" s="253" t="e">
        <f>'recibo de sueldo'!#REF!</f>
        <v>#REF!</v>
      </c>
      <c r="D15" s="72" t="s">
        <v>328</v>
      </c>
      <c r="E15" s="127" t="e">
        <f>'recibo de sueldo'!#REF!</f>
        <v>#REF!</v>
      </c>
      <c r="F15" s="169"/>
    </row>
    <row r="16" spans="2:6" ht="12.75">
      <c r="B16" s="101" t="s">
        <v>302</v>
      </c>
      <c r="C16" s="229" t="e">
        <f>'recibo de sueldo'!#REF!</f>
        <v>#REF!</v>
      </c>
      <c r="D16" s="72" t="s">
        <v>333</v>
      </c>
      <c r="E16" s="127" t="e">
        <f>'recibo de sueldo'!#REF!</f>
        <v>#REF!</v>
      </c>
      <c r="F16" s="169"/>
    </row>
    <row r="17" spans="2:6" ht="12.75">
      <c r="B17" s="102" t="s">
        <v>303</v>
      </c>
      <c r="C17" s="253" t="e">
        <f>'recibo de sueldo'!#REF!</f>
        <v>#REF!</v>
      </c>
      <c r="D17" s="46" t="s">
        <v>315</v>
      </c>
      <c r="E17" s="127" t="e">
        <f>'recibo de sueldo'!#REF!</f>
        <v>#REF!</v>
      </c>
      <c r="F17" s="169"/>
    </row>
    <row r="18" spans="2:6" ht="12.75">
      <c r="B18" s="99" t="s">
        <v>304</v>
      </c>
      <c r="C18" s="253" t="e">
        <f>'recibo de sueldo'!#REF!</f>
        <v>#REF!</v>
      </c>
      <c r="D18" s="46" t="s">
        <v>334</v>
      </c>
      <c r="E18" s="127" t="e">
        <f>'recibo de sueldo'!#REF!</f>
        <v>#REF!</v>
      </c>
      <c r="F18" s="169"/>
    </row>
    <row r="19" spans="2:6" ht="12.75">
      <c r="B19" s="99" t="s">
        <v>299</v>
      </c>
      <c r="C19" s="229" t="e">
        <f>'recibo de sueldo'!#REF!</f>
        <v>#REF!</v>
      </c>
      <c r="D19" s="48" t="s">
        <v>330</v>
      </c>
      <c r="E19" s="127" t="e">
        <f>'recibo de sueldo'!#REF!</f>
        <v>#REF!</v>
      </c>
      <c r="F19" s="169"/>
    </row>
    <row r="20" spans="2:6" ht="13.5" thickBot="1">
      <c r="B20" s="105" t="s">
        <v>340</v>
      </c>
      <c r="C20" s="254"/>
      <c r="D20" s="60"/>
      <c r="E20" s="75" t="e">
        <f>'recibo de sueldo'!#REF!</f>
        <v>#REF!</v>
      </c>
      <c r="F20" s="169"/>
    </row>
    <row r="21" spans="2:6" ht="16.5" thickBot="1">
      <c r="B21" s="106"/>
      <c r="C21" s="256" t="s">
        <v>8</v>
      </c>
      <c r="D21" s="113"/>
      <c r="E21" s="259" t="e">
        <f>'recibo de sueldo'!#REF!</f>
        <v>#REF!</v>
      </c>
      <c r="F21" s="237"/>
    </row>
    <row r="22" spans="2:6" ht="15.75">
      <c r="B22" s="104" t="s">
        <v>335</v>
      </c>
      <c r="C22" s="255"/>
      <c r="D22" s="257" t="s">
        <v>336</v>
      </c>
      <c r="E22" s="260"/>
      <c r="F22" s="263" t="e">
        <f>'recibo de sueldo'!#REF!</f>
        <v>#REF!</v>
      </c>
    </row>
    <row r="23" spans="2:6" ht="12.75">
      <c r="B23" s="46">
        <v>502</v>
      </c>
      <c r="C23" s="229" t="e">
        <f>'recibo de sueldo'!#REF!</f>
        <v>#REF!</v>
      </c>
      <c r="D23" s="258" t="s">
        <v>339</v>
      </c>
      <c r="E23" s="261"/>
      <c r="F23" s="263" t="e">
        <f>'recibo de sueldo'!#REF!</f>
        <v>#REF!</v>
      </c>
    </row>
    <row r="24" spans="2:6" ht="12.75">
      <c r="B24" s="46">
        <v>504</v>
      </c>
      <c r="C24" s="230" t="e">
        <f>'recibo de sueldo'!#REF!</f>
        <v>#REF!</v>
      </c>
      <c r="D24" s="218" t="s">
        <v>338</v>
      </c>
      <c r="E24" s="100"/>
      <c r="F24" s="263" t="e">
        <f>'recibo de sueldo'!#REF!</f>
        <v>#REF!</v>
      </c>
    </row>
    <row r="25" spans="2:6" ht="12.75">
      <c r="B25" s="46">
        <v>505</v>
      </c>
      <c r="C25" s="229" t="e">
        <f>'recibo de sueldo'!#REF!</f>
        <v>#REF!</v>
      </c>
      <c r="D25" s="258" t="s">
        <v>337</v>
      </c>
      <c r="E25" s="47"/>
      <c r="F25" s="263" t="e">
        <f>'recibo de sueldo'!#REF!</f>
        <v>#REF!</v>
      </c>
    </row>
    <row r="26" spans="2:6" ht="13.5" thickBot="1">
      <c r="B26" s="110" t="s">
        <v>2</v>
      </c>
      <c r="C26" s="229" t="e">
        <f>'recibo de sueldo'!#REF!</f>
        <v>#REF!</v>
      </c>
      <c r="D26" s="191"/>
      <c r="E26" s="100"/>
      <c r="F26" s="264" t="e">
        <f>'recibo de sueldo'!#REF!</f>
        <v>#REF!</v>
      </c>
    </row>
    <row r="27" spans="2:6" ht="16.5" thickBot="1">
      <c r="B27" s="64"/>
      <c r="C27" s="111"/>
      <c r="D27" s="93" t="s">
        <v>3</v>
      </c>
      <c r="E27" s="124"/>
      <c r="F27" s="262" t="e">
        <f>'recibo de sueldo'!#REF!</f>
        <v>#REF!</v>
      </c>
    </row>
    <row r="28" spans="2:6" ht="13.5" thickBot="1">
      <c r="B28" s="1"/>
      <c r="C28" s="1"/>
      <c r="D28" s="1"/>
      <c r="E28" s="1"/>
      <c r="F28" s="1"/>
    </row>
    <row r="29" spans="2:6" ht="16.5" thickBot="1">
      <c r="B29" s="166"/>
      <c r="C29" s="93" t="s">
        <v>4</v>
      </c>
      <c r="D29" s="93"/>
      <c r="E29" s="82" t="e">
        <f>'recibo de sueldo'!#REF!</f>
        <v>#REF!</v>
      </c>
      <c r="F29" s="1"/>
    </row>
  </sheetData>
  <sheetProtection password="DFB3" sheet="1" objects="1" scenarios="1"/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AGMER Uruguay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Hugo Hutt</dc:creator>
  <cp:keywords/>
  <dc:description/>
  <cp:lastModifiedBy>Victor</cp:lastModifiedBy>
  <cp:lastPrinted>2010-03-10T23:40:12Z</cp:lastPrinted>
  <dcterms:created xsi:type="dcterms:W3CDTF">2005-08-01T16:16:18Z</dcterms:created>
  <dcterms:modified xsi:type="dcterms:W3CDTF">2020-01-29T22:25:01Z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