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5" yWindow="4305" windowWidth="15480" windowHeight="4050" tabRatio="599" activeTab="0"/>
  </bookViews>
  <sheets>
    <sheet name="recibo de sueldo" sheetId="1" r:id="rId1"/>
    <sheet name="Cargos" sheetId="2" r:id="rId2"/>
    <sheet name="Imp cargo" sheetId="3" state="hidden" r:id="rId3"/>
    <sheet name="Imp hs med" sheetId="4" state="hidden" r:id="rId4"/>
    <sheet name="Imp hs sup" sheetId="5" state="hidden" r:id="rId5"/>
  </sheets>
  <definedNames>
    <definedName name="adicdir">'Cargos'!$J$3:$J$336</definedName>
    <definedName name="adicdir2014">'Cargos'!$M$3:$M$336</definedName>
    <definedName name="adicdir2016">'Cargos'!$N$3:$N$336</definedName>
    <definedName name="adichsmedia">'recibo de sueldo'!$D$175</definedName>
    <definedName name="adicminimo">'recibo de sueldo'!#REF!</definedName>
    <definedName name="adicnina">'Cargos'!$S$3:$S$336</definedName>
    <definedName name="Aumento1">'recibo de sueldo'!$J$79</definedName>
    <definedName name="Aumento2">'recibo de sueldo'!$J$80</definedName>
    <definedName name="Aumento3">'recibo de sueldo'!$J$81</definedName>
    <definedName name="Aumento4">'recibo de sueldo'!$J$82</definedName>
    <definedName name="Aumentomar21">'recibo de sueldo'!$H$81</definedName>
    <definedName name="aumgeneral">'recibo de sueldo'!$K$107</definedName>
    <definedName name="canthor06med">'recibo de sueldo'!$D$173</definedName>
    <definedName name="canthor06sup">'recibo de sueldo'!$D$240</definedName>
    <definedName name="canthorincmed">'recibo de sueldo'!$D$174</definedName>
    <definedName name="canthorincsup">'recibo de sueldo'!$D$241</definedName>
    <definedName name="canthormed">'recibo de sueldo'!$D$169</definedName>
    <definedName name="canthorsup">'recibo de sueldo'!$D$236</definedName>
    <definedName name="cantkm">'recibo de sueldo'!$D$104</definedName>
    <definedName name="cantkmhm">'recibo de sueldo'!$D$176</definedName>
    <definedName name="cantkmhs">'recibo de sueldo'!$D$242</definedName>
    <definedName name="Cargos">'recibo de sueldo'!$C$94</definedName>
    <definedName name="CARGOS_Con_prolongación_de_jornada">'recibo de sueldo'!$C$94</definedName>
    <definedName name="CARGOS_de_ascenso">'recibo de sueldo'!#REF!</definedName>
    <definedName name="CARGOS_de_ingreso">'recibo de sueldo'!#REF!</definedName>
    <definedName name="caringresojub">#REF!</definedName>
    <definedName name="carproljorjub">#REF!</definedName>
    <definedName name="cod06cargos">'recibo de sueldo'!#REF!</definedName>
    <definedName name="cod06juloferta15_5">'recibo de sueldo'!#REF!</definedName>
    <definedName name="cod06med">'recibo de sueldo'!#REF!</definedName>
    <definedName name="cod06oferta15_5">'recibo de sueldo'!#REF!</definedName>
    <definedName name="cod06sup">'recibo de sueldo'!#REF!</definedName>
    <definedName name="cod101car">'recibo de sueldo'!$K$87</definedName>
    <definedName name="cod101hsmed">'recibo de sueldo'!$K$88</definedName>
    <definedName name="cod101hssup">'recibo de sueldo'!$K$89</definedName>
    <definedName name="codigo06cargosdic18">'recibo de sueldo'!#REF!</definedName>
    <definedName name="codigo06cargosene20">'recibo de sueldo'!$I$18:$I$29</definedName>
    <definedName name="codigo06cargosfeb21">'recibo de sueldo'!$I$47:$I$58</definedName>
    <definedName name="codigo06cargosjul19">'recibo de sueldo'!#REF!</definedName>
    <definedName name="codigo06cargosmar19">'recibo de sueldo'!#REF!</definedName>
    <definedName name="codigo06cargosmay19">'recibo de sueldo'!#REF!</definedName>
    <definedName name="codigo06cargosoct19">'recibo de sueldo'!#REF!</definedName>
    <definedName name="compbas13">'Cargos'!$F$3:$F$336</definedName>
    <definedName name="compbas14">'Cargos'!$G$3:$G$336</definedName>
    <definedName name="compbas15">'Cargos'!$H$3:$H$336</definedName>
    <definedName name="compbas16">'Cargos'!$L$3:$L$336</definedName>
    <definedName name="compbas2014">'recibo de sueldo'!#REF!</definedName>
    <definedName name="compbas2015">'recibo de sueldo'!$F$97</definedName>
    <definedName name="compbas2016">'recibo de sueldo'!$F$99</definedName>
    <definedName name="compbasico">'recibo de sueldo'!#REF!</definedName>
    <definedName name="compdir13">'recibo de sueldo'!#REF!</definedName>
    <definedName name="compdir14">'recibo de sueldo'!$G$97</definedName>
    <definedName name="compdir16">'recibo de sueldo'!$G$99</definedName>
    <definedName name="escalaañosantig">'recibo de sueldo'!$D$18:$D$29</definedName>
    <definedName name="escalaporcantig">'recibo de sueldo'!$E$18:$E$29</definedName>
    <definedName name="HORAS_DE_NIVEL_MEDIO">'recibo de sueldo'!$C$167</definedName>
    <definedName name="HORAS_DE_NIVEL_Superior">'recibo de sueldo'!$C$235</definedName>
    <definedName name="horasmediajub">#REF!</definedName>
    <definedName name="horassuperiorjub">#REF!</definedName>
    <definedName name="indicedic18">'recibo de sueldo'!#REF!</definedName>
    <definedName name="indiceene20">'recibo de sueldo'!$F$79</definedName>
    <definedName name="indicejul19">'recibo de sueldo'!$B$79</definedName>
    <definedName name="indicemar19">'recibo de sueldo'!#REF!</definedName>
    <definedName name="indicemar21">'recibo de sueldo'!$H$79</definedName>
    <definedName name="indicemay19">'recibo de sueldo'!#REF!</definedName>
    <definedName name="indiceoct19">'recibo de sueldo'!$D$79</definedName>
    <definedName name="indiceproljordic18">'recibo de sueldo'!#REF!</definedName>
    <definedName name="indiceproljorene20">'recibo de sueldo'!$F$80</definedName>
    <definedName name="indiceproljorjul19">'recibo de sueldo'!$B$80</definedName>
    <definedName name="indiceproljormar19">'recibo de sueldo'!#REF!</definedName>
    <definedName name="indiceproljormar21">'recibo de sueldo'!$H$80</definedName>
    <definedName name="indiceproljormay19">'recibo de sueldo'!#REF!</definedName>
    <definedName name="indiceproljoroct19">'recibo de sueldo'!$D$80</definedName>
    <definedName name="infladic">'recibo de sueldo'!#REF!</definedName>
    <definedName name="inflajun">'recibo de sueldo'!$D$1</definedName>
    <definedName name="inflasep">'recibo de sueldo'!#REF!</definedName>
    <definedName name="kmsem">'recibo de sueldo'!$C$123</definedName>
    <definedName name="kmsemhsmed">'recibo de sueldo'!$C$191</definedName>
    <definedName name="kmsemhssup">'recibo de sueldo'!$C$253</definedName>
    <definedName name="monto440cargo">'recibo de sueldo'!#REF!</definedName>
    <definedName name="monto440med">'recibo de sueldo'!#REF!</definedName>
    <definedName name="monto440sup">'recibo de sueldo'!#REF!</definedName>
    <definedName name="montoasigfam">'recibo de sueldo'!#REF!</definedName>
    <definedName name="montocod099">'recibo de sueldo'!#REF!</definedName>
    <definedName name="Montofij_jul18">'recibo de sueldo'!#REF!</definedName>
    <definedName name="Montofijomar18">'recibo de sueldo'!#REF!</definedName>
    <definedName name="nina">'recibo de sueldo'!$D$101</definedName>
    <definedName name="nombrecargo">'Cargos'!$B$3:$B$336</definedName>
    <definedName name="nomprovcar">'recibo de sueldo'!#REF!</definedName>
    <definedName name="nomprovhsmed">'recibo de sueldo'!#REF!</definedName>
    <definedName name="nomprovhssup">'recibo de sueldo'!#REF!</definedName>
    <definedName name="nuevofijo">'recibo de sueldo'!#REF!</definedName>
    <definedName name="nuevopuntoíndice">'recibo de sueldo'!#REF!</definedName>
    <definedName name="nuevosalminjorcom">'recibo de sueldo'!#REF!</definedName>
    <definedName name="numcargo">'Cargos'!$A$3:$A$336</definedName>
    <definedName name="otroporcdesccargo">'recibo de sueldo'!#REF!</definedName>
    <definedName name="otroporcdescsup">'recibo de sueldo'!#REF!</definedName>
    <definedName name="otrosdescmed">'recibo de sueldo'!#REF!</definedName>
    <definedName name="otroshaberesmed">'recibo de sueldo'!#REF!</definedName>
    <definedName name="otroshaberessup">'recibo de sueldo'!#REF!</definedName>
    <definedName name="po">'recibo de sueldo'!#REF!</definedName>
    <definedName name="poragmer">'recibo de sueldo'!$C$268</definedName>
    <definedName name="porant">'recibo de sueldo'!$H$18:$H$29</definedName>
    <definedName name="porantig">'recibo de sueldo'!$H$18:$H$29</definedName>
    <definedName name="porantigcargo">'recibo de sueldo'!$D$103</definedName>
    <definedName name="porantighormed">'recibo de sueldo'!$D$171</definedName>
    <definedName name="porantighorsup">'recibo de sueldo'!$D$238</definedName>
    <definedName name="porantigvarcargo">#REF!</definedName>
    <definedName name="porantigvarhsmed">#REF!</definedName>
    <definedName name="porantigvarhssup">#REF!</definedName>
    <definedName name="porcremcod17">'recibo de sueldo'!#REF!</definedName>
    <definedName name="porczonacargo">'recibo de sueldo'!#REF!</definedName>
    <definedName name="porczonamed">'recibo de sueldo'!#REF!</definedName>
    <definedName name="porjub">'recibo de sueldo'!$C$265</definedName>
    <definedName name="porley">'recibo de sueldo'!$C$266</definedName>
    <definedName name="poros">'recibo de sueldo'!$C$267</definedName>
    <definedName name="porzonacargo">'recibo de sueldo'!$C$120</definedName>
    <definedName name="porzonahsmed">'recibo de sueldo'!$C$190</definedName>
    <definedName name="punbascar">'recibo de sueldo'!$D$106</definedName>
    <definedName name="punbascargo">'Cargos'!$C$3:$C$336</definedName>
    <definedName name="punbashormed">'recibo de sueldo'!$D$179</definedName>
    <definedName name="punbashorsup">'recibo de sueldo'!$D$243</definedName>
    <definedName name="punjorcomcargo">'Cargos'!$R$3:$R$336</definedName>
    <definedName name="punproljorcargo">'Cargos'!$Q$3:$Q$336</definedName>
    <definedName name="puntardifcargo">'Cargos'!$P$3:$P$336</definedName>
    <definedName name="puntosadicnina">'recibo de sueldo'!$H$97</definedName>
    <definedName name="PUNTOSbasicos">'recibo de sueldo'!$B$97</definedName>
    <definedName name="puntoscompbasico">'Cargos'!$E$3:$E$336</definedName>
    <definedName name="puntosproljor">'recibo de sueldo'!$G$106</definedName>
    <definedName name="puntostardif">'recibo de sueldo'!$C$97</definedName>
    <definedName name="segurovidacargo">'recibo de sueldo'!#REF!</definedName>
    <definedName name="totalrem1">'recibo de sueldo'!$N$143</definedName>
    <definedName name="totalrem2">'recibo de sueldo'!$K$143</definedName>
    <definedName name="totalrem3">'recibo de sueldo'!$H$143</definedName>
    <definedName name="totalrem4">'recibo de sueldo'!$E$143</definedName>
    <definedName name="totalremdic18">'recibo de sueldo'!#REF!</definedName>
    <definedName name="totalremene20">'recibo de sueldo'!$Z$143</definedName>
    <definedName name="totalremfeb21">'recibo de sueldo'!$T$143</definedName>
    <definedName name="totalremjul19">'recibo de sueldo'!#REF!</definedName>
    <definedName name="totalremmar19">'recibo de sueldo'!#REF!</definedName>
    <definedName name="totalremmar20">'recibo de sueldo'!$W$143</definedName>
    <definedName name="totalremmay19">'recibo de sueldo'!#REF!</definedName>
    <definedName name="totalremoct19">'recibo de sueldo'!$AC$143</definedName>
    <definedName name="viejocompbasico">'Cargos'!$D$3:$D$336</definedName>
  </definedNames>
  <calcPr fullCalcOnLoad="1"/>
</workbook>
</file>

<file path=xl/comments1.xml><?xml version="1.0" encoding="utf-8"?>
<comments xmlns="http://schemas.openxmlformats.org/spreadsheetml/2006/main">
  <authors>
    <author>vicky</author>
    <author>Victor</author>
  </authors>
  <commentList>
    <comment ref="D175" authorId="0">
      <text>
        <r>
          <rPr>
            <b/>
            <sz val="10"/>
            <rFont val="Tahoma"/>
            <family val="2"/>
          </rPr>
          <t>Victor:
No lo cobran los que tienen cargo además de horas, en ese caso poner 0</t>
        </r>
        <r>
          <rPr>
            <sz val="10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  <r>
          <rPr>
            <sz val="10"/>
            <rFont val="Tahoma"/>
            <family val="2"/>
          </rPr>
          <t xml:space="preserve">
</t>
        </r>
      </text>
    </comment>
    <comment ref="C206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  <r>
          <rPr>
            <sz val="10"/>
            <rFont val="Tahoma"/>
            <family val="2"/>
          </rPr>
          <t xml:space="preserve">
</t>
        </r>
      </text>
    </comment>
    <comment ref="C268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</text>
    </comment>
    <comment ref="C190" authorId="0">
      <text>
        <r>
          <rPr>
            <b/>
            <sz val="8"/>
            <rFont val="Tahoma"/>
            <family val="2"/>
          </rPr>
          <t>Porcentaje de zona</t>
        </r>
      </text>
    </comment>
    <comment ref="C193" authorId="1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Indicar si si la cantidad de horas de este código es diferente a la cantidad de horas totales, si no corresponde porque se cobra en cargo, poner 0 en este lugar.</t>
        </r>
      </text>
    </comment>
    <comment ref="C254" authorId="1">
      <text>
        <r>
          <rPr>
            <b/>
            <sz val="9"/>
            <rFont val="Tahoma"/>
            <family val="2"/>
          </rPr>
          <t>Victor:</t>
        </r>
        <r>
          <rPr>
            <sz val="9"/>
            <rFont val="Tahoma"/>
            <family val="2"/>
          </rPr>
          <t xml:space="preserve">
Indicar si si la cantidad de horas de este código es diferente a la cantidad de horas totales, si no corresponde porque se cobra en cargo, poner 0 en este lugar.</t>
        </r>
      </text>
    </comment>
  </commentList>
</comments>
</file>

<file path=xl/comments4.xml><?xml version="1.0" encoding="utf-8"?>
<comments xmlns="http://schemas.openxmlformats.org/spreadsheetml/2006/main">
  <authors>
    <author>V?ctor</author>
  </authors>
  <commentList>
    <comment ref="E2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comments5.xml><?xml version="1.0" encoding="utf-8"?>
<comments xmlns="http://schemas.openxmlformats.org/spreadsheetml/2006/main">
  <authors>
    <author>V?ctor</author>
  </authors>
  <commentList>
    <comment ref="E2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E2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sharedStrings.xml><?xml version="1.0" encoding="utf-8"?>
<sst xmlns="http://schemas.openxmlformats.org/spreadsheetml/2006/main" count="1097" uniqueCount="540">
  <si>
    <t>Antigüedad</t>
  </si>
  <si>
    <t>Total haberes</t>
  </si>
  <si>
    <t>Otro desc</t>
  </si>
  <si>
    <t>Descuentos</t>
  </si>
  <si>
    <t>Sueldo líquido</t>
  </si>
  <si>
    <t>Puntos básicos</t>
  </si>
  <si>
    <t>HORAS DE NIVEL MEDIO</t>
  </si>
  <si>
    <t>Número de horas</t>
  </si>
  <si>
    <t>Haberes</t>
  </si>
  <si>
    <t>HORAS DE NIVEL Superior</t>
  </si>
  <si>
    <t>Víctor Hugo Hutt</t>
  </si>
  <si>
    <t>AGMER Seccional Uruguay</t>
  </si>
  <si>
    <t>www.agmeruruguay.com.ar</t>
  </si>
  <si>
    <t xml:space="preserve"> 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</si>
  <si>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</si>
  <si>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</si>
  <si>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</si>
  <si>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</si>
  <si>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</si>
  <si>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</si>
  <si>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</si>
  <si>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</si>
  <si>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</si>
  <si>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</si>
  <si>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</si>
  <si>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</si>
  <si>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</si>
  <si>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</si>
  <si>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</si>
  <si>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</si>
  <si>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</si>
  <si>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</si>
  <si>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</si>
  <si>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</si>
  <si>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</si>
  <si>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</si>
  <si>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</si>
  <si>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</si>
  <si>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</si>
  <si>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</si>
  <si>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</si>
  <si>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</si>
  <si>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</si>
  <si>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</si>
  <si>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</si>
  <si>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</si>
  <si>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</si>
  <si>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</si>
  <si>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</si>
  <si>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</si>
  <si>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</si>
  <si>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</si>
  <si>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</si>
  <si>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</si>
  <si>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</si>
  <si>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</si>
  <si>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</si>
  <si>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</si>
  <si>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</si>
  <si>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</si>
  <si>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</si>
  <si>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</si>
  <si>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</si>
  <si>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</si>
  <si>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</si>
  <si>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</si>
  <si>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</si>
  <si>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</si>
  <si>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</si>
  <si>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</si>
  <si>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</si>
  <si>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</si>
  <si>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</si>
  <si>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</si>
  <si>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</si>
  <si>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</si>
  <si>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</si>
  <si>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</si>
  <si>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</si>
  <si>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</si>
  <si>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</si>
  <si>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</si>
  <si>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</si>
  <si>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</si>
  <si>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</si>
  <si>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</si>
  <si>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</si>
  <si>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</si>
  <si>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</si>
  <si>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</si>
  <si>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</si>
  <si>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</si>
  <si>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</si>
  <si>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</si>
  <si>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</si>
  <si>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</si>
  <si>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</si>
  <si>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</si>
  <si>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</si>
  <si>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</si>
  <si>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</si>
  <si>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</si>
  <si>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</si>
  <si>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</si>
  <si>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</si>
  <si>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</si>
  <si>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</si>
  <si>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</si>
  <si>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</si>
  <si>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</si>
  <si>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</si>
  <si>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</si>
  <si>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</si>
  <si>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</si>
  <si>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</si>
  <si>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</si>
  <si>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</si>
  <si>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</si>
  <si>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</si>
  <si>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</si>
  <si>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</si>
  <si>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</si>
  <si>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</si>
  <si>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</si>
  <si>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</si>
  <si>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</si>
  <si>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</si>
  <si>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</si>
  <si>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</si>
  <si>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</si>
  <si>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</si>
  <si>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</si>
  <si>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</si>
  <si>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</si>
  <si>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</si>
  <si>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</si>
  <si>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</si>
  <si>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</si>
  <si>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</si>
  <si>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</si>
  <si>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</si>
  <si>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</si>
  <si>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</si>
  <si>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</si>
  <si>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</si>
  <si>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</si>
  <si>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</si>
  <si>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</si>
  <si>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</si>
  <si>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</si>
  <si>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</si>
  <si>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</si>
  <si>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</si>
  <si>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</si>
  <si>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</si>
  <si>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</si>
  <si>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</si>
  <si>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</si>
  <si>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</si>
  <si>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</si>
  <si>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</si>
  <si>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</si>
  <si>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</si>
  <si>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</si>
  <si>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</si>
  <si>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</si>
  <si>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</si>
  <si>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</si>
  <si>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</si>
  <si>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</si>
  <si>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</si>
  <si>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</si>
  <si>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</si>
  <si>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</si>
  <si>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</si>
  <si>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</si>
  <si>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</si>
  <si>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</si>
  <si>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</si>
  <si>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</si>
  <si>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</si>
  <si>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</si>
  <si>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</si>
  <si>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</si>
  <si>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</si>
  <si>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</si>
  <si>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</si>
  <si>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</si>
  <si>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</si>
  <si>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</si>
  <si>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</si>
  <si>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</si>
  <si>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</si>
  <si>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</si>
  <si>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</si>
  <si>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</si>
  <si>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</si>
  <si>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</si>
  <si>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</si>
  <si>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</si>
  <si>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</si>
  <si>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</si>
  <si>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</si>
  <si>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</si>
  <si>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</si>
  <si>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</si>
  <si>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</si>
  <si>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</si>
  <si>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</si>
  <si>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</si>
  <si>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</si>
  <si>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</si>
  <si>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</si>
  <si>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</si>
  <si>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</si>
  <si>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</si>
  <si>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</si>
  <si>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</si>
  <si>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</si>
  <si>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</si>
  <si>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</si>
  <si>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</si>
  <si>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</si>
  <si>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</si>
  <si>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</si>
  <si>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</si>
  <si>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</si>
  <si>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</si>
  <si>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</si>
  <si>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</si>
  <si>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</si>
  <si>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</si>
  <si>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</si>
  <si>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</si>
  <si>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</si>
  <si>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</si>
  <si>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</si>
  <si>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</si>
  <si>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</si>
  <si>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</si>
  <si>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</si>
  <si>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</si>
  <si>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</si>
  <si>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</si>
  <si>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</si>
  <si>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</si>
  <si>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</si>
  <si>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</si>
  <si>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</si>
  <si>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</si>
  <si>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</si>
  <si>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</si>
  <si>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</si>
  <si>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</si>
  <si>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</si>
  <si>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</si>
  <si>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</si>
  <si>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</si>
  <si>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</si>
  <si>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</si>
  <si>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</si>
  <si>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</si>
  <si>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</si>
  <si>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</si>
  <si>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</si>
  <si>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</si>
  <si>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</si>
  <si>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</si>
  <si>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</si>
  <si>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</si>
  <si>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</si>
  <si>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</si>
  <si>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</si>
  <si>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</si>
  <si>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</si>
  <si>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</si>
  <si>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</si>
  <si>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</si>
  <si>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</si>
  <si>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</si>
  <si>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</si>
  <si>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</si>
  <si>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</si>
  <si>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</si>
  <si>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</si>
  <si>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</si>
  <si>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</si>
  <si>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</si>
  <si>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Prol JORN</t>
  </si>
  <si>
    <t>jorn Compl</t>
  </si>
  <si>
    <t xml:space="preserve"> tarea DIFER.</t>
  </si>
  <si>
    <t>PUNTOS basicos</t>
  </si>
  <si>
    <t xml:space="preserve">CARGOS </t>
  </si>
  <si>
    <t>078</t>
  </si>
  <si>
    <t>016</t>
  </si>
  <si>
    <t>052</t>
  </si>
  <si>
    <t>010</t>
  </si>
  <si>
    <t>001</t>
  </si>
  <si>
    <t>Asignación de la categoría</t>
  </si>
  <si>
    <t>188</t>
  </si>
  <si>
    <t>172</t>
  </si>
  <si>
    <t>006</t>
  </si>
  <si>
    <t>014</t>
  </si>
  <si>
    <t>084</t>
  </si>
  <si>
    <t>113</t>
  </si>
  <si>
    <t>502</t>
  </si>
  <si>
    <t>504</t>
  </si>
  <si>
    <t>505</t>
  </si>
  <si>
    <t>510</t>
  </si>
  <si>
    <t>099</t>
  </si>
  <si>
    <t>Ant. Comp Nación</t>
  </si>
  <si>
    <t>Prolongación de Jornada</t>
  </si>
  <si>
    <t>Función diferencial docente</t>
  </si>
  <si>
    <t>Varios</t>
  </si>
  <si>
    <t>Total Asignaciones Familiares</t>
  </si>
  <si>
    <t>Anticipo FONID</t>
  </si>
  <si>
    <t>Sueldo líquido provincia</t>
  </si>
  <si>
    <t>Adicional para mínimo</t>
  </si>
  <si>
    <t>FONID 2006</t>
  </si>
  <si>
    <t>Años de antigüedad</t>
  </si>
  <si>
    <t>CONCEPTO</t>
  </si>
  <si>
    <t>HABERES</t>
  </si>
  <si>
    <t>DESCUENTOS</t>
  </si>
  <si>
    <t xml:space="preserve"> Ley 4035</t>
  </si>
  <si>
    <t>Seg vida</t>
  </si>
  <si>
    <t>Ob social</t>
  </si>
  <si>
    <t xml:space="preserve"> Ap jubilat</t>
  </si>
  <si>
    <t>Puntos de jornada completa</t>
  </si>
  <si>
    <t>Adic. Art. 2 y 3 Dcrto. 5863/05</t>
  </si>
  <si>
    <t>Product. Dcrto. 5863/05</t>
  </si>
  <si>
    <t>Plus productividad docente</t>
  </si>
  <si>
    <t>004</t>
  </si>
  <si>
    <t>Horas cátedra</t>
  </si>
  <si>
    <t>Productiv Dcrto. 5863/05</t>
  </si>
  <si>
    <t>Ant comp Nación</t>
  </si>
  <si>
    <t>440</t>
  </si>
  <si>
    <t>Reajuste cod 188</t>
  </si>
  <si>
    <t>Obra social</t>
  </si>
  <si>
    <t>Ley 4035</t>
  </si>
  <si>
    <t>Ap jubilatorio</t>
  </si>
  <si>
    <t>Otros</t>
  </si>
  <si>
    <t>Escala de antigüedades</t>
  </si>
  <si>
    <t>Años</t>
  </si>
  <si>
    <t>Porcentaje</t>
  </si>
  <si>
    <t>Años de Antigüedad</t>
  </si>
  <si>
    <t>NOMBRE del cargo</t>
  </si>
  <si>
    <t>Buscar en la hoja cargos si no saben el número del cargo y luego controlar por el nombre</t>
  </si>
  <si>
    <t>Listado de Cargos</t>
  </si>
  <si>
    <t>PORCENT</t>
  </si>
  <si>
    <t>CODIGO</t>
  </si>
  <si>
    <t>Volver al simulador</t>
  </si>
  <si>
    <r>
      <t xml:space="preserve">Bonific Ubic Escuela </t>
    </r>
    <r>
      <rPr>
        <b/>
        <sz val="10"/>
        <rFont val="Arial"/>
        <family val="2"/>
      </rPr>
      <t>(ZONA)</t>
    </r>
  </si>
  <si>
    <t>1170&lt;pi&lt;1400</t>
  </si>
  <si>
    <t>1401&lt;pi&lt;1942</t>
  </si>
  <si>
    <t>pi&gt;2220</t>
  </si>
  <si>
    <t>1943&lt;pi&lt;=2220</t>
  </si>
  <si>
    <t>victorhutt@victorhutt.com.ar</t>
  </si>
  <si>
    <t>Por los topes de algunos códigos</t>
  </si>
  <si>
    <t>Nº horas que cobran código 06</t>
  </si>
  <si>
    <t>Nº horas que cobran incentivo</t>
  </si>
  <si>
    <t>Nº horas que cobran código 113</t>
  </si>
  <si>
    <t>hasta 971</t>
  </si>
  <si>
    <t>972&lt;pi&lt;= 1169</t>
  </si>
  <si>
    <t>pijc&gt;=620    971</t>
  </si>
  <si>
    <t>JC &gt; 971</t>
  </si>
  <si>
    <t>JC defint</t>
  </si>
  <si>
    <t>Final</t>
  </si>
  <si>
    <t>Puntos Comp basico</t>
  </si>
  <si>
    <t>Complemento de Básico</t>
  </si>
  <si>
    <t>Comp Básico</t>
  </si>
  <si>
    <t>Autor</t>
  </si>
  <si>
    <t>002</t>
  </si>
  <si>
    <t>Aumento de Bolsillo</t>
  </si>
  <si>
    <t>Aumento porcentual</t>
  </si>
  <si>
    <t>completar el cargo a la izquierda y buscar el resultado a la derecha</t>
  </si>
  <si>
    <t>Adicional directivos</t>
  </si>
  <si>
    <t>REGENTE 1ERA. CAT. C.E.F.</t>
  </si>
  <si>
    <t>VICEDIRECTOR 1ERA. CAT. C.E.F.</t>
  </si>
  <si>
    <t>Complemento directivo</t>
  </si>
  <si>
    <t>Comp Direct</t>
  </si>
  <si>
    <t>nuevo</t>
  </si>
  <si>
    <t>Total remunerativos</t>
  </si>
  <si>
    <t>Solo completar los datos en rojo</t>
  </si>
  <si>
    <t>Salario cargo desde Marzo de 2011</t>
  </si>
  <si>
    <t>porcentaje Antig</t>
  </si>
  <si>
    <t>Salario horas media desde Marzo de 2011</t>
  </si>
  <si>
    <t>Salario horas superior desde Marzo de 2011</t>
  </si>
  <si>
    <t>Adic</t>
  </si>
  <si>
    <t>Nina</t>
  </si>
  <si>
    <t>repito cargo</t>
  </si>
  <si>
    <t>Si: 1; No: 0</t>
  </si>
  <si>
    <t>Adic Esc Nina</t>
  </si>
  <si>
    <t>029</t>
  </si>
  <si>
    <t>Compensación por traslado</t>
  </si>
  <si>
    <t xml:space="preserve">Transporte: cant km semanales </t>
  </si>
  <si>
    <t>viejo Comp basico</t>
  </si>
  <si>
    <t>Modificadores diálogo 2013</t>
  </si>
  <si>
    <t>Porc aumento prol Jornada</t>
  </si>
  <si>
    <t>Nuevo Índice</t>
  </si>
  <si>
    <t>Nuevo Prol Jorn</t>
  </si>
  <si>
    <t>% de aum  código 06</t>
  </si>
  <si>
    <t>Multiplicador</t>
  </si>
  <si>
    <t>Aumento cargo testigo</t>
  </si>
  <si>
    <t>Porc aumento índice</t>
  </si>
  <si>
    <t>Nuevo sueldo testigo (maestro, 0% antig)</t>
  </si>
  <si>
    <t>Auminddic</t>
  </si>
  <si>
    <t>aumjorcompdic</t>
  </si>
  <si>
    <t>aum cod 06 dic</t>
  </si>
  <si>
    <t>Puntos Comp basico 2013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</si>
  <si>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</si>
  <si>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</si>
  <si>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</si>
  <si>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</si>
  <si>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</si>
  <si>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</si>
  <si>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</si>
  <si>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</si>
  <si>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</si>
  <si>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</si>
  <si>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>Director Dpto. Aplicación 1ra Cat.</t>
  </si>
  <si>
    <t>Director Jardín de Infantes</t>
  </si>
  <si>
    <t>Vicedirector Nivel Inicial 1ra Categoría</t>
  </si>
  <si>
    <t>Vicedirector Dpto Aplicación 1ra CAT</t>
  </si>
  <si>
    <t>Vicedirector DPTO. Aplicación 2da CAT</t>
  </si>
  <si>
    <t>Secretario Esc. Nivel Inicial 1ra CAT</t>
  </si>
  <si>
    <t>Secretario 3ra. CAT Educ. Jóvenes y Adultos</t>
  </si>
  <si>
    <t>Para conocer el código del cargo hacer clic en la hoja cargos</t>
  </si>
  <si>
    <t>005</t>
  </si>
  <si>
    <t>Adicional Nina</t>
  </si>
  <si>
    <t>Adic dir 2013</t>
  </si>
  <si>
    <t>adic dir 2014</t>
  </si>
  <si>
    <t>MAESTRO JARDÍN MATERNAL JORNADA EXTENDIDA</t>
  </si>
  <si>
    <t>puntos comp bas 2014</t>
  </si>
  <si>
    <t>03 o 08</t>
  </si>
  <si>
    <t>Adicional horas media</t>
  </si>
  <si>
    <t>018</t>
  </si>
  <si>
    <t>JEFE DE DEPARTAMENTO TÉCNICO Y SUPERVISIÓN</t>
  </si>
  <si>
    <t>SUPERVISOR EDUCACIÓN ARTÍSTICA</t>
  </si>
  <si>
    <t>SUPERVISOR ESCOLAR DE ZONA</t>
  </si>
  <si>
    <t xml:space="preserve"> SUPERVISOR ESCOLAR EDUC. TECNOLÓGICA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</si>
  <si>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</si>
  <si>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</si>
  <si>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</si>
  <si>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</si>
  <si>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</si>
  <si>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DIRECTOR NIVEL INICIAL 1ERA CON PROLONGACIÓN</t>
  </si>
  <si>
    <t>DIRECTOR NIVEL INICIAL 2DA CON PROLONGACIÓN</t>
  </si>
  <si>
    <t>Director Dpto. Aplicación 2DA Cat.</t>
  </si>
  <si>
    <t xml:space="preserve"> DIRECTOR DEL S.A.I.E.</t>
  </si>
  <si>
    <t>VICEDIRECTOR NIVEL INICIAL 1ERA CON PROLONGACIÓN</t>
  </si>
  <si>
    <t xml:space="preserve"> VICEDIRECTOR ESCUELA ESPECIAL JORNADA COMPLETA</t>
  </si>
  <si>
    <t xml:space="preserve"> DIRECTOR ESCUELA ESPECIAL JORNADA COMPLETA</t>
  </si>
  <si>
    <t xml:space="preserve"> DIRECTOR ESC NIVIEL INICIAL 1RA CATEGORÍA</t>
  </si>
  <si>
    <t xml:space="preserve"> VICEDIRECTOR ESC. CAP TECNICA 1ERA CATEGORIA</t>
  </si>
  <si>
    <t xml:space="preserve"> VICERECTOR ESC DE 3RA CATEGORÍA</t>
  </si>
  <si>
    <t>VICEDIRECTOR ESC N INICIAL 2DA CATEG</t>
  </si>
  <si>
    <t>SECRETARIO ESC DE 3RA CATEGORÍA</t>
  </si>
  <si>
    <t>SECRETARIA DE ESC DE 2DA CATEGORÍA JORN COMP</t>
  </si>
  <si>
    <t>SECRETARIO ESC NIV INICIAL 1RA CATEG</t>
  </si>
  <si>
    <t>SECRETARIO ESC NIV INICIAL 2DA CATEG</t>
  </si>
  <si>
    <t>SECRETARIO ESC NIV INICIAL 3RA CATEG</t>
  </si>
  <si>
    <t>RECTOR INSTITUTO SUPERIOR</t>
  </si>
  <si>
    <t>SECRETARIO INSTITUTO SUPERIOR</t>
  </si>
  <si>
    <t>SECRETARIO ACADÉMICO</t>
  </si>
  <si>
    <t xml:space="preserve"> JEFE DE UNS Y PRODUCCIÓN 2DA CAT.</t>
  </si>
  <si>
    <t xml:space="preserve"> JEFE DE UNS Y PRODUCCIÓN 3ERA CAT. </t>
  </si>
  <si>
    <t xml:space="preserve"> JEFE DE UNS Y PRODUCCIÓN 1ERA CAT.</t>
  </si>
  <si>
    <t>TOT 1 Y 2</t>
  </si>
  <si>
    <t>puntos comp bas 2015</t>
  </si>
  <si>
    <t>Combas2015</t>
  </si>
  <si>
    <t>Comp Directivos</t>
  </si>
  <si>
    <t>Aporte sindical AGMER</t>
  </si>
  <si>
    <t>Comp Dir 2016</t>
  </si>
  <si>
    <t>adic dir 2016</t>
  </si>
  <si>
    <t>puntos comp bas 2016</t>
  </si>
  <si>
    <t>Facebook: agmeruruguay</t>
  </si>
  <si>
    <t>¿Sos directivo de escuela Nina?</t>
  </si>
  <si>
    <t xml:space="preserve"> MAESTRO ESPECIAL DEPARTAMENTO APLICACIÓN</t>
  </si>
  <si>
    <t>Material didáctico</t>
  </si>
  <si>
    <t>Por favor avisar si encuentran errores</t>
  </si>
  <si>
    <t>Monto Remunerativo</t>
  </si>
  <si>
    <t>Acumulado marzo sept</t>
  </si>
  <si>
    <t>1: Si; 0: No</t>
  </si>
  <si>
    <t>Adicional horas media (1: Si; 0: No)</t>
  </si>
  <si>
    <t>Cod 117</t>
  </si>
  <si>
    <t>Respecto a febrero</t>
  </si>
  <si>
    <t>Simulador Salario docente Entre Ríos</t>
  </si>
  <si>
    <t xml:space="preserve"> RECTOR 3era Cat. Escuela Secundaria Jóvenes y Adultos</t>
  </si>
  <si>
    <t xml:space="preserve"> Secretario 3era Cat. Escuela Secundaria Jóvenes y Adultos</t>
  </si>
  <si>
    <t>Supervisor Zonal Educación Secundaria Jóvenes y Adultos</t>
  </si>
  <si>
    <t>Director Esc Nocturna de J. y Ad. En contexto de Priv de libertad</t>
  </si>
  <si>
    <t>Secretario Unidad Educación Nivel Inicial 1era Cat.</t>
  </si>
  <si>
    <t>Secretario Unidad Educación Nivel Inicial 1era Cat. Con P. Jorn</t>
  </si>
  <si>
    <t>Secretario Unidad Educación Nivel Inicial 2da. Cat.</t>
  </si>
  <si>
    <t>Secretario Unidad Educación Nivel Inicial 2da. Cat. Con P. Jorn</t>
  </si>
  <si>
    <t>Secretario Unidad Educación Nivel Inicial 3era Cat.</t>
  </si>
  <si>
    <t>indiceoct19</t>
  </si>
  <si>
    <t>indiceproljoroct19</t>
  </si>
  <si>
    <t>Aum Acum anual</t>
  </si>
  <si>
    <t>Aum Acum anual Porc</t>
  </si>
  <si>
    <t>indiceene20</t>
  </si>
  <si>
    <t>indiceproljorene20</t>
  </si>
  <si>
    <t>Sueldo Liquido</t>
  </si>
  <si>
    <t>ADEL. EXTR. PAR.2020</t>
  </si>
  <si>
    <t>Marzo 2020</t>
  </si>
  <si>
    <t>indicemar21</t>
  </si>
  <si>
    <t>indiceproljormar21</t>
  </si>
  <si>
    <t>Aumentomar21</t>
  </si>
  <si>
    <t>Sueldo Nominal Provincia</t>
  </si>
  <si>
    <t>Sueldo nominal provincia</t>
  </si>
  <si>
    <t>Bono remunerativo</t>
  </si>
  <si>
    <t>Total nominal provincia</t>
  </si>
  <si>
    <t>Febrero 2021</t>
  </si>
  <si>
    <t>sin 188 y 14</t>
  </si>
  <si>
    <t>con 188 y 14</t>
  </si>
  <si>
    <t>Aumento1</t>
  </si>
  <si>
    <t>Aumento2</t>
  </si>
  <si>
    <t>Aumento3</t>
  </si>
  <si>
    <t>Aumento4</t>
  </si>
  <si>
    <t>Aumento del mes</t>
  </si>
  <si>
    <t>Porc resp a anterior</t>
  </si>
  <si>
    <r>
      <rPr>
        <b/>
        <sz val="12"/>
        <color indexed="10"/>
        <rFont val="Arial"/>
        <family val="2"/>
      </rPr>
      <t>Marzo 20</t>
    </r>
    <r>
      <rPr>
        <b/>
        <sz val="16"/>
        <color indexed="10"/>
        <rFont val="Arial"/>
        <family val="2"/>
      </rPr>
      <t>, Febrero 21, May 21, Jul 21, Sept 21, Oct 21</t>
    </r>
  </si>
  <si>
    <t>Marzo 21</t>
  </si>
  <si>
    <t>con Conectividad</t>
  </si>
  <si>
    <t>aumenta 20%</t>
  </si>
  <si>
    <t>aumentó 15%</t>
  </si>
  <si>
    <t>aumenta 10%</t>
  </si>
  <si>
    <t>aumenta 15%</t>
  </si>
  <si>
    <t>aumento 15%</t>
  </si>
  <si>
    <t>aumento 20%</t>
  </si>
  <si>
    <t>aumento 10%</t>
  </si>
  <si>
    <t>054</t>
  </si>
  <si>
    <r>
      <t xml:space="preserve">Simulador de acuerdo a la </t>
    </r>
    <r>
      <rPr>
        <b/>
        <sz val="18"/>
        <color indexed="9"/>
        <rFont val="Arial"/>
        <family val="2"/>
      </rPr>
      <t>propuesta del 12 de abril de 2021</t>
    </r>
  </si>
  <si>
    <t>Medio Aguinaldo</t>
  </si>
  <si>
    <t>código 100</t>
  </si>
  <si>
    <r>
      <t>código 186 (</t>
    </r>
    <r>
      <rPr>
        <sz val="10"/>
        <rFont val="Arial"/>
        <family val="2"/>
      </rPr>
      <t>No remun)</t>
    </r>
  </si>
  <si>
    <t>Líquido</t>
  </si>
  <si>
    <t>Descuentos con aguinaldo</t>
  </si>
  <si>
    <t>Sueldo líquido incluyendo aguinaldo</t>
  </si>
  <si>
    <t>Aguinaldo de bolsillo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</si>
</sst>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"/>
    <numFmt numFmtId="198" formatCode="0.0000"/>
    <numFmt numFmtId="199" formatCode="0.0000000000000000000%"/>
    <numFmt numFmtId="200" formatCode="0.00000000000000000000%"/>
    <numFmt numFmtId="201" formatCode="0.000000000000000000000%"/>
    <numFmt numFmtId="202" formatCode="0.0000000000000000000000%"/>
    <numFmt numFmtId="203" formatCode="_ &quot;$&quot;\ * #,##0.0_ ;_ &quot;$&quot;\ * \-#,##0.0_ ;_ &quot;$&quot;\ * &quot;-&quot;??_ ;_ @_ 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0.0000000"/>
    <numFmt numFmtId="209" formatCode="0.000000"/>
    <numFmt numFmtId="210" formatCode="0.00000"/>
    <numFmt numFmtId="211" formatCode="_ &quot;$&quot;\ * #,##0_ ;_ &quot;$&quot;\ * \-#,##0_ ;_ &quot;$&quot;\ * &quot;-&quot;??_ ;_ @_ "/>
    <numFmt numFmtId="212" formatCode="0.00000000"/>
    <numFmt numFmtId="213" formatCode="&quot;$&quot;#,##0.00;\-&quot;$&quot;#,##0.00"/>
    <numFmt numFmtId="214" formatCode="0.000000000"/>
    <numFmt numFmtId="215" formatCode="#,##0.00\ &quot;€&quot;"/>
    <numFmt numFmtId="216" formatCode="[$€-2]\ #,##0.00_);[Red]\([$€-2]\ #,##0.00\)"/>
    <numFmt numFmtId="217" formatCode="&quot;$&quot;\ #,##0.00"/>
    <numFmt numFmtId="218" formatCode="_ &quot;$&quot;\ * #,##0.000_ ;_ &quot;$&quot;\ * \-#,##0.000_ ;_ &quot;$&quot;\ * &quot;-&quot;??_ ;_ @_ "/>
    <numFmt numFmtId="219" formatCode="_ &quot;$&quot;\ * #,##0.0000_ ;_ &quot;$&quot;\ * \-#,##0.0000_ ;_ &quot;$&quot;\ * &quot;-&quot;??_ ;_ @_ "/>
    <numFmt numFmtId="220" formatCode="_ &quot;$&quot;\ * #,##0.00000_ ;_ &quot;$&quot;\ * \-#,##0.00000_ ;_ &quot;$&quot;\ * &quot;-&quot;??_ ;_ @_ "/>
    <numFmt numFmtId="221" formatCode="_ &quot;$&quot;\ * #,##0.000000_ ;_ &quot;$&quot;\ * \-#,##0.000000_ ;_ &quot;$&quot;\ * &quot;-&quot;??_ ;_ @_ "/>
    <numFmt numFmtId="222" formatCode="0.0000000000"/>
  </numFmts>
  <fonts count="18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u val="single"/>
      <sz val="16"/>
      <color indexed="1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u val="single"/>
      <sz val="14"/>
      <name val="Arial"/>
      <family val="2"/>
    </font>
    <font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3"/>
      <name val="Arial"/>
      <family val="2"/>
    </font>
    <font>
      <b/>
      <sz val="14"/>
      <color indexed="12"/>
      <name val="Arial"/>
      <family val="2"/>
    </font>
    <font>
      <b/>
      <i/>
      <u val="single"/>
      <sz val="20"/>
      <color indexed="18"/>
      <name val="Monotype Corsiva"/>
      <family val="4"/>
    </font>
    <font>
      <b/>
      <sz val="12"/>
      <color indexed="20"/>
      <name val="Arial"/>
      <family val="2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3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Monotype Corsiva"/>
      <family val="4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8"/>
      <color indexed="10"/>
      <name val="Arial"/>
      <family val="2"/>
    </font>
    <font>
      <sz val="10"/>
      <name val="Tahoma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sz val="14"/>
      <color indexed="16"/>
      <name val="Arial"/>
      <family val="2"/>
    </font>
    <font>
      <u val="single"/>
      <sz val="12"/>
      <color indexed="12"/>
      <name val="Arial"/>
      <family val="2"/>
    </font>
    <font>
      <b/>
      <sz val="18"/>
      <name val="Arial"/>
      <family val="2"/>
    </font>
    <font>
      <b/>
      <i/>
      <u val="single"/>
      <sz val="12"/>
      <color indexed="18"/>
      <name val="Monotype Corsiva"/>
      <family val="4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56"/>
      <name val="Arial"/>
      <family val="2"/>
    </font>
    <font>
      <b/>
      <sz val="28"/>
      <color indexed="56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56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sz val="24"/>
      <color indexed="10"/>
      <name val="Arial"/>
      <family val="2"/>
    </font>
    <font>
      <b/>
      <u val="single"/>
      <sz val="20"/>
      <color indexed="10"/>
      <name val="Arial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16"/>
      <color indexed="11"/>
      <name val="Arial"/>
      <family val="2"/>
    </font>
    <font>
      <b/>
      <sz val="10"/>
      <color indexed="50"/>
      <name val="Arial"/>
      <family val="2"/>
    </font>
    <font>
      <b/>
      <sz val="20"/>
      <color indexed="17"/>
      <name val="Arial"/>
      <family val="2"/>
    </font>
    <font>
      <b/>
      <sz val="20"/>
      <color indexed="11"/>
      <name val="Arial"/>
      <family val="2"/>
    </font>
    <font>
      <b/>
      <sz val="22"/>
      <color indexed="10"/>
      <name val="Arial"/>
      <family val="2"/>
    </font>
    <font>
      <b/>
      <sz val="24"/>
      <color indexed="10"/>
      <name val="Arial"/>
      <family val="2"/>
    </font>
    <font>
      <b/>
      <u val="single"/>
      <sz val="12"/>
      <color indexed="16"/>
      <name val="Arial"/>
      <family val="2"/>
    </font>
    <font>
      <b/>
      <u val="single"/>
      <sz val="16"/>
      <color indexed="16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3" tint="-0.4999699890613556"/>
      <name val="Arial"/>
      <family val="2"/>
    </font>
    <font>
      <b/>
      <sz val="28"/>
      <color theme="3" tint="-0.4999699890613556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1"/>
      <color theme="3" tint="-0.4999699890613556"/>
      <name val="Arial"/>
      <family val="2"/>
    </font>
    <font>
      <sz val="8"/>
      <color theme="1"/>
      <name val="Arial"/>
      <family val="2"/>
    </font>
    <font>
      <b/>
      <sz val="10"/>
      <color theme="3" tint="-0.24997000396251678"/>
      <name val="Arial"/>
      <family val="2"/>
    </font>
    <font>
      <sz val="24"/>
      <color rgb="FFFF0000"/>
      <name val="Arial"/>
      <family val="2"/>
    </font>
    <font>
      <b/>
      <u val="single"/>
      <sz val="2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FF3300"/>
      <name val="Arial"/>
      <family val="2"/>
    </font>
    <font>
      <sz val="11"/>
      <color rgb="FFFF000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b/>
      <sz val="12"/>
      <color rgb="FFFF3300"/>
      <name val="Arial"/>
      <family val="2"/>
    </font>
    <font>
      <sz val="9"/>
      <color theme="1"/>
      <name val="Arial"/>
      <family val="2"/>
    </font>
    <font>
      <b/>
      <sz val="16"/>
      <color rgb="FF0000CC"/>
      <name val="Arial"/>
      <family val="2"/>
    </font>
    <font>
      <sz val="10"/>
      <color rgb="FF92D050"/>
      <name val="Arial"/>
      <family val="2"/>
    </font>
    <font>
      <b/>
      <sz val="16"/>
      <color rgb="FF00FF00"/>
      <name val="Arial"/>
      <family val="2"/>
    </font>
    <font>
      <sz val="18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92D050"/>
      <name val="Arial"/>
      <family val="2"/>
    </font>
    <font>
      <b/>
      <sz val="12"/>
      <color rgb="FF990000"/>
      <name val="Arial"/>
      <family val="2"/>
    </font>
    <font>
      <b/>
      <sz val="20"/>
      <color rgb="FF00B050"/>
      <name val="Arial"/>
      <family val="2"/>
    </font>
    <font>
      <b/>
      <sz val="20"/>
      <color rgb="FF00FF00"/>
      <name val="Arial"/>
      <family val="2"/>
    </font>
    <font>
      <b/>
      <sz val="16"/>
      <color rgb="FFFF0000"/>
      <name val="Arial"/>
      <family val="2"/>
    </font>
    <font>
      <b/>
      <sz val="22"/>
      <color rgb="FFFF0000"/>
      <name val="Arial"/>
      <family val="2"/>
    </font>
    <font>
      <b/>
      <sz val="24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6EAEA"/>
        <bgColor indexed="64"/>
      </patternFill>
    </fill>
    <fill>
      <patternFill patternType="solid">
        <fgColor theme="2" tint="-0.24997000396251678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 style="double">
        <color theme="9" tint="-0.24993999302387238"/>
      </right>
      <top>
        <color indexed="63"/>
      </top>
      <bottom style="double">
        <color theme="9" tint="-0.24993999302387238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 style="double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 style="double">
        <color theme="9" tint="-0.24993999302387238"/>
      </top>
      <bottom>
        <color indexed="63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24993999302387238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 style="thin"/>
      <bottom style="double">
        <color theme="9" tint="-0.24993999302387238"/>
      </bottom>
    </border>
    <border>
      <left>
        <color indexed="63"/>
      </left>
      <right style="thin"/>
      <top style="thin"/>
      <bottom style="double">
        <color theme="9" tint="-0.24993999302387238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thin"/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thin"/>
      <top>
        <color indexed="63"/>
      </top>
      <bottom style="medium">
        <color indexed="11"/>
      </bottom>
    </border>
    <border>
      <left style="thin"/>
      <right style="thick">
        <color rgb="FF002060"/>
      </right>
      <top style="thin"/>
      <bottom style="thin"/>
    </border>
    <border>
      <left style="thin"/>
      <right style="thick">
        <color rgb="FF002060"/>
      </right>
      <top style="thin"/>
      <bottom>
        <color indexed="63"/>
      </bottom>
    </border>
    <border>
      <left>
        <color indexed="63"/>
      </left>
      <right style="thick">
        <color rgb="FF002060"/>
      </right>
      <top style="medium"/>
      <bottom style="medium"/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medium">
        <color indexed="10"/>
      </left>
      <right style="thick">
        <color rgb="FF002060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rgb="FF002060"/>
      </right>
      <top>
        <color indexed="63"/>
      </top>
      <bottom style="medium"/>
    </border>
    <border>
      <left style="thin"/>
      <right style="thick">
        <color rgb="FF002060"/>
      </right>
      <top style="medium"/>
      <bottom style="medium"/>
    </border>
    <border>
      <left style="medium">
        <color indexed="10"/>
      </left>
      <right style="thick">
        <color rgb="FF002060"/>
      </right>
      <top style="medium">
        <color indexed="10"/>
      </top>
      <bottom>
        <color indexed="63"/>
      </bottom>
    </border>
    <border>
      <left>
        <color indexed="63"/>
      </left>
      <right style="thick">
        <color rgb="FF002060"/>
      </right>
      <top style="medium"/>
      <bottom>
        <color indexed="63"/>
      </bottom>
    </border>
    <border>
      <left>
        <color indexed="63"/>
      </left>
      <right style="thick">
        <color rgb="FF002060"/>
      </right>
      <top style="medium">
        <color theme="9" tint="-0.24993999302387238"/>
      </top>
      <bottom style="medium">
        <color theme="9" tint="-0.24993999302387238"/>
      </bottom>
    </border>
    <border>
      <left style="thin"/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medium">
        <color indexed="10"/>
      </top>
      <bottom style="medium"/>
    </border>
    <border>
      <left>
        <color indexed="63"/>
      </left>
      <right style="thick">
        <color rgb="FF002060"/>
      </right>
      <top style="thick">
        <color indexed="1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 style="thick">
        <color indexed="1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>
        <color rgb="FF002060"/>
      </right>
      <top>
        <color indexed="63"/>
      </top>
      <bottom style="medium">
        <color theme="9" tint="-0.24993999302387238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00FF00"/>
      </left>
      <right style="double">
        <color rgb="FF00FF00"/>
      </right>
      <top style="double">
        <color rgb="FF00FF00"/>
      </top>
      <bottom>
        <color indexed="63"/>
      </bottom>
    </border>
    <border>
      <left style="double">
        <color rgb="FF00FF00"/>
      </left>
      <right style="double">
        <color rgb="FF00FF00"/>
      </right>
      <top>
        <color indexed="63"/>
      </top>
      <bottom style="double">
        <color rgb="FF00FF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theme="8" tint="-0.4999699890613556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>
        <color indexed="63"/>
      </right>
      <top style="medium"/>
      <bottom style="medium"/>
    </border>
    <border>
      <left>
        <color indexed="63"/>
      </left>
      <right style="thick">
        <color theme="8" tint="-0.4999699890613556"/>
      </right>
      <top style="thin"/>
      <bottom style="thin"/>
    </border>
    <border>
      <left style="thick">
        <color theme="8" tint="-0.4999699890613556"/>
      </left>
      <right style="thin"/>
      <top style="medium"/>
      <bottom style="medium"/>
    </border>
    <border>
      <left style="thick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8" tint="-0.4999699890613556"/>
      </right>
      <top>
        <color indexed="63"/>
      </top>
      <bottom>
        <color indexed="63"/>
      </bottom>
    </border>
    <border>
      <left style="medium"/>
      <right style="thick">
        <color theme="8" tint="-0.4999699890613556"/>
      </right>
      <top style="medium"/>
      <bottom style="medium"/>
    </border>
    <border>
      <left style="thick">
        <color theme="8" tint="-0.4999699890613556"/>
      </left>
      <right>
        <color indexed="63"/>
      </right>
      <top style="thin"/>
      <bottom style="thin"/>
    </border>
    <border>
      <left style="thick">
        <color theme="8" tint="-0.4999699890613556"/>
      </left>
      <right>
        <color indexed="63"/>
      </right>
      <top>
        <color indexed="63"/>
      </top>
      <bottom style="thick">
        <color theme="8" tint="-0.4999699890613556"/>
      </bottom>
    </border>
    <border>
      <left>
        <color indexed="63"/>
      </left>
      <right style="thick">
        <color theme="8" tint="-0.4999699890613556"/>
      </right>
      <top style="thin"/>
      <bottom style="thick">
        <color theme="8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3" fillId="20" borderId="0" applyNumberFormat="0" applyBorder="0" applyAlignment="0" applyProtection="0"/>
    <xf numFmtId="0" fontId="124" fillId="21" borderId="1" applyNumberFormat="0" applyAlignment="0" applyProtection="0"/>
    <xf numFmtId="0" fontId="125" fillId="22" borderId="2" applyNumberFormat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0" applyNumberFormat="0" applyFill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9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2" fillId="21" borderId="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7" applyNumberFormat="0" applyFill="0" applyAlignment="0" applyProtection="0"/>
    <xf numFmtId="0" fontId="128" fillId="0" borderId="8" applyNumberFormat="0" applyFill="0" applyAlignment="0" applyProtection="0"/>
    <xf numFmtId="0" fontId="137" fillId="0" borderId="9" applyNumberFormat="0" applyFill="0" applyAlignment="0" applyProtection="0"/>
  </cellStyleXfs>
  <cellXfs count="8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1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1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30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 quotePrefix="1">
      <alignment horizontal="center"/>
      <protection/>
    </xf>
    <xf numFmtId="9" fontId="1" fillId="0" borderId="0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9" fontId="0" fillId="0" borderId="14" xfId="0" applyNumberForma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9" fontId="1" fillId="34" borderId="21" xfId="0" applyNumberFormat="1" applyFont="1" applyFill="1" applyBorder="1" applyAlignment="1" applyProtection="1">
      <alignment/>
      <protection/>
    </xf>
    <xf numFmtId="9" fontId="1" fillId="34" borderId="22" xfId="0" applyNumberFormat="1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9" fontId="1" fillId="34" borderId="24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left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9" fontId="7" fillId="0" borderId="0" xfId="55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14" xfId="0" applyFont="1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 quotePrefix="1">
      <alignment horizontal="center"/>
      <protection/>
    </xf>
    <xf numFmtId="9" fontId="0" fillId="0" borderId="19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left"/>
      <protection/>
    </xf>
    <xf numFmtId="1" fontId="0" fillId="0" borderId="14" xfId="0" applyNumberFormat="1" applyFont="1" applyBorder="1" applyAlignment="1" applyProtection="1" quotePrefix="1">
      <alignment horizontal="center"/>
      <protection/>
    </xf>
    <xf numFmtId="2" fontId="1" fillId="0" borderId="12" xfId="0" applyNumberFormat="1" applyFont="1" applyBorder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180" fontId="0" fillId="0" borderId="14" xfId="0" applyNumberForma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0" fillId="0" borderId="14" xfId="0" applyBorder="1" applyAlignment="1" applyProtection="1" quotePrefix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4" xfId="0" applyFill="1" applyBorder="1" applyAlignment="1" applyProtection="1" quotePrefix="1">
      <alignment horizontal="right"/>
      <protection/>
    </xf>
    <xf numFmtId="0" fontId="0" fillId="0" borderId="14" xfId="0" applyFont="1" applyBorder="1" applyAlignment="1" applyProtection="1" quotePrefix="1">
      <alignment horizontal="right"/>
      <protection/>
    </xf>
    <xf numFmtId="0" fontId="1" fillId="0" borderId="12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 quotePrefix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9" fontId="7" fillId="0" borderId="18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9" fontId="1" fillId="0" borderId="18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left"/>
      <protection/>
    </xf>
    <xf numFmtId="2" fontId="20" fillId="0" borderId="34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 quotePrefix="1">
      <alignment horizontal="center"/>
      <protection/>
    </xf>
    <xf numFmtId="49" fontId="31" fillId="0" borderId="13" xfId="0" applyNumberFormat="1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13" xfId="0" applyBorder="1" applyAlignment="1" applyProtection="1" quotePrefix="1">
      <alignment horizontal="right"/>
      <protection/>
    </xf>
    <xf numFmtId="2" fontId="0" fillId="0" borderId="13" xfId="0" applyNumberFormat="1" applyBorder="1" applyAlignment="1" applyProtection="1">
      <alignment horizontal="left"/>
      <protection/>
    </xf>
    <xf numFmtId="0" fontId="1" fillId="35" borderId="36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46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2" fontId="7" fillId="0" borderId="31" xfId="0" applyNumberFormat="1" applyFont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/>
    </xf>
    <xf numFmtId="9" fontId="8" fillId="37" borderId="37" xfId="55" applyFont="1" applyFill="1" applyBorder="1" applyAlignment="1" applyProtection="1">
      <alignment/>
      <protection/>
    </xf>
    <xf numFmtId="9" fontId="8" fillId="37" borderId="38" xfId="55" applyFont="1" applyFill="1" applyBorder="1" applyAlignment="1" applyProtection="1">
      <alignment/>
      <protection/>
    </xf>
    <xf numFmtId="9" fontId="8" fillId="38" borderId="38" xfId="55" applyFont="1" applyFill="1" applyBorder="1" applyAlignment="1" applyProtection="1">
      <alignment/>
      <protection/>
    </xf>
    <xf numFmtId="9" fontId="8" fillId="38" borderId="39" xfId="55" applyFont="1" applyFill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33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1" fillId="0" borderId="14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30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7" fillId="39" borderId="0" xfId="0" applyFont="1" applyFill="1" applyBorder="1" applyAlignment="1" applyProtection="1">
      <alignment/>
      <protection/>
    </xf>
    <xf numFmtId="0" fontId="0" fillId="38" borderId="27" xfId="0" applyFill="1" applyBorder="1" applyAlignment="1" applyProtection="1">
      <alignment horizontal="left" indent="1"/>
      <protection/>
    </xf>
    <xf numFmtId="0" fontId="0" fillId="38" borderId="40" xfId="0" applyFill="1" applyBorder="1" applyAlignment="1" applyProtection="1">
      <alignment horizontal="left" indent="1"/>
      <protection/>
    </xf>
    <xf numFmtId="0" fontId="13" fillId="38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3" fillId="38" borderId="41" xfId="0" applyFont="1" applyFill="1" applyBorder="1" applyAlignment="1" applyProtection="1">
      <alignment/>
      <protection/>
    </xf>
    <xf numFmtId="0" fontId="13" fillId="38" borderId="42" xfId="0" applyFont="1" applyFill="1" applyBorder="1" applyAlignment="1" applyProtection="1">
      <alignment/>
      <protection/>
    </xf>
    <xf numFmtId="0" fontId="0" fillId="38" borderId="42" xfId="0" applyFont="1" applyFill="1" applyBorder="1" applyAlignment="1" applyProtection="1">
      <alignment/>
      <protection/>
    </xf>
    <xf numFmtId="0" fontId="13" fillId="38" borderId="43" xfId="0" applyFont="1" applyFill="1" applyBorder="1" applyAlignment="1" applyProtection="1">
      <alignment/>
      <protection/>
    </xf>
    <xf numFmtId="0" fontId="0" fillId="38" borderId="44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6" fillId="38" borderId="43" xfId="46" applyFont="1" applyFill="1" applyBorder="1" applyAlignment="1" applyProtection="1">
      <alignment/>
      <protection/>
    </xf>
    <xf numFmtId="0" fontId="46" fillId="38" borderId="45" xfId="46" applyFont="1" applyFill="1" applyBorder="1" applyAlignment="1" applyProtection="1">
      <alignment/>
      <protection/>
    </xf>
    <xf numFmtId="0" fontId="24" fillId="0" borderId="0" xfId="46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180" fontId="39" fillId="0" borderId="0" xfId="0" applyNumberFormat="1" applyFont="1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38" borderId="4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9" fontId="7" fillId="0" borderId="0" xfId="55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9" fontId="23" fillId="0" borderId="0" xfId="55" applyFont="1" applyFill="1" applyBorder="1" applyAlignment="1" applyProtection="1">
      <alignment/>
      <protection locked="0"/>
    </xf>
    <xf numFmtId="9" fontId="50" fillId="0" borderId="0" xfId="0" applyNumberFormat="1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/>
    </xf>
    <xf numFmtId="198" fontId="23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98" fontId="51" fillId="0" borderId="0" xfId="0" applyNumberFormat="1" applyFont="1" applyFill="1" applyBorder="1" applyAlignment="1" applyProtection="1">
      <alignment/>
      <protection/>
    </xf>
    <xf numFmtId="10" fontId="10" fillId="0" borderId="0" xfId="55" applyNumberFormat="1" applyFont="1" applyFill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 hidden="1"/>
    </xf>
    <xf numFmtId="0" fontId="0" fillId="0" borderId="50" xfId="0" applyNumberFormat="1" applyBorder="1" applyAlignment="1" applyProtection="1">
      <alignment/>
      <protection hidden="1"/>
    </xf>
    <xf numFmtId="0" fontId="30" fillId="0" borderId="26" xfId="0" applyFont="1" applyBorder="1" applyAlignment="1" applyProtection="1">
      <alignment/>
      <protection locked="0"/>
    </xf>
    <xf numFmtId="0" fontId="52" fillId="33" borderId="51" xfId="0" applyFont="1" applyFill="1" applyBorder="1" applyAlignment="1" applyProtection="1">
      <alignment/>
      <protection/>
    </xf>
    <xf numFmtId="0" fontId="52" fillId="33" borderId="52" xfId="0" applyFont="1" applyFill="1" applyBorder="1" applyAlignment="1" applyProtection="1">
      <alignment/>
      <protection locked="0"/>
    </xf>
    <xf numFmtId="0" fontId="52" fillId="33" borderId="52" xfId="0" applyFont="1" applyFill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9" fontId="8" fillId="0" borderId="0" xfId="55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46" applyFont="1" applyFill="1" applyBorder="1" applyAlignment="1" applyProtection="1">
      <alignment/>
      <protection/>
    </xf>
    <xf numFmtId="2" fontId="0" fillId="0" borderId="53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49" fontId="31" fillId="0" borderId="13" xfId="0" applyNumberFormat="1" applyFont="1" applyFill="1" applyBorder="1" applyAlignment="1" applyProtection="1">
      <alignment horizontal="left"/>
      <protection/>
    </xf>
    <xf numFmtId="2" fontId="0" fillId="0" borderId="53" xfId="0" applyNumberFormat="1" applyFont="1" applyFill="1" applyBorder="1" applyAlignment="1" applyProtection="1">
      <alignment horizontal="right"/>
      <protection/>
    </xf>
    <xf numFmtId="9" fontId="0" fillId="0" borderId="14" xfId="0" applyNumberFormat="1" applyFont="1" applyBorder="1" applyAlignment="1" applyProtection="1">
      <alignment/>
      <protection/>
    </xf>
    <xf numFmtId="2" fontId="55" fillId="0" borderId="12" xfId="0" applyNumberFormat="1" applyFont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2" fontId="0" fillId="0" borderId="54" xfId="0" applyNumberFormat="1" applyFont="1" applyFill="1" applyBorder="1" applyAlignment="1" applyProtection="1">
      <alignment horizontal="left"/>
      <protection/>
    </xf>
    <xf numFmtId="2" fontId="1" fillId="0" borderId="30" xfId="0" applyNumberFormat="1" applyFont="1" applyFill="1" applyBorder="1" applyAlignment="1" applyProtection="1">
      <alignment horizontal="left"/>
      <protection/>
    </xf>
    <xf numFmtId="2" fontId="0" fillId="0" borderId="55" xfId="0" applyNumberFormat="1" applyFont="1" applyFill="1" applyBorder="1" applyAlignment="1" applyProtection="1">
      <alignment horizontal="right"/>
      <protection/>
    </xf>
    <xf numFmtId="1" fontId="7" fillId="0" borderId="10" xfId="55" applyNumberFormat="1" applyFont="1" applyBorder="1" applyAlignment="1" applyProtection="1">
      <alignment horizontal="center"/>
      <protection locked="0"/>
    </xf>
    <xf numFmtId="2" fontId="1" fillId="0" borderId="56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0" fontId="31" fillId="0" borderId="33" xfId="0" applyFont="1" applyBorder="1" applyAlignment="1" applyProtection="1">
      <alignment/>
      <protection locked="0"/>
    </xf>
    <xf numFmtId="0" fontId="30" fillId="0" borderId="33" xfId="0" applyFont="1" applyBorder="1" applyAlignment="1" applyProtection="1">
      <alignment/>
      <protection/>
    </xf>
    <xf numFmtId="0" fontId="31" fillId="0" borderId="29" xfId="0" applyFont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9" fontId="0" fillId="0" borderId="13" xfId="55" applyFont="1" applyBorder="1" applyAlignment="1" applyProtection="1">
      <alignment horizontal="right"/>
      <protection/>
    </xf>
    <xf numFmtId="180" fontId="0" fillId="0" borderId="13" xfId="55" applyNumberFormat="1" applyFont="1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/>
      <protection/>
    </xf>
    <xf numFmtId="9" fontId="0" fillId="0" borderId="13" xfId="55" applyFont="1" applyBorder="1" applyAlignment="1" applyProtection="1">
      <alignment horizontal="right"/>
      <protection/>
    </xf>
    <xf numFmtId="9" fontId="0" fillId="0" borderId="13" xfId="0" applyNumberFormat="1" applyFont="1" applyBorder="1" applyAlignment="1" applyProtection="1">
      <alignment horizontal="right"/>
      <protection/>
    </xf>
    <xf numFmtId="0" fontId="35" fillId="0" borderId="14" xfId="0" applyFont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right"/>
      <protection/>
    </xf>
    <xf numFmtId="2" fontId="1" fillId="0" borderId="30" xfId="0" applyNumberFormat="1" applyFont="1" applyBorder="1" applyAlignment="1" applyProtection="1">
      <alignment horizontal="right"/>
      <protection/>
    </xf>
    <xf numFmtId="2" fontId="0" fillId="0" borderId="31" xfId="0" applyNumberFormat="1" applyBorder="1" applyAlignment="1" applyProtection="1">
      <alignment horizontal="left"/>
      <protection/>
    </xf>
    <xf numFmtId="2" fontId="1" fillId="0" borderId="30" xfId="0" applyNumberFormat="1" applyFont="1" applyBorder="1" applyAlignment="1" applyProtection="1">
      <alignment horizontal="left"/>
      <protection/>
    </xf>
    <xf numFmtId="0" fontId="30" fillId="0" borderId="30" xfId="0" applyFont="1" applyBorder="1" applyAlignment="1" applyProtection="1">
      <alignment/>
      <protection/>
    </xf>
    <xf numFmtId="9" fontId="0" fillId="0" borderId="0" xfId="55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9" fontId="0" fillId="0" borderId="14" xfId="55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1" fontId="0" fillId="0" borderId="13" xfId="55" applyNumberFormat="1" applyFont="1" applyBorder="1" applyAlignment="1" applyProtection="1">
      <alignment horizontal="right"/>
      <protection/>
    </xf>
    <xf numFmtId="9" fontId="0" fillId="0" borderId="53" xfId="55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13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" fillId="0" borderId="31" xfId="0" applyFont="1" applyFill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 horizontal="left"/>
      <protection/>
    </xf>
    <xf numFmtId="2" fontId="19" fillId="0" borderId="58" xfId="0" applyNumberFormat="1" applyFont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/>
    </xf>
    <xf numFmtId="2" fontId="19" fillId="0" borderId="36" xfId="0" applyNumberFormat="1" applyFont="1" applyBorder="1" applyAlignment="1" applyProtection="1">
      <alignment horizontal="left"/>
      <protection/>
    </xf>
    <xf numFmtId="2" fontId="0" fillId="0" borderId="31" xfId="0" applyNumberFormat="1" applyBorder="1" applyAlignment="1" applyProtection="1">
      <alignment horizontal="right"/>
      <protection/>
    </xf>
    <xf numFmtId="2" fontId="0" fillId="0" borderId="34" xfId="0" applyNumberFormat="1" applyBorder="1" applyAlignment="1" applyProtection="1">
      <alignment horizontal="right"/>
      <protection/>
    </xf>
    <xf numFmtId="0" fontId="56" fillId="0" borderId="0" xfId="0" applyFont="1" applyAlignment="1" applyProtection="1">
      <alignment/>
      <protection/>
    </xf>
    <xf numFmtId="0" fontId="35" fillId="0" borderId="14" xfId="0" applyFont="1" applyBorder="1" applyAlignment="1" applyProtection="1">
      <alignment horizontal="center"/>
      <protection locked="0"/>
    </xf>
    <xf numFmtId="9" fontId="35" fillId="0" borderId="14" xfId="55" applyFon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/>
      <protection/>
    </xf>
    <xf numFmtId="0" fontId="38" fillId="0" borderId="14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18" fillId="40" borderId="0" xfId="0" applyFont="1" applyFill="1" applyAlignment="1" applyProtection="1">
      <alignment/>
      <protection/>
    </xf>
    <xf numFmtId="170" fontId="47" fillId="0" borderId="0" xfId="0" applyNumberFormat="1" applyFont="1" applyFill="1" applyBorder="1" applyAlignment="1" applyProtection="1">
      <alignment/>
      <protection/>
    </xf>
    <xf numFmtId="0" fontId="53" fillId="0" borderId="42" xfId="0" applyFont="1" applyFill="1" applyBorder="1" applyAlignment="1" applyProtection="1">
      <alignment/>
      <protection/>
    </xf>
    <xf numFmtId="0" fontId="0" fillId="41" borderId="60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/>
    </xf>
    <xf numFmtId="0" fontId="138" fillId="0" borderId="0" xfId="0" applyFont="1" applyAlignment="1" applyProtection="1">
      <alignment/>
      <protection locked="0"/>
    </xf>
    <xf numFmtId="0" fontId="139" fillId="0" borderId="20" xfId="0" applyFont="1" applyBorder="1" applyAlignment="1" applyProtection="1">
      <alignment/>
      <protection/>
    </xf>
    <xf numFmtId="0" fontId="139" fillId="0" borderId="18" xfId="0" applyFont="1" applyBorder="1" applyAlignment="1" applyProtection="1">
      <alignment/>
      <protection/>
    </xf>
    <xf numFmtId="10" fontId="139" fillId="0" borderId="36" xfId="0" applyNumberFormat="1" applyFont="1" applyFill="1" applyBorder="1" applyAlignment="1" applyProtection="1">
      <alignment/>
      <protection/>
    </xf>
    <xf numFmtId="0" fontId="52" fillId="33" borderId="47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48" xfId="0" applyFont="1" applyFill="1" applyBorder="1" applyAlignment="1" applyProtection="1">
      <alignment/>
      <protection/>
    </xf>
    <xf numFmtId="180" fontId="0" fillId="0" borderId="61" xfId="0" applyNumberFormat="1" applyFont="1" applyBorder="1" applyAlignment="1" applyProtection="1">
      <alignment/>
      <protection/>
    </xf>
    <xf numFmtId="0" fontId="0" fillId="41" borderId="62" xfId="0" applyFill="1" applyBorder="1" applyAlignment="1" applyProtection="1">
      <alignment/>
      <protection/>
    </xf>
    <xf numFmtId="0" fontId="0" fillId="41" borderId="63" xfId="0" applyFill="1" applyBorder="1" applyAlignment="1" applyProtection="1">
      <alignment/>
      <protection/>
    </xf>
    <xf numFmtId="0" fontId="1" fillId="41" borderId="63" xfId="0" applyFont="1" applyFill="1" applyBorder="1" applyAlignment="1" applyProtection="1">
      <alignment/>
      <protection/>
    </xf>
    <xf numFmtId="9" fontId="1" fillId="41" borderId="63" xfId="0" applyNumberFormat="1" applyFont="1" applyFill="1" applyBorder="1" applyAlignment="1" applyProtection="1">
      <alignment/>
      <protection/>
    </xf>
    <xf numFmtId="0" fontId="0" fillId="41" borderId="64" xfId="0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hidden="1"/>
    </xf>
    <xf numFmtId="0" fontId="140" fillId="0" borderId="11" xfId="0" applyNumberFormat="1" applyFont="1" applyBorder="1" applyAlignment="1" applyProtection="1">
      <alignment/>
      <protection hidden="1"/>
    </xf>
    <xf numFmtId="0" fontId="140" fillId="0" borderId="0" xfId="0" applyNumberFormat="1" applyFont="1" applyAlignment="1" applyProtection="1">
      <alignment/>
      <protection hidden="1"/>
    </xf>
    <xf numFmtId="0" fontId="141" fillId="0" borderId="50" xfId="0" applyNumberFormat="1" applyFont="1" applyBorder="1" applyAlignment="1" applyProtection="1">
      <alignment/>
      <protection hidden="1"/>
    </xf>
    <xf numFmtId="0" fontId="141" fillId="0" borderId="0" xfId="0" applyNumberFormat="1" applyFont="1" applyAlignment="1">
      <alignment/>
    </xf>
    <xf numFmtId="0" fontId="0" fillId="40" borderId="14" xfId="0" applyFill="1" applyBorder="1" applyAlignment="1" applyProtection="1">
      <alignment/>
      <protection hidden="1"/>
    </xf>
    <xf numFmtId="0" fontId="31" fillId="40" borderId="14" xfId="0" applyFont="1" applyFill="1" applyBorder="1" applyAlignment="1" applyProtection="1">
      <alignment/>
      <protection hidden="1"/>
    </xf>
    <xf numFmtId="0" fontId="141" fillId="40" borderId="50" xfId="0" applyNumberFormat="1" applyFont="1" applyFill="1" applyBorder="1" applyAlignment="1" applyProtection="1">
      <alignment/>
      <protection hidden="1"/>
    </xf>
    <xf numFmtId="0" fontId="0" fillId="40" borderId="29" xfId="0" applyNumberFormat="1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0" fillId="40" borderId="14" xfId="0" applyFill="1" applyBorder="1" applyAlignment="1">
      <alignment/>
    </xf>
    <xf numFmtId="0" fontId="0" fillId="40" borderId="0" xfId="0" applyFill="1" applyAlignment="1">
      <alignment/>
    </xf>
    <xf numFmtId="0" fontId="1" fillId="0" borderId="14" xfId="55" applyNumberFormat="1" applyFont="1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 locked="0"/>
    </xf>
    <xf numFmtId="2" fontId="5" fillId="0" borderId="6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70" fontId="49" fillId="0" borderId="0" xfId="51" applyFont="1" applyFill="1" applyBorder="1" applyAlignment="1" applyProtection="1">
      <alignment/>
      <protection/>
    </xf>
    <xf numFmtId="9" fontId="0" fillId="33" borderId="66" xfId="0" applyNumberFormat="1" applyFont="1" applyFill="1" applyBorder="1" applyAlignment="1" applyProtection="1">
      <alignment/>
      <protection/>
    </xf>
    <xf numFmtId="0" fontId="0" fillId="42" borderId="67" xfId="0" applyFill="1" applyBorder="1" applyAlignment="1" applyProtection="1">
      <alignment/>
      <protection/>
    </xf>
    <xf numFmtId="0" fontId="142" fillId="41" borderId="68" xfId="0" applyFont="1" applyFill="1" applyBorder="1" applyAlignment="1" applyProtection="1">
      <alignment/>
      <protection/>
    </xf>
    <xf numFmtId="0" fontId="142" fillId="41" borderId="69" xfId="0" applyFont="1" applyFill="1" applyBorder="1" applyAlignment="1" applyProtection="1">
      <alignment/>
      <protection/>
    </xf>
    <xf numFmtId="0" fontId="143" fillId="41" borderId="69" xfId="0" applyFont="1" applyFill="1" applyBorder="1" applyAlignment="1" applyProtection="1">
      <alignment/>
      <protection/>
    </xf>
    <xf numFmtId="9" fontId="143" fillId="41" borderId="69" xfId="0" applyNumberFormat="1" applyFont="1" applyFill="1" applyBorder="1" applyAlignment="1" applyProtection="1">
      <alignment/>
      <protection/>
    </xf>
    <xf numFmtId="0" fontId="144" fillId="41" borderId="70" xfId="0" applyFont="1" applyFill="1" applyBorder="1" applyAlignment="1" applyProtection="1">
      <alignment/>
      <protection/>
    </xf>
    <xf numFmtId="0" fontId="142" fillId="0" borderId="0" xfId="0" applyFont="1" applyAlignment="1" applyProtection="1">
      <alignment/>
      <protection/>
    </xf>
    <xf numFmtId="0" fontId="142" fillId="41" borderId="71" xfId="0" applyFont="1" applyFill="1" applyBorder="1" applyAlignment="1" applyProtection="1">
      <alignment/>
      <protection/>
    </xf>
    <xf numFmtId="0" fontId="142" fillId="0" borderId="72" xfId="0" applyFont="1" applyBorder="1" applyAlignment="1" applyProtection="1">
      <alignment/>
      <protection/>
    </xf>
    <xf numFmtId="10" fontId="145" fillId="0" borderId="73" xfId="0" applyNumberFormat="1" applyFont="1" applyBorder="1" applyAlignment="1" applyProtection="1">
      <alignment/>
      <protection/>
    </xf>
    <xf numFmtId="0" fontId="142" fillId="0" borderId="73" xfId="0" applyFont="1" applyBorder="1" applyAlignment="1" applyProtection="1">
      <alignment/>
      <protection/>
    </xf>
    <xf numFmtId="0" fontId="142" fillId="0" borderId="74" xfId="0" applyFont="1" applyBorder="1" applyAlignment="1" applyProtection="1">
      <alignment/>
      <protection/>
    </xf>
    <xf numFmtId="0" fontId="146" fillId="41" borderId="75" xfId="0" applyFont="1" applyFill="1" applyBorder="1" applyAlignment="1" applyProtection="1">
      <alignment/>
      <protection/>
    </xf>
    <xf numFmtId="9" fontId="147" fillId="0" borderId="0" xfId="0" applyNumberFormat="1" applyFont="1" applyAlignment="1" applyProtection="1">
      <alignment/>
      <protection/>
    </xf>
    <xf numFmtId="9" fontId="143" fillId="41" borderId="71" xfId="0" applyNumberFormat="1" applyFont="1" applyFill="1" applyBorder="1" applyAlignment="1" applyProtection="1">
      <alignment/>
      <protection/>
    </xf>
    <xf numFmtId="0" fontId="142" fillId="0" borderId="76" xfId="0" applyFont="1" applyBorder="1" applyAlignment="1" applyProtection="1">
      <alignment/>
      <protection/>
    </xf>
    <xf numFmtId="10" fontId="145" fillId="0" borderId="0" xfId="0" applyNumberFormat="1" applyFont="1" applyBorder="1" applyAlignment="1" applyProtection="1">
      <alignment/>
      <protection/>
    </xf>
    <xf numFmtId="0" fontId="142" fillId="0" borderId="0" xfId="0" applyFont="1" applyBorder="1" applyAlignment="1" applyProtection="1">
      <alignment/>
      <protection/>
    </xf>
    <xf numFmtId="0" fontId="142" fillId="0" borderId="77" xfId="0" applyFont="1" applyBorder="1" applyAlignment="1" applyProtection="1">
      <alignment/>
      <protection/>
    </xf>
    <xf numFmtId="0" fontId="148" fillId="41" borderId="75" xfId="0" applyFont="1" applyFill="1" applyBorder="1" applyAlignment="1" applyProtection="1">
      <alignment/>
      <protection/>
    </xf>
    <xf numFmtId="0" fontId="142" fillId="0" borderId="78" xfId="0" applyFont="1" applyBorder="1" applyAlignment="1" applyProtection="1">
      <alignment/>
      <protection/>
    </xf>
    <xf numFmtId="10" fontId="145" fillId="0" borderId="79" xfId="55" applyNumberFormat="1" applyFont="1" applyBorder="1" applyAlignment="1" applyProtection="1">
      <alignment/>
      <protection/>
    </xf>
    <xf numFmtId="10" fontId="147" fillId="0" borderId="0" xfId="0" applyNumberFormat="1" applyFont="1" applyAlignment="1" applyProtection="1">
      <alignment/>
      <protection/>
    </xf>
    <xf numFmtId="0" fontId="149" fillId="0" borderId="0" xfId="0" applyFont="1" applyAlignment="1">
      <alignment/>
    </xf>
    <xf numFmtId="0" fontId="149" fillId="0" borderId="50" xfId="0" applyNumberFormat="1" applyFont="1" applyBorder="1" applyAlignment="1" applyProtection="1">
      <alignment/>
      <protection hidden="1"/>
    </xf>
    <xf numFmtId="0" fontId="150" fillId="0" borderId="14" xfId="0" applyFont="1" applyBorder="1" applyAlignment="1" applyProtection="1">
      <alignment/>
      <protection hidden="1"/>
    </xf>
    <xf numFmtId="0" fontId="149" fillId="0" borderId="14" xfId="0" applyFont="1" applyBorder="1" applyAlignment="1" applyProtection="1">
      <alignment/>
      <protection hidden="1"/>
    </xf>
    <xf numFmtId="0" fontId="149" fillId="0" borderId="33" xfId="0" applyNumberFormat="1" applyFont="1" applyBorder="1" applyAlignment="1" applyProtection="1">
      <alignment/>
      <protection hidden="1"/>
    </xf>
    <xf numFmtId="0" fontId="150" fillId="33" borderId="14" xfId="0" applyFont="1" applyFill="1" applyBorder="1" applyAlignment="1" applyProtection="1">
      <alignment/>
      <protection hidden="1"/>
    </xf>
    <xf numFmtId="0" fontId="149" fillId="33" borderId="14" xfId="0" applyFont="1" applyFill="1" applyBorder="1" applyAlignment="1" applyProtection="1">
      <alignment/>
      <protection hidden="1"/>
    </xf>
    <xf numFmtId="0" fontId="151" fillId="40" borderId="50" xfId="0" applyNumberFormat="1" applyFont="1" applyFill="1" applyBorder="1" applyAlignment="1" applyProtection="1">
      <alignment/>
      <protection hidden="1"/>
    </xf>
    <xf numFmtId="0" fontId="149" fillId="0" borderId="15" xfId="0" applyFont="1" applyBorder="1" applyAlignment="1" applyProtection="1">
      <alignment/>
      <protection hidden="1"/>
    </xf>
    <xf numFmtId="0" fontId="149" fillId="0" borderId="14" xfId="0" applyFont="1" applyBorder="1" applyAlignment="1">
      <alignment/>
    </xf>
    <xf numFmtId="0" fontId="17" fillId="43" borderId="27" xfId="0" applyFont="1" applyFill="1" applyBorder="1" applyAlignment="1" applyProtection="1">
      <alignment horizontal="left" indent="1"/>
      <protection/>
    </xf>
    <xf numFmtId="0" fontId="152" fillId="0" borderId="0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left" indent="1"/>
      <protection/>
    </xf>
    <xf numFmtId="0" fontId="0" fillId="16" borderId="0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1" fillId="0" borderId="50" xfId="0" applyNumberFormat="1" applyFont="1" applyBorder="1" applyAlignment="1" applyProtection="1">
      <alignment/>
      <protection hidden="1"/>
    </xf>
    <xf numFmtId="0" fontId="1" fillId="40" borderId="50" xfId="0" applyNumberFormat="1" applyFont="1" applyFill="1" applyBorder="1" applyAlignment="1" applyProtection="1">
      <alignment/>
      <protection hidden="1"/>
    </xf>
    <xf numFmtId="0" fontId="151" fillId="0" borderId="50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40" borderId="50" xfId="0" applyNumberFormat="1" applyFill="1" applyBorder="1" applyAlignment="1" applyProtection="1">
      <alignment/>
      <protection hidden="1"/>
    </xf>
    <xf numFmtId="0" fontId="141" fillId="0" borderId="33" xfId="0" applyNumberFormat="1" applyFont="1" applyBorder="1" applyAlignment="1" applyProtection="1">
      <alignment/>
      <protection hidden="1"/>
    </xf>
    <xf numFmtId="0" fontId="141" fillId="40" borderId="33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/>
      <protection locked="0"/>
    </xf>
    <xf numFmtId="0" fontId="146" fillId="41" borderId="0" xfId="0" applyFont="1" applyFill="1" applyBorder="1" applyAlignment="1" applyProtection="1">
      <alignment/>
      <protection/>
    </xf>
    <xf numFmtId="0" fontId="153" fillId="16" borderId="0" xfId="0" applyFont="1" applyFill="1" applyBorder="1" applyAlignment="1" applyProtection="1">
      <alignment/>
      <protection/>
    </xf>
    <xf numFmtId="0" fontId="7" fillId="0" borderId="80" xfId="0" applyFont="1" applyBorder="1" applyAlignment="1" applyProtection="1">
      <alignment/>
      <protection/>
    </xf>
    <xf numFmtId="2" fontId="61" fillId="0" borderId="81" xfId="0" applyNumberFormat="1" applyFont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/>
      <protection/>
    </xf>
    <xf numFmtId="0" fontId="0" fillId="0" borderId="83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54" fillId="33" borderId="0" xfId="0" applyFont="1" applyFill="1" applyBorder="1" applyAlignment="1" applyProtection="1">
      <alignment/>
      <protection hidden="1"/>
    </xf>
    <xf numFmtId="0" fontId="154" fillId="0" borderId="0" xfId="0" applyNumberFormat="1" applyFont="1" applyAlignment="1" applyProtection="1">
      <alignment/>
      <protection hidden="1"/>
    </xf>
    <xf numFmtId="0" fontId="155" fillId="0" borderId="33" xfId="0" applyNumberFormat="1" applyFont="1" applyBorder="1" applyAlignment="1" applyProtection="1">
      <alignment/>
      <protection hidden="1"/>
    </xf>
    <xf numFmtId="0" fontId="155" fillId="40" borderId="33" xfId="0" applyNumberFormat="1" applyFont="1" applyFill="1" applyBorder="1" applyAlignment="1" applyProtection="1">
      <alignment/>
      <protection hidden="1"/>
    </xf>
    <xf numFmtId="0" fontId="155" fillId="0" borderId="0" xfId="0" applyFont="1" applyAlignment="1">
      <alignment/>
    </xf>
    <xf numFmtId="0" fontId="7" fillId="40" borderId="0" xfId="0" applyFont="1" applyFill="1" applyAlignment="1" applyProtection="1">
      <alignment/>
      <protection/>
    </xf>
    <xf numFmtId="0" fontId="156" fillId="42" borderId="84" xfId="0" applyFont="1" applyFill="1" applyBorder="1" applyAlignment="1" applyProtection="1">
      <alignment/>
      <protection/>
    </xf>
    <xf numFmtId="0" fontId="0" fillId="44" borderId="0" xfId="0" applyFont="1" applyFill="1" applyAlignment="1" applyProtection="1">
      <alignment/>
      <protection/>
    </xf>
    <xf numFmtId="10" fontId="0" fillId="0" borderId="0" xfId="55" applyNumberFormat="1" applyFont="1" applyFill="1" applyAlignment="1" applyProtection="1">
      <alignment/>
      <protection/>
    </xf>
    <xf numFmtId="204" fontId="141" fillId="0" borderId="5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/>
    </xf>
    <xf numFmtId="17" fontId="7" fillId="0" borderId="0" xfId="0" applyNumberFormat="1" applyFont="1" applyAlignment="1" applyProtection="1">
      <alignment/>
      <protection/>
    </xf>
    <xf numFmtId="0" fontId="31" fillId="0" borderId="0" xfId="0" applyNumberFormat="1" applyFont="1" applyAlignment="1" applyProtection="1">
      <alignment/>
      <protection hidden="1"/>
    </xf>
    <xf numFmtId="0" fontId="157" fillId="0" borderId="0" xfId="0" applyNumberFormat="1" applyFont="1" applyAlignment="1" applyProtection="1">
      <alignment/>
      <protection hidden="1"/>
    </xf>
    <xf numFmtId="0" fontId="1" fillId="36" borderId="85" xfId="0" applyFont="1" applyFill="1" applyBorder="1" applyAlignment="1" applyProtection="1">
      <alignment/>
      <protection/>
    </xf>
    <xf numFmtId="0" fontId="63" fillId="45" borderId="0" xfId="46" applyFont="1" applyFill="1" applyBorder="1" applyAlignment="1" applyProtection="1">
      <alignment/>
      <protection/>
    </xf>
    <xf numFmtId="2" fontId="0" fillId="45" borderId="0" xfId="0" applyNumberForma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158" fillId="41" borderId="86" xfId="0" applyFont="1" applyFill="1" applyBorder="1" applyAlignment="1" applyProtection="1">
      <alignment/>
      <protection/>
    </xf>
    <xf numFmtId="0" fontId="1" fillId="40" borderId="0" xfId="0" applyFont="1" applyFill="1" applyAlignment="1" applyProtection="1">
      <alignment/>
      <protection/>
    </xf>
    <xf numFmtId="0" fontId="148" fillId="41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left" indent="1"/>
      <protection/>
    </xf>
    <xf numFmtId="180" fontId="0" fillId="0" borderId="0" xfId="0" applyNumberFormat="1" applyFont="1" applyBorder="1" applyAlignment="1" applyProtection="1">
      <alignment/>
      <protection/>
    </xf>
    <xf numFmtId="0" fontId="41" fillId="44" borderId="87" xfId="0" applyFont="1" applyFill="1" applyBorder="1" applyAlignment="1" applyProtection="1">
      <alignment/>
      <protection/>
    </xf>
    <xf numFmtId="170" fontId="62" fillId="44" borderId="88" xfId="51" applyFont="1" applyFill="1" applyBorder="1" applyAlignment="1" applyProtection="1">
      <alignment horizontal="left"/>
      <protection/>
    </xf>
    <xf numFmtId="0" fontId="41" fillId="44" borderId="89" xfId="0" applyFont="1" applyFill="1" applyBorder="1" applyAlignment="1" applyProtection="1">
      <alignment/>
      <protection/>
    </xf>
    <xf numFmtId="10" fontId="62" fillId="44" borderId="90" xfId="55" applyNumberFormat="1" applyFont="1" applyFill="1" applyBorder="1" applyAlignment="1" applyProtection="1">
      <alignment horizontal="right"/>
      <protection/>
    </xf>
    <xf numFmtId="2" fontId="61" fillId="0" borderId="0" xfId="0" applyNumberFormat="1" applyFont="1" applyBorder="1" applyAlignment="1" applyProtection="1">
      <alignment horizontal="center" vertical="center"/>
      <protection/>
    </xf>
    <xf numFmtId="0" fontId="159" fillId="43" borderId="27" xfId="0" applyFont="1" applyFill="1" applyBorder="1" applyAlignment="1" applyProtection="1">
      <alignment horizontal="left" indent="1"/>
      <protection/>
    </xf>
    <xf numFmtId="0" fontId="160" fillId="43" borderId="27" xfId="0" applyFont="1" applyFill="1" applyBorder="1" applyAlignment="1" applyProtection="1">
      <alignment horizontal="left" indent="1"/>
      <protection/>
    </xf>
    <xf numFmtId="170" fontId="62" fillId="46" borderId="88" xfId="51" applyFont="1" applyFill="1" applyBorder="1" applyAlignment="1" applyProtection="1">
      <alignment horizontal="left"/>
      <protection/>
    </xf>
    <xf numFmtId="10" fontId="62" fillId="46" borderId="90" xfId="55" applyNumberFormat="1" applyFont="1" applyFill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1" fillId="0" borderId="91" xfId="0" applyFont="1" applyBorder="1" applyAlignment="1" applyProtection="1">
      <alignment/>
      <protection/>
    </xf>
    <xf numFmtId="0" fontId="1" fillId="0" borderId="92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18" fillId="0" borderId="94" xfId="0" applyFont="1" applyBorder="1" applyAlignment="1" applyProtection="1">
      <alignment/>
      <protection/>
    </xf>
    <xf numFmtId="0" fontId="161" fillId="0" borderId="95" xfId="0" applyFont="1" applyBorder="1" applyAlignment="1" applyProtection="1">
      <alignment horizontal="center"/>
      <protection locked="0"/>
    </xf>
    <xf numFmtId="1" fontId="5" fillId="0" borderId="95" xfId="55" applyNumberFormat="1" applyFont="1" applyBorder="1" applyAlignment="1" applyProtection="1">
      <alignment horizontal="center"/>
      <protection locked="0"/>
    </xf>
    <xf numFmtId="9" fontId="7" fillId="0" borderId="94" xfId="55" applyFont="1" applyBorder="1" applyAlignment="1" applyProtection="1">
      <alignment horizontal="center"/>
      <protection/>
    </xf>
    <xf numFmtId="0" fontId="162" fillId="0" borderId="94" xfId="55" applyNumberFormat="1" applyFont="1" applyFill="1" applyBorder="1" applyAlignment="1" applyProtection="1">
      <alignment horizontal="center"/>
      <protection locked="0"/>
    </xf>
    <xf numFmtId="1" fontId="6" fillId="0" borderId="96" xfId="0" applyNumberFormat="1" applyFont="1" applyBorder="1" applyAlignment="1" applyProtection="1">
      <alignment/>
      <protection/>
    </xf>
    <xf numFmtId="0" fontId="1" fillId="0" borderId="97" xfId="0" applyFon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7" fillId="0" borderId="94" xfId="0" applyFont="1" applyBorder="1" applyAlignment="1" applyProtection="1">
      <alignment/>
      <protection/>
    </xf>
    <xf numFmtId="0" fontId="7" fillId="0" borderId="94" xfId="0" applyFont="1" applyFill="1" applyBorder="1" applyAlignment="1" applyProtection="1">
      <alignment/>
      <protection/>
    </xf>
    <xf numFmtId="0" fontId="0" fillId="39" borderId="94" xfId="0" applyFill="1" applyBorder="1" applyAlignment="1" applyProtection="1">
      <alignment/>
      <protection/>
    </xf>
    <xf numFmtId="0" fontId="5" fillId="0" borderId="98" xfId="0" applyFont="1" applyBorder="1" applyAlignment="1" applyProtection="1">
      <alignment horizontal="center"/>
      <protection locked="0"/>
    </xf>
    <xf numFmtId="0" fontId="5" fillId="0" borderId="95" xfId="0" applyFont="1" applyBorder="1" applyAlignment="1" applyProtection="1">
      <alignment horizontal="center"/>
      <protection locked="0"/>
    </xf>
    <xf numFmtId="9" fontId="7" fillId="36" borderId="99" xfId="55" applyFont="1" applyFill="1" applyBorder="1" applyAlignment="1" applyProtection="1">
      <alignment horizontal="center"/>
      <protection locked="0"/>
    </xf>
    <xf numFmtId="0" fontId="5" fillId="36" borderId="98" xfId="0" applyFont="1" applyFill="1" applyBorder="1" applyAlignment="1" applyProtection="1">
      <alignment horizontal="center"/>
      <protection locked="0"/>
    </xf>
    <xf numFmtId="0" fontId="162" fillId="41" borderId="100" xfId="55" applyNumberFormat="1" applyFont="1" applyFill="1" applyBorder="1" applyAlignment="1" applyProtection="1">
      <alignment horizontal="center"/>
      <protection locked="0"/>
    </xf>
    <xf numFmtId="9" fontId="7" fillId="0" borderId="94" xfId="55" applyFont="1" applyBorder="1" applyAlignment="1" applyProtection="1">
      <alignment horizontal="center"/>
      <protection locked="0"/>
    </xf>
    <xf numFmtId="0" fontId="0" fillId="16" borderId="94" xfId="0" applyFill="1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7" fillId="0" borderId="99" xfId="0" applyFont="1" applyBorder="1" applyAlignment="1" applyProtection="1">
      <alignment/>
      <protection/>
    </xf>
    <xf numFmtId="0" fontId="0" fillId="0" borderId="94" xfId="0" applyFill="1" applyBorder="1" applyAlignment="1" applyProtection="1">
      <alignment/>
      <protection/>
    </xf>
    <xf numFmtId="0" fontId="39" fillId="0" borderId="94" xfId="0" applyFont="1" applyFill="1" applyBorder="1" applyAlignment="1" applyProtection="1">
      <alignment/>
      <protection/>
    </xf>
    <xf numFmtId="0" fontId="0" fillId="38" borderId="94" xfId="0" applyFill="1" applyBorder="1" applyAlignment="1" applyProtection="1">
      <alignment/>
      <protection/>
    </xf>
    <xf numFmtId="9" fontId="7" fillId="0" borderId="102" xfId="55" applyFont="1" applyBorder="1" applyAlignment="1" applyProtection="1">
      <alignment horizontal="center"/>
      <protection/>
    </xf>
    <xf numFmtId="2" fontId="40" fillId="0" borderId="94" xfId="0" applyNumberFormat="1" applyFont="1" applyFill="1" applyBorder="1" applyAlignment="1" applyProtection="1">
      <alignment horizontal="right"/>
      <protection/>
    </xf>
    <xf numFmtId="0" fontId="0" fillId="39" borderId="103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2" fontId="0" fillId="47" borderId="94" xfId="0" applyNumberForma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10" fontId="62" fillId="0" borderId="0" xfId="55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0" fontId="36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0" fillId="0" borderId="94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6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6" fillId="0" borderId="94" xfId="0" applyNumberFormat="1" applyFont="1" applyBorder="1" applyAlignment="1" applyProtection="1">
      <alignment/>
      <protection/>
    </xf>
    <xf numFmtId="0" fontId="159" fillId="48" borderId="0" xfId="0" applyFont="1" applyFill="1" applyBorder="1" applyAlignment="1" applyProtection="1">
      <alignment/>
      <protection/>
    </xf>
    <xf numFmtId="0" fontId="0" fillId="48" borderId="0" xfId="0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 horizontal="right"/>
    </xf>
    <xf numFmtId="1" fontId="163" fillId="0" borderId="14" xfId="0" applyNumberFormat="1" applyFont="1" applyBorder="1" applyAlignment="1">
      <alignment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/>
    </xf>
    <xf numFmtId="10" fontId="164" fillId="0" borderId="0" xfId="55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65" fillId="49" borderId="105" xfId="0" applyFont="1" applyFill="1" applyBorder="1" applyAlignment="1" applyProtection="1">
      <alignment/>
      <protection locked="0"/>
    </xf>
    <xf numFmtId="0" fontId="165" fillId="49" borderId="106" xfId="0" applyFont="1" applyFill="1" applyBorder="1" applyAlignment="1" applyProtection="1">
      <alignment/>
      <protection/>
    </xf>
    <xf numFmtId="1" fontId="165" fillId="49" borderId="107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9" fillId="50" borderId="0" xfId="0" applyFont="1" applyFill="1" applyAlignment="1" applyProtection="1">
      <alignment vertical="center"/>
      <protection/>
    </xf>
    <xf numFmtId="0" fontId="166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" fillId="50" borderId="0" xfId="0" applyFont="1" applyFill="1" applyAlignment="1" applyProtection="1">
      <alignment vertical="center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97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 quotePrefix="1">
      <alignment horizontal="center"/>
      <protection/>
    </xf>
    <xf numFmtId="9" fontId="25" fillId="0" borderId="14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 quotePrefix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14" xfId="0" applyNumberForma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80" fontId="140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94" xfId="0" applyFill="1" applyBorder="1" applyAlignment="1" applyProtection="1">
      <alignment horizontal="right"/>
      <protection/>
    </xf>
    <xf numFmtId="0" fontId="7" fillId="0" borderId="80" xfId="0" applyFont="1" applyFill="1" applyBorder="1" applyAlignment="1" applyProtection="1">
      <alignment/>
      <protection/>
    </xf>
    <xf numFmtId="2" fontId="61" fillId="0" borderId="81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108" xfId="0" applyFont="1" applyFill="1" applyBorder="1" applyAlignment="1" applyProtection="1">
      <alignment/>
      <protection/>
    </xf>
    <xf numFmtId="0" fontId="0" fillId="0" borderId="109" xfId="0" applyFill="1" applyBorder="1" applyAlignment="1" applyProtection="1">
      <alignment/>
      <protection/>
    </xf>
    <xf numFmtId="9" fontId="7" fillId="0" borderId="99" xfId="55" applyFont="1" applyFill="1" applyBorder="1" applyAlignment="1" applyProtection="1">
      <alignment horizontal="center"/>
      <protection locked="0"/>
    </xf>
    <xf numFmtId="0" fontId="1" fillId="0" borderId="85" xfId="0" applyFont="1" applyFill="1" applyBorder="1" applyAlignment="1" applyProtection="1">
      <alignment/>
      <protection/>
    </xf>
    <xf numFmtId="0" fontId="5" fillId="0" borderId="9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/>
    </xf>
    <xf numFmtId="0" fontId="167" fillId="0" borderId="86" xfId="0" applyFont="1" applyFill="1" applyBorder="1" applyAlignment="1" applyProtection="1">
      <alignment/>
      <protection/>
    </xf>
    <xf numFmtId="0" fontId="168" fillId="0" borderId="60" xfId="0" applyFont="1" applyFill="1" applyBorder="1" applyAlignment="1" applyProtection="1">
      <alignment/>
      <protection/>
    </xf>
    <xf numFmtId="0" fontId="10" fillId="36" borderId="108" xfId="0" applyFont="1" applyFill="1" applyBorder="1" applyAlignment="1" applyProtection="1">
      <alignment/>
      <protection/>
    </xf>
    <xf numFmtId="0" fontId="13" fillId="36" borderId="109" xfId="0" applyFont="1" applyFill="1" applyBorder="1" applyAlignment="1" applyProtection="1">
      <alignment/>
      <protection/>
    </xf>
    <xf numFmtId="10" fontId="0" fillId="0" borderId="14" xfId="0" applyNumberFormat="1" applyFill="1" applyBorder="1" applyAlignment="1" applyProtection="1">
      <alignment/>
      <protection/>
    </xf>
    <xf numFmtId="9" fontId="0" fillId="0" borderId="14" xfId="0" applyNumberForma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2" fontId="0" fillId="50" borderId="14" xfId="0" applyNumberFormat="1" applyFont="1" applyFill="1" applyBorder="1" applyAlignment="1" applyProtection="1" quotePrefix="1">
      <alignment horizontal="center"/>
      <protection/>
    </xf>
    <xf numFmtId="1" fontId="0" fillId="50" borderId="14" xfId="0" applyNumberFormat="1" applyFont="1" applyFill="1" applyBorder="1" applyAlignment="1" applyProtection="1" quotePrefix="1">
      <alignment horizontal="center"/>
      <protection/>
    </xf>
    <xf numFmtId="2" fontId="0" fillId="50" borderId="14" xfId="0" applyNumberFormat="1" applyFont="1" applyFill="1" applyBorder="1" applyAlignment="1" applyProtection="1">
      <alignment horizontal="center"/>
      <protection/>
    </xf>
    <xf numFmtId="0" fontId="0" fillId="50" borderId="14" xfId="0" applyFont="1" applyFill="1" applyBorder="1" applyAlignment="1" applyProtection="1" quotePrefix="1">
      <alignment horizontal="center"/>
      <protection/>
    </xf>
    <xf numFmtId="180" fontId="0" fillId="50" borderId="14" xfId="0" applyNumberFormat="1" applyFill="1" applyBorder="1" applyAlignment="1" applyProtection="1">
      <alignment/>
      <protection/>
    </xf>
    <xf numFmtId="180" fontId="140" fillId="50" borderId="14" xfId="0" applyNumberFormat="1" applyFont="1" applyFill="1" applyBorder="1" applyAlignment="1" applyProtection="1">
      <alignment/>
      <protection locked="0"/>
    </xf>
    <xf numFmtId="0" fontId="0" fillId="50" borderId="14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10" xfId="0" applyFont="1" applyFill="1" applyBorder="1" applyAlignment="1" applyProtection="1" quotePrefix="1">
      <alignment horizontal="center"/>
      <protection/>
    </xf>
    <xf numFmtId="0" fontId="0" fillId="50" borderId="14" xfId="0" applyFill="1" applyBorder="1" applyAlignment="1" applyProtection="1">
      <alignment/>
      <protection/>
    </xf>
    <xf numFmtId="0" fontId="169" fillId="0" borderId="14" xfId="0" applyFont="1" applyFill="1" applyBorder="1" applyAlignment="1" applyProtection="1" quotePrefix="1">
      <alignment horizontal="center"/>
      <protection/>
    </xf>
    <xf numFmtId="9" fontId="0" fillId="50" borderId="14" xfId="0" applyNumberFormat="1" applyFill="1" applyBorder="1" applyAlignment="1" applyProtection="1">
      <alignment/>
      <protection/>
    </xf>
    <xf numFmtId="0" fontId="1" fillId="50" borderId="14" xfId="0" applyFont="1" applyFill="1" applyBorder="1" applyAlignment="1" applyProtection="1">
      <alignment/>
      <protection/>
    </xf>
    <xf numFmtId="0" fontId="7" fillId="50" borderId="14" xfId="0" applyFont="1" applyFill="1" applyBorder="1" applyAlignment="1" applyProtection="1">
      <alignment/>
      <protection/>
    </xf>
    <xf numFmtId="0" fontId="170" fillId="49" borderId="111" xfId="0" applyFont="1" applyFill="1" applyBorder="1" applyAlignment="1" applyProtection="1">
      <alignment/>
      <protection locked="0"/>
    </xf>
    <xf numFmtId="0" fontId="170" fillId="49" borderId="0" xfId="0" applyFont="1" applyFill="1" applyBorder="1" applyAlignment="1" applyProtection="1">
      <alignment/>
      <protection/>
    </xf>
    <xf numFmtId="1" fontId="170" fillId="49" borderId="112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0" fillId="0" borderId="113" xfId="0" applyFill="1" applyBorder="1" applyAlignment="1" applyProtection="1">
      <alignment/>
      <protection/>
    </xf>
    <xf numFmtId="0" fontId="0" fillId="50" borderId="33" xfId="0" applyFill="1" applyBorder="1" applyAlignment="1" applyProtection="1">
      <alignment/>
      <protection/>
    </xf>
    <xf numFmtId="0" fontId="169" fillId="0" borderId="33" xfId="0" applyFont="1" applyFill="1" applyBorder="1" applyAlignment="1" applyProtection="1">
      <alignment/>
      <protection/>
    </xf>
    <xf numFmtId="0" fontId="0" fillId="50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9" fontId="0" fillId="50" borderId="33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9" fontId="25" fillId="0" borderId="33" xfId="0" applyNumberFormat="1" applyFont="1" applyFill="1" applyBorder="1" applyAlignment="1" applyProtection="1">
      <alignment/>
      <protection locked="0"/>
    </xf>
    <xf numFmtId="0" fontId="162" fillId="0" borderId="33" xfId="0" applyFont="1" applyFill="1" applyBorder="1" applyAlignment="1" applyProtection="1">
      <alignment horizontal="right"/>
      <protection locked="0"/>
    </xf>
    <xf numFmtId="0" fontId="25" fillId="0" borderId="33" xfId="49" applyNumberFormat="1" applyFont="1" applyFill="1" applyBorder="1" applyAlignment="1" applyProtection="1">
      <alignment/>
      <protection locked="0"/>
    </xf>
    <xf numFmtId="0" fontId="7" fillId="50" borderId="33" xfId="0" applyFont="1" applyFill="1" applyBorder="1" applyAlignment="1" applyProtection="1">
      <alignment horizontal="right"/>
      <protection locked="0"/>
    </xf>
    <xf numFmtId="0" fontId="1" fillId="50" borderId="33" xfId="0" applyFont="1" applyFill="1" applyBorder="1" applyAlignment="1" applyProtection="1">
      <alignment/>
      <protection/>
    </xf>
    <xf numFmtId="180" fontId="0" fillId="50" borderId="33" xfId="0" applyNumberFormat="1" applyFill="1" applyBorder="1" applyAlignment="1" applyProtection="1">
      <alignment/>
      <protection/>
    </xf>
    <xf numFmtId="180" fontId="0" fillId="0" borderId="33" xfId="0" applyNumberFormat="1" applyFill="1" applyBorder="1" applyAlignment="1" applyProtection="1">
      <alignment horizontal="right"/>
      <protection/>
    </xf>
    <xf numFmtId="180" fontId="0" fillId="0" borderId="33" xfId="0" applyNumberFormat="1" applyFill="1" applyBorder="1" applyAlignment="1" applyProtection="1">
      <alignment/>
      <protection/>
    </xf>
    <xf numFmtId="180" fontId="140" fillId="50" borderId="33" xfId="0" applyNumberFormat="1" applyFont="1" applyFill="1" applyBorder="1" applyAlignment="1" applyProtection="1">
      <alignment/>
      <protection locked="0"/>
    </xf>
    <xf numFmtId="0" fontId="25" fillId="0" borderId="33" xfId="0" applyNumberFormat="1" applyFont="1" applyFill="1" applyBorder="1" applyAlignment="1" applyProtection="1">
      <alignment/>
      <protection locked="0"/>
    </xf>
    <xf numFmtId="49" fontId="31" fillId="0" borderId="83" xfId="0" applyNumberFormat="1" applyFont="1" applyFill="1" applyBorder="1" applyAlignment="1" applyProtection="1">
      <alignment horizontal="left"/>
      <protection/>
    </xf>
    <xf numFmtId="49" fontId="31" fillId="50" borderId="114" xfId="0" applyNumberFormat="1" applyFont="1" applyFill="1" applyBorder="1" applyAlignment="1" applyProtection="1">
      <alignment horizontal="left"/>
      <protection/>
    </xf>
    <xf numFmtId="49" fontId="171" fillId="0" borderId="114" xfId="0" applyNumberFormat="1" applyFont="1" applyFill="1" applyBorder="1" applyAlignment="1" applyProtection="1">
      <alignment horizontal="left"/>
      <protection/>
    </xf>
    <xf numFmtId="0" fontId="0" fillId="0" borderId="114" xfId="0" applyFont="1" applyFill="1" applyBorder="1" applyAlignment="1" applyProtection="1">
      <alignment/>
      <protection/>
    </xf>
    <xf numFmtId="9" fontId="0" fillId="50" borderId="114" xfId="0" applyNumberFormat="1" applyFill="1" applyBorder="1" applyAlignment="1" applyProtection="1">
      <alignment/>
      <protection/>
    </xf>
    <xf numFmtId="9" fontId="0" fillId="0" borderId="114" xfId="0" applyNumberFormat="1" applyFill="1" applyBorder="1" applyAlignment="1" applyProtection="1">
      <alignment/>
      <protection/>
    </xf>
    <xf numFmtId="9" fontId="9" fillId="50" borderId="114" xfId="0" applyNumberFormat="1" applyFont="1" applyFill="1" applyBorder="1" applyAlignment="1" applyProtection="1">
      <alignment/>
      <protection/>
    </xf>
    <xf numFmtId="9" fontId="0" fillId="0" borderId="114" xfId="0" applyNumberFormat="1" applyFont="1" applyFill="1" applyBorder="1" applyAlignment="1" applyProtection="1">
      <alignment/>
      <protection/>
    </xf>
    <xf numFmtId="0" fontId="0" fillId="50" borderId="114" xfId="0" applyFill="1" applyBorder="1" applyAlignment="1" applyProtection="1">
      <alignment/>
      <protection/>
    </xf>
    <xf numFmtId="0" fontId="1" fillId="50" borderId="114" xfId="0" applyFont="1" applyFill="1" applyBorder="1" applyAlignment="1" applyProtection="1">
      <alignment/>
      <protection/>
    </xf>
    <xf numFmtId="0" fontId="0" fillId="0" borderId="114" xfId="0" applyFill="1" applyBorder="1" applyAlignment="1" applyProtection="1">
      <alignment/>
      <protection/>
    </xf>
    <xf numFmtId="0" fontId="7" fillId="50" borderId="114" xfId="0" applyFont="1" applyFill="1" applyBorder="1" applyAlignment="1" applyProtection="1">
      <alignment/>
      <protection/>
    </xf>
    <xf numFmtId="0" fontId="0" fillId="50" borderId="114" xfId="0" applyFill="1" applyBorder="1" applyAlignment="1" applyProtection="1">
      <alignment horizontal="left"/>
      <protection/>
    </xf>
    <xf numFmtId="0" fontId="0" fillId="0" borderId="114" xfId="0" applyFill="1" applyBorder="1" applyAlignment="1" applyProtection="1">
      <alignment horizontal="left"/>
      <protection/>
    </xf>
    <xf numFmtId="0" fontId="0" fillId="50" borderId="114" xfId="0" applyFont="1" applyFill="1" applyBorder="1" applyAlignment="1" applyProtection="1">
      <alignment horizontal="left"/>
      <protection/>
    </xf>
    <xf numFmtId="0" fontId="7" fillId="50" borderId="115" xfId="0" applyFont="1" applyFill="1" applyBorder="1" applyAlignment="1" applyProtection="1">
      <alignment/>
      <protection/>
    </xf>
    <xf numFmtId="2" fontId="0" fillId="0" borderId="23" xfId="0" applyNumberFormat="1" applyFill="1" applyBorder="1" applyAlignment="1" applyProtection="1">
      <alignment horizontal="left"/>
      <protection/>
    </xf>
    <xf numFmtId="2" fontId="0" fillId="0" borderId="21" xfId="0" applyNumberFormat="1" applyFill="1" applyBorder="1" applyAlignment="1" applyProtection="1">
      <alignment horizontal="left"/>
      <protection/>
    </xf>
    <xf numFmtId="2" fontId="0" fillId="50" borderId="15" xfId="0" applyNumberFormat="1" applyFill="1" applyBorder="1" applyAlignment="1" applyProtection="1">
      <alignment horizontal="left"/>
      <protection/>
    </xf>
    <xf numFmtId="212" fontId="0" fillId="50" borderId="22" xfId="0" applyNumberFormat="1" applyFill="1" applyBorder="1" applyAlignment="1" applyProtection="1">
      <alignment horizontal="left"/>
      <protection/>
    </xf>
    <xf numFmtId="2" fontId="169" fillId="0" borderId="15" xfId="0" applyNumberFormat="1" applyFont="1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 horizontal="left"/>
      <protection/>
    </xf>
    <xf numFmtId="2" fontId="0" fillId="50" borderId="15" xfId="0" applyNumberFormat="1" applyFont="1" applyFill="1" applyBorder="1" applyAlignment="1" applyProtection="1">
      <alignment horizontal="left"/>
      <protection/>
    </xf>
    <xf numFmtId="2" fontId="0" fillId="50" borderId="22" xfId="0" applyNumberFormat="1" applyFill="1" applyBorder="1" applyAlignment="1" applyProtection="1">
      <alignment horizontal="left"/>
      <protection/>
    </xf>
    <xf numFmtId="2" fontId="0" fillId="0" borderId="15" xfId="0" applyNumberFormat="1" applyFill="1" applyBorder="1" applyAlignment="1" applyProtection="1">
      <alignment horizontal="left"/>
      <protection/>
    </xf>
    <xf numFmtId="2" fontId="1" fillId="50" borderId="15" xfId="0" applyNumberFormat="1" applyFont="1" applyFill="1" applyBorder="1" applyAlignment="1" applyProtection="1">
      <alignment horizontal="left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2" fontId="9" fillId="50" borderId="15" xfId="0" applyNumberFormat="1" applyFont="1" applyFill="1" applyBorder="1" applyAlignment="1" applyProtection="1">
      <alignment horizontal="left"/>
      <protection/>
    </xf>
    <xf numFmtId="2" fontId="0" fillId="0" borderId="15" xfId="0" applyNumberFormat="1" applyFont="1" applyFill="1" applyBorder="1" applyAlignment="1" applyProtection="1">
      <alignment horizontal="left"/>
      <protection/>
    </xf>
    <xf numFmtId="0" fontId="25" fillId="50" borderId="15" xfId="49" applyNumberFormat="1" applyFont="1" applyFill="1" applyBorder="1" applyAlignment="1" applyProtection="1">
      <alignment horizontal="left"/>
      <protection locked="0"/>
    </xf>
    <xf numFmtId="0" fontId="20" fillId="50" borderId="22" xfId="0" applyFont="1" applyFill="1" applyBorder="1" applyAlignment="1" applyProtection="1">
      <alignment horizontal="left"/>
      <protection/>
    </xf>
    <xf numFmtId="0" fontId="37" fillId="0" borderId="15" xfId="0" applyFont="1" applyFill="1" applyBorder="1" applyAlignment="1" applyProtection="1">
      <alignment horizontal="left"/>
      <protection/>
    </xf>
    <xf numFmtId="0" fontId="20" fillId="0" borderId="22" xfId="0" applyFont="1" applyFill="1" applyBorder="1" applyAlignment="1" applyProtection="1">
      <alignment horizontal="left"/>
      <protection/>
    </xf>
    <xf numFmtId="2" fontId="4" fillId="50" borderId="15" xfId="0" applyNumberFormat="1" applyFont="1" applyFill="1" applyBorder="1" applyAlignment="1" applyProtection="1">
      <alignment horizontal="left"/>
      <protection/>
    </xf>
    <xf numFmtId="2" fontId="20" fillId="50" borderId="22" xfId="0" applyNumberFormat="1" applyFont="1" applyFill="1" applyBorder="1" applyAlignment="1" applyProtection="1">
      <alignment horizontal="left"/>
      <protection/>
    </xf>
    <xf numFmtId="0" fontId="25" fillId="50" borderId="15" xfId="49" applyNumberFormat="1" applyFont="1" applyFill="1" applyBorder="1" applyAlignment="1" applyProtection="1">
      <alignment/>
      <protection locked="0"/>
    </xf>
    <xf numFmtId="2" fontId="1" fillId="50" borderId="22" xfId="0" applyNumberFormat="1" applyFont="1" applyFill="1" applyBorder="1" applyAlignment="1" applyProtection="1">
      <alignment horizontal="left"/>
      <protection/>
    </xf>
    <xf numFmtId="0" fontId="25" fillId="0" borderId="15" xfId="49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right"/>
      <protection/>
    </xf>
    <xf numFmtId="2" fontId="7" fillId="50" borderId="15" xfId="0" applyNumberFormat="1" applyFont="1" applyFill="1" applyBorder="1" applyAlignment="1" applyProtection="1">
      <alignment horizontal="center"/>
      <protection locked="0"/>
    </xf>
    <xf numFmtId="2" fontId="3" fillId="50" borderId="22" xfId="0" applyNumberFormat="1" applyFont="1" applyFill="1" applyBorder="1" applyAlignment="1" applyProtection="1">
      <alignment horizontal="right"/>
      <protection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right"/>
      <protection/>
    </xf>
    <xf numFmtId="0" fontId="161" fillId="0" borderId="15" xfId="0" applyFont="1" applyFill="1" applyBorder="1" applyAlignment="1" applyProtection="1">
      <alignment/>
      <protection locked="0"/>
    </xf>
    <xf numFmtId="0" fontId="13" fillId="50" borderId="16" xfId="0" applyFont="1" applyFill="1" applyBorder="1" applyAlignment="1" applyProtection="1">
      <alignment/>
      <protection/>
    </xf>
    <xf numFmtId="2" fontId="4" fillId="50" borderId="24" xfId="0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2" fontId="1" fillId="0" borderId="24" xfId="0" applyNumberFormat="1" applyFont="1" applyFill="1" applyBorder="1" applyAlignment="1" applyProtection="1">
      <alignment/>
      <protection/>
    </xf>
    <xf numFmtId="0" fontId="0" fillId="0" borderId="34" xfId="0" applyBorder="1" applyAlignment="1" applyProtection="1">
      <alignment horizontal="right"/>
      <protection/>
    </xf>
    <xf numFmtId="0" fontId="0" fillId="0" borderId="23" xfId="0" applyFill="1" applyBorder="1" applyAlignment="1" applyProtection="1" quotePrefix="1">
      <alignment horizontal="right"/>
      <protection/>
    </xf>
    <xf numFmtId="0" fontId="0" fillId="0" borderId="15" xfId="0" applyFill="1" applyBorder="1" applyAlignment="1" applyProtection="1" quotePrefix="1">
      <alignment horizontal="right"/>
      <protection/>
    </xf>
    <xf numFmtId="9" fontId="0" fillId="0" borderId="22" xfId="0" applyNumberFormat="1" applyFill="1" applyBorder="1" applyAlignment="1" applyProtection="1">
      <alignment/>
      <protection/>
    </xf>
    <xf numFmtId="0" fontId="0" fillId="0" borderId="15" xfId="0" applyFont="1" applyFill="1" applyBorder="1" applyAlignment="1" applyProtection="1" quotePrefix="1">
      <alignment horizontal="right"/>
      <protection/>
    </xf>
    <xf numFmtId="1" fontId="0" fillId="0" borderId="15" xfId="0" applyNumberFormat="1" applyFont="1" applyFill="1" applyBorder="1" applyAlignment="1" applyProtection="1" quotePrefix="1">
      <alignment horizontal="right"/>
      <protection/>
    </xf>
    <xf numFmtId="1" fontId="0" fillId="0" borderId="15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5" xfId="0" applyNumberFormat="1" applyFont="1" applyFill="1" applyBorder="1" applyAlignment="1" applyProtection="1" quotePrefix="1">
      <alignment horizontal="right"/>
      <protection/>
    </xf>
    <xf numFmtId="0" fontId="0" fillId="0" borderId="15" xfId="0" applyFont="1" applyFill="1" applyBorder="1" applyAlignment="1" applyProtection="1" quotePrefix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50" borderId="23" xfId="0" applyFill="1" applyBorder="1" applyAlignment="1" applyProtection="1" quotePrefix="1">
      <alignment horizontal="right"/>
      <protection/>
    </xf>
    <xf numFmtId="2" fontId="0" fillId="50" borderId="23" xfId="0" applyNumberFormat="1" applyFill="1" applyBorder="1" applyAlignment="1" applyProtection="1">
      <alignment horizontal="left"/>
      <protection/>
    </xf>
    <xf numFmtId="0" fontId="0" fillId="50" borderId="21" xfId="0" applyFill="1" applyBorder="1" applyAlignment="1" applyProtection="1">
      <alignment/>
      <protection/>
    </xf>
    <xf numFmtId="0" fontId="0" fillId="50" borderId="15" xfId="0" applyFill="1" applyBorder="1" applyAlignment="1" applyProtection="1" quotePrefix="1">
      <alignment horizontal="right"/>
      <protection/>
    </xf>
    <xf numFmtId="0" fontId="0" fillId="50" borderId="22" xfId="0" applyFill="1" applyBorder="1" applyAlignment="1" applyProtection="1">
      <alignment/>
      <protection/>
    </xf>
    <xf numFmtId="9" fontId="0" fillId="50" borderId="22" xfId="0" applyNumberFormat="1" applyFill="1" applyBorder="1" applyAlignment="1" applyProtection="1">
      <alignment/>
      <protection/>
    </xf>
    <xf numFmtId="1" fontId="0" fillId="50" borderId="15" xfId="0" applyNumberFormat="1" applyFont="1" applyFill="1" applyBorder="1" applyAlignment="1" applyProtection="1" quotePrefix="1">
      <alignment horizontal="right"/>
      <protection/>
    </xf>
    <xf numFmtId="1" fontId="0" fillId="50" borderId="15" xfId="0" applyNumberFormat="1" applyFont="1" applyFill="1" applyBorder="1" applyAlignment="1" applyProtection="1">
      <alignment horizontal="right"/>
      <protection/>
    </xf>
    <xf numFmtId="0" fontId="0" fillId="50" borderId="15" xfId="0" applyFill="1" applyBorder="1" applyAlignment="1" applyProtection="1">
      <alignment horizontal="right"/>
      <protection/>
    </xf>
    <xf numFmtId="0" fontId="0" fillId="50" borderId="15" xfId="0" applyFill="1" applyBorder="1" applyAlignment="1" applyProtection="1">
      <alignment/>
      <protection/>
    </xf>
    <xf numFmtId="0" fontId="0" fillId="50" borderId="15" xfId="0" applyFill="1" applyBorder="1" applyAlignment="1" applyProtection="1">
      <alignment horizontal="left"/>
      <protection/>
    </xf>
    <xf numFmtId="2" fontId="0" fillId="50" borderId="22" xfId="0" applyNumberFormat="1" applyFill="1" applyBorder="1" applyAlignment="1" applyProtection="1">
      <alignment/>
      <protection/>
    </xf>
    <xf numFmtId="0" fontId="0" fillId="50" borderId="15" xfId="0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/>
      <protection/>
    </xf>
    <xf numFmtId="0" fontId="19" fillId="0" borderId="11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204" fontId="7" fillId="0" borderId="14" xfId="0" applyNumberFormat="1" applyFont="1" applyFill="1" applyBorder="1" applyAlignment="1" applyProtection="1">
      <alignment/>
      <protection/>
    </xf>
    <xf numFmtId="9" fontId="0" fillId="0" borderId="22" xfId="0" applyNumberFormat="1" applyFont="1" applyFill="1" applyBorder="1" applyAlignment="1" applyProtection="1">
      <alignment/>
      <protection/>
    </xf>
    <xf numFmtId="9" fontId="1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19" fillId="50" borderId="110" xfId="0" applyFont="1" applyFill="1" applyBorder="1" applyAlignment="1" applyProtection="1">
      <alignment/>
      <protection/>
    </xf>
    <xf numFmtId="1" fontId="7" fillId="50" borderId="14" xfId="0" applyNumberFormat="1" applyFont="1" applyFill="1" applyBorder="1" applyAlignment="1" applyProtection="1">
      <alignment/>
      <protection/>
    </xf>
    <xf numFmtId="0" fontId="0" fillId="50" borderId="22" xfId="0" applyFont="1" applyFill="1" applyBorder="1" applyAlignment="1" applyProtection="1">
      <alignment/>
      <protection/>
    </xf>
    <xf numFmtId="0" fontId="0" fillId="50" borderId="22" xfId="0" applyFill="1" applyBorder="1" applyAlignment="1" applyProtection="1">
      <alignment horizontal="left"/>
      <protection/>
    </xf>
    <xf numFmtId="9" fontId="161" fillId="0" borderId="14" xfId="0" applyNumberFormat="1" applyFont="1" applyFill="1" applyBorder="1" applyAlignment="1" applyProtection="1">
      <alignment/>
      <protection locked="0"/>
    </xf>
    <xf numFmtId="0" fontId="35" fillId="50" borderId="14" xfId="0" applyFont="1" applyFill="1" applyBorder="1" applyAlignment="1" applyProtection="1">
      <alignment/>
      <protection/>
    </xf>
    <xf numFmtId="9" fontId="0" fillId="50" borderId="22" xfId="0" applyNumberFormat="1" applyFont="1" applyFill="1" applyBorder="1" applyAlignment="1" applyProtection="1">
      <alignment/>
      <protection/>
    </xf>
    <xf numFmtId="204" fontId="7" fillId="50" borderId="14" xfId="0" applyNumberFormat="1" applyFont="1" applyFill="1" applyBorder="1" applyAlignment="1" applyProtection="1">
      <alignment/>
      <protection/>
    </xf>
    <xf numFmtId="9" fontId="7" fillId="50" borderId="22" xfId="0" applyNumberFormat="1" applyFont="1" applyFill="1" applyBorder="1" applyAlignment="1" applyProtection="1">
      <alignment/>
      <protection/>
    </xf>
    <xf numFmtId="10" fontId="0" fillId="50" borderId="14" xfId="0" applyNumberFormat="1" applyFill="1" applyBorder="1" applyAlignment="1" applyProtection="1">
      <alignment/>
      <protection/>
    </xf>
    <xf numFmtId="9" fontId="25" fillId="50" borderId="14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50" borderId="15" xfId="0" applyFont="1" applyFill="1" applyBorder="1" applyAlignment="1" applyProtection="1">
      <alignment horizontal="right"/>
      <protection/>
    </xf>
    <xf numFmtId="2" fontId="0" fillId="50" borderId="15" xfId="0" applyNumberFormat="1" applyFont="1" applyFill="1" applyBorder="1" applyAlignment="1" applyProtection="1" quotePrefix="1">
      <alignment horizontal="right"/>
      <protection/>
    </xf>
    <xf numFmtId="2" fontId="0" fillId="50" borderId="22" xfId="0" applyNumberFormat="1" applyFont="1" applyFill="1" applyBorder="1" applyAlignment="1" applyProtection="1">
      <alignment horizontal="right"/>
      <protection/>
    </xf>
    <xf numFmtId="0" fontId="0" fillId="50" borderId="15" xfId="0" applyFont="1" applyFill="1" applyBorder="1" applyAlignment="1" applyProtection="1" quotePrefix="1">
      <alignment horizontal="center"/>
      <protection/>
    </xf>
    <xf numFmtId="0" fontId="0" fillId="50" borderId="22" xfId="0" applyFont="1" applyFill="1" applyBorder="1" applyAlignment="1" applyProtection="1">
      <alignment horizontal="left"/>
      <protection/>
    </xf>
    <xf numFmtId="0" fontId="1" fillId="50" borderId="16" xfId="0" applyFont="1" applyFill="1" applyBorder="1" applyAlignment="1" applyProtection="1">
      <alignment/>
      <protection/>
    </xf>
    <xf numFmtId="0" fontId="1" fillId="50" borderId="17" xfId="0" applyFont="1" applyFill="1" applyBorder="1" applyAlignment="1" applyProtection="1">
      <alignment/>
      <protection/>
    </xf>
    <xf numFmtId="0" fontId="7" fillId="50" borderId="24" xfId="0" applyFont="1" applyFill="1" applyBorder="1" applyAlignment="1" applyProtection="1">
      <alignment/>
      <protection/>
    </xf>
    <xf numFmtId="2" fontId="1" fillId="50" borderId="24" xfId="0" applyNumberFormat="1" applyFont="1" applyFill="1" applyBorder="1" applyAlignment="1" applyProtection="1">
      <alignment/>
      <protection/>
    </xf>
    <xf numFmtId="0" fontId="167" fillId="0" borderId="0" xfId="0" applyFont="1" applyFill="1" applyBorder="1" applyAlignment="1" applyProtection="1">
      <alignment/>
      <protection/>
    </xf>
    <xf numFmtId="0" fontId="168" fillId="0" borderId="0" xfId="0" applyFont="1" applyFill="1" applyBorder="1" applyAlignment="1" applyProtection="1">
      <alignment/>
      <protection/>
    </xf>
    <xf numFmtId="0" fontId="0" fillId="41" borderId="29" xfId="0" applyFill="1" applyBorder="1" applyAlignment="1" applyProtection="1">
      <alignment/>
      <protection/>
    </xf>
    <xf numFmtId="0" fontId="0" fillId="41" borderId="29" xfId="0" applyFont="1" applyFill="1" applyBorder="1" applyAlignment="1" applyProtection="1">
      <alignment/>
      <protection/>
    </xf>
    <xf numFmtId="2" fontId="0" fillId="47" borderId="0" xfId="0" applyNumberFormat="1" applyFill="1" applyBorder="1" applyAlignment="1" applyProtection="1">
      <alignment/>
      <protection/>
    </xf>
    <xf numFmtId="0" fontId="146" fillId="48" borderId="0" xfId="0" applyFont="1" applyFill="1" applyBorder="1" applyAlignment="1" applyProtection="1">
      <alignment/>
      <protection/>
    </xf>
    <xf numFmtId="0" fontId="162" fillId="0" borderId="116" xfId="55" applyNumberFormat="1" applyFont="1" applyFill="1" applyBorder="1" applyAlignment="1" applyProtection="1">
      <alignment horizontal="center"/>
      <protection locked="0"/>
    </xf>
    <xf numFmtId="0" fontId="5" fillId="0" borderId="117" xfId="0" applyFont="1" applyFill="1" applyBorder="1" applyAlignment="1" applyProtection="1">
      <alignment horizontal="center"/>
      <protection locked="0"/>
    </xf>
    <xf numFmtId="0" fontId="0" fillId="40" borderId="19" xfId="0" applyFill="1" applyBorder="1" applyAlignment="1" applyProtection="1">
      <alignment/>
      <protection hidden="1"/>
    </xf>
    <xf numFmtId="209" fontId="0" fillId="0" borderId="0" xfId="0" applyNumberFormat="1" applyAlignment="1" applyProtection="1">
      <alignment/>
      <protection/>
    </xf>
    <xf numFmtId="0" fontId="141" fillId="0" borderId="22" xfId="0" applyFont="1" applyFill="1" applyBorder="1" applyAlignment="1" applyProtection="1">
      <alignment/>
      <protection/>
    </xf>
    <xf numFmtId="209" fontId="0" fillId="0" borderId="0" xfId="0" applyNumberFormat="1" applyFont="1" applyFill="1" applyBorder="1" applyAlignment="1">
      <alignment horizontal="right"/>
    </xf>
    <xf numFmtId="212" fontId="0" fillId="0" borderId="0" xfId="0" applyNumberFormat="1" applyFont="1" applyFill="1" applyBorder="1" applyAlignment="1">
      <alignment horizontal="right"/>
    </xf>
    <xf numFmtId="0" fontId="19" fillId="14" borderId="0" xfId="0" applyFont="1" applyFill="1" applyAlignment="1" applyProtection="1">
      <alignment/>
      <protection/>
    </xf>
    <xf numFmtId="2" fontId="61" fillId="0" borderId="0" xfId="0" applyNumberFormat="1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/>
      <protection locked="0"/>
    </xf>
    <xf numFmtId="0" fontId="0" fillId="0" borderId="94" xfId="0" applyFill="1" applyBorder="1" applyAlignment="1" applyProtection="1">
      <alignment/>
      <protection locked="0"/>
    </xf>
    <xf numFmtId="0" fontId="39" fillId="0" borderId="94" xfId="0" applyFont="1" applyFill="1" applyBorder="1" applyAlignment="1" applyProtection="1">
      <alignment/>
      <protection locked="0"/>
    </xf>
    <xf numFmtId="1" fontId="170" fillId="49" borderId="112" xfId="0" applyNumberFormat="1" applyFont="1" applyFill="1" applyBorder="1" applyAlignment="1" applyProtection="1">
      <alignment/>
      <protection locked="0"/>
    </xf>
    <xf numFmtId="0" fontId="7" fillId="0" borderId="94" xfId="0" applyFont="1" applyFill="1" applyBorder="1" applyAlignment="1" applyProtection="1">
      <alignment/>
      <protection locked="0"/>
    </xf>
    <xf numFmtId="0" fontId="143" fillId="48" borderId="0" xfId="0" applyFont="1" applyFill="1" applyBorder="1" applyAlignment="1" applyProtection="1">
      <alignment/>
      <protection/>
    </xf>
    <xf numFmtId="0" fontId="141" fillId="48" borderId="0" xfId="0" applyFont="1" applyFill="1" applyBorder="1" applyAlignment="1" applyProtection="1">
      <alignment/>
      <protection/>
    </xf>
    <xf numFmtId="0" fontId="0" fillId="48" borderId="0" xfId="0" applyFont="1" applyFill="1" applyBorder="1" applyAlignment="1" applyProtection="1">
      <alignment/>
      <protection/>
    </xf>
    <xf numFmtId="0" fontId="0" fillId="48" borderId="0" xfId="0" applyFont="1" applyFill="1" applyAlignment="1" applyProtection="1">
      <alignment/>
      <protection/>
    </xf>
    <xf numFmtId="9" fontId="161" fillId="41" borderId="0" xfId="0" applyNumberFormat="1" applyFont="1" applyFill="1" applyBorder="1" applyAlignment="1" applyProtection="1" quotePrefix="1">
      <alignment horizontal="center" vertical="center"/>
      <protection locked="0"/>
    </xf>
    <xf numFmtId="0" fontId="67" fillId="0" borderId="0" xfId="0" applyFont="1" applyAlignment="1" applyProtection="1">
      <alignment/>
      <protection/>
    </xf>
    <xf numFmtId="0" fontId="162" fillId="42" borderId="67" xfId="55" applyNumberFormat="1" applyFont="1" applyFill="1" applyBorder="1" applyAlignment="1" applyProtection="1">
      <alignment horizontal="center"/>
      <protection locked="0"/>
    </xf>
    <xf numFmtId="0" fontId="7" fillId="40" borderId="118" xfId="0" applyFont="1" applyFill="1" applyBorder="1" applyAlignment="1" applyProtection="1">
      <alignment horizontal="right"/>
      <protection locked="0"/>
    </xf>
    <xf numFmtId="0" fontId="162" fillId="41" borderId="0" xfId="55" applyNumberFormat="1" applyFont="1" applyFill="1" applyBorder="1" applyAlignment="1" applyProtection="1">
      <alignment horizontal="center"/>
      <protection locked="0"/>
    </xf>
    <xf numFmtId="0" fontId="68" fillId="51" borderId="0" xfId="0" applyFont="1" applyFill="1" applyAlignment="1" quotePrefix="1">
      <alignment/>
    </xf>
    <xf numFmtId="9" fontId="161" fillId="51" borderId="0" xfId="0" applyNumberFormat="1" applyFont="1" applyFill="1" applyBorder="1" applyAlignment="1" applyProtection="1" quotePrefix="1">
      <alignment horizontal="center" vertical="center"/>
      <protection locked="0"/>
    </xf>
    <xf numFmtId="1" fontId="0" fillId="40" borderId="14" xfId="0" applyNumberFormat="1" applyFont="1" applyFill="1" applyBorder="1" applyAlignment="1" applyProtection="1" quotePrefix="1">
      <alignment horizontal="center"/>
      <protection/>
    </xf>
    <xf numFmtId="0" fontId="25" fillId="40" borderId="33" xfId="49" applyNumberFormat="1" applyFont="1" applyFill="1" applyBorder="1" applyAlignment="1" applyProtection="1">
      <alignment/>
      <protection locked="0"/>
    </xf>
    <xf numFmtId="0" fontId="0" fillId="40" borderId="114" xfId="0" applyFont="1" applyFill="1" applyBorder="1" applyAlignment="1" applyProtection="1">
      <alignment/>
      <protection/>
    </xf>
    <xf numFmtId="0" fontId="37" fillId="4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 locked="0"/>
    </xf>
    <xf numFmtId="170" fontId="172" fillId="0" borderId="0" xfId="0" applyNumberFormat="1" applyFont="1" applyFill="1" applyBorder="1" applyAlignment="1" applyProtection="1">
      <alignment/>
      <protection locked="0"/>
    </xf>
    <xf numFmtId="0" fontId="0" fillId="40" borderId="15" xfId="0" applyFont="1" applyFill="1" applyBorder="1" applyAlignment="1" applyProtection="1" quotePrefix="1">
      <alignment horizontal="right"/>
      <protection/>
    </xf>
    <xf numFmtId="204" fontId="7" fillId="40" borderId="14" xfId="0" applyNumberFormat="1" applyFont="1" applyFill="1" applyBorder="1" applyAlignment="1" applyProtection="1">
      <alignment/>
      <protection/>
    </xf>
    <xf numFmtId="2" fontId="0" fillId="40" borderId="15" xfId="0" applyNumberFormat="1" applyFill="1" applyBorder="1" applyAlignment="1" applyProtection="1">
      <alignment horizontal="left"/>
      <protection/>
    </xf>
    <xf numFmtId="170" fontId="172" fillId="0" borderId="119" xfId="0" applyNumberFormat="1" applyFont="1" applyBorder="1" applyAlignment="1" applyProtection="1">
      <alignment/>
      <protection/>
    </xf>
    <xf numFmtId="0" fontId="1" fillId="41" borderId="120" xfId="0" applyFont="1" applyFill="1" applyBorder="1" applyAlignment="1" applyProtection="1">
      <alignment/>
      <protection/>
    </xf>
    <xf numFmtId="49" fontId="31" fillId="41" borderId="37" xfId="0" applyNumberFormat="1" applyFont="1" applyFill="1" applyBorder="1" applyAlignment="1" applyProtection="1">
      <alignment horizontal="left"/>
      <protection/>
    </xf>
    <xf numFmtId="49" fontId="31" fillId="41" borderId="38" xfId="0" applyNumberFormat="1" applyFont="1" applyFill="1" applyBorder="1" applyAlignment="1" applyProtection="1">
      <alignment horizontal="left"/>
      <protection/>
    </xf>
    <xf numFmtId="49" fontId="171" fillId="41" borderId="38" xfId="0" applyNumberFormat="1" applyFont="1" applyFill="1" applyBorder="1" applyAlignment="1" applyProtection="1">
      <alignment horizontal="left"/>
      <protection/>
    </xf>
    <xf numFmtId="0" fontId="0" fillId="41" borderId="38" xfId="0" applyFont="1" applyFill="1" applyBorder="1" applyAlignment="1" applyProtection="1">
      <alignment/>
      <protection/>
    </xf>
    <xf numFmtId="0" fontId="1" fillId="41" borderId="38" xfId="0" applyFont="1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7" fillId="41" borderId="38" xfId="0" applyFont="1" applyFill="1" applyBorder="1" applyAlignment="1" applyProtection="1">
      <alignment/>
      <protection/>
    </xf>
    <xf numFmtId="0" fontId="0" fillId="41" borderId="38" xfId="0" applyFill="1" applyBorder="1" applyAlignment="1" applyProtection="1">
      <alignment horizontal="left"/>
      <protection/>
    </xf>
    <xf numFmtId="0" fontId="0" fillId="41" borderId="38" xfId="0" applyFont="1" applyFill="1" applyBorder="1" applyAlignment="1" applyProtection="1">
      <alignment horizontal="left"/>
      <protection/>
    </xf>
    <xf numFmtId="0" fontId="7" fillId="41" borderId="39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 horizontal="right"/>
      <protection/>
    </xf>
    <xf numFmtId="0" fontId="0" fillId="41" borderId="0" xfId="0" applyFill="1" applyBorder="1" applyAlignment="1" applyProtection="1">
      <alignment/>
      <protection/>
    </xf>
    <xf numFmtId="0" fontId="7" fillId="41" borderId="0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 applyProtection="1">
      <alignment/>
      <protection/>
    </xf>
    <xf numFmtId="0" fontId="5" fillId="41" borderId="0" xfId="0" applyFont="1" applyFill="1" applyBorder="1" applyAlignment="1" applyProtection="1">
      <alignment horizontal="center"/>
      <protection locked="0"/>
    </xf>
    <xf numFmtId="9" fontId="7" fillId="41" borderId="0" xfId="55" applyFont="1" applyFill="1" applyBorder="1" applyAlignment="1" applyProtection="1">
      <alignment horizontal="center"/>
      <protection/>
    </xf>
    <xf numFmtId="9" fontId="7" fillId="41" borderId="0" xfId="55" applyFont="1" applyFill="1" applyBorder="1" applyAlignment="1" applyProtection="1">
      <alignment horizontal="center"/>
      <protection locked="0"/>
    </xf>
    <xf numFmtId="1" fontId="6" fillId="41" borderId="0" xfId="0" applyNumberFormat="1" applyFont="1" applyFill="1" applyBorder="1" applyAlignment="1" applyProtection="1">
      <alignment/>
      <protection/>
    </xf>
    <xf numFmtId="1" fontId="165" fillId="41" borderId="0" xfId="0" applyNumberFormat="1" applyFont="1" applyFill="1" applyBorder="1" applyAlignment="1" applyProtection="1">
      <alignment/>
      <protection/>
    </xf>
    <xf numFmtId="0" fontId="0" fillId="41" borderId="121" xfId="0" applyFill="1" applyBorder="1" applyAlignment="1" applyProtection="1">
      <alignment/>
      <protection/>
    </xf>
    <xf numFmtId="0" fontId="0" fillId="41" borderId="29" xfId="0" applyFill="1" applyBorder="1" applyAlignment="1" applyProtection="1">
      <alignment horizontal="left"/>
      <protection/>
    </xf>
    <xf numFmtId="9" fontId="0" fillId="41" borderId="29" xfId="0" applyNumberFormat="1" applyFill="1" applyBorder="1" applyAlignment="1" applyProtection="1">
      <alignment/>
      <protection/>
    </xf>
    <xf numFmtId="9" fontId="0" fillId="41" borderId="29" xfId="0" applyNumberFormat="1" applyFont="1" applyFill="1" applyBorder="1" applyAlignment="1" applyProtection="1">
      <alignment/>
      <protection/>
    </xf>
    <xf numFmtId="9" fontId="7" fillId="41" borderId="29" xfId="0" applyNumberFormat="1" applyFont="1" applyFill="1" applyBorder="1" applyAlignment="1" applyProtection="1">
      <alignment/>
      <protection/>
    </xf>
    <xf numFmtId="0" fontId="0" fillId="41" borderId="29" xfId="0" applyFont="1" applyFill="1" applyBorder="1" applyAlignment="1" applyProtection="1">
      <alignment horizontal="left"/>
      <protection/>
    </xf>
    <xf numFmtId="0" fontId="7" fillId="41" borderId="122" xfId="0" applyFont="1" applyFill="1" applyBorder="1" applyAlignment="1" applyProtection="1">
      <alignment/>
      <protection/>
    </xf>
    <xf numFmtId="0" fontId="0" fillId="41" borderId="54" xfId="0" applyFill="1" applyBorder="1" applyAlignment="1" applyProtection="1">
      <alignment/>
      <protection/>
    </xf>
    <xf numFmtId="0" fontId="39" fillId="41" borderId="0" xfId="0" applyFont="1" applyFill="1" applyBorder="1" applyAlignment="1" applyProtection="1">
      <alignment/>
      <protection/>
    </xf>
    <xf numFmtId="1" fontId="170" fillId="41" borderId="0" xfId="0" applyNumberFormat="1" applyFont="1" applyFill="1" applyBorder="1" applyAlignment="1" applyProtection="1">
      <alignment/>
      <protection locked="0"/>
    </xf>
    <xf numFmtId="9" fontId="1" fillId="41" borderId="29" xfId="0" applyNumberFormat="1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 locked="0"/>
    </xf>
    <xf numFmtId="0" fontId="39" fillId="41" borderId="0" xfId="0" applyFont="1" applyFill="1" applyBorder="1" applyAlignment="1" applyProtection="1">
      <alignment/>
      <protection locked="0"/>
    </xf>
    <xf numFmtId="0" fontId="68" fillId="40" borderId="0" xfId="0" applyFont="1" applyFill="1" applyAlignment="1" quotePrefix="1">
      <alignment/>
    </xf>
    <xf numFmtId="9" fontId="161" fillId="40" borderId="0" xfId="0" applyNumberFormat="1" applyFont="1" applyFill="1" applyBorder="1" applyAlignment="1" applyProtection="1" quotePrefix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right" vertical="center" wrapText="1"/>
      <protection/>
    </xf>
    <xf numFmtId="2" fontId="19" fillId="0" borderId="15" xfId="49" applyNumberFormat="1" applyFont="1" applyFill="1" applyBorder="1" applyAlignment="1" applyProtection="1">
      <alignment/>
      <protection locked="0"/>
    </xf>
    <xf numFmtId="0" fontId="1" fillId="50" borderId="22" xfId="0" applyFont="1" applyFill="1" applyBorder="1" applyAlignment="1" applyProtection="1">
      <alignment horizontal="right"/>
      <protection/>
    </xf>
    <xf numFmtId="2" fontId="19" fillId="0" borderId="15" xfId="0" applyNumberFormat="1" applyFont="1" applyFill="1" applyBorder="1" applyAlignment="1" applyProtection="1">
      <alignment horizontal="center"/>
      <protection/>
    </xf>
    <xf numFmtId="2" fontId="173" fillId="41" borderId="0" xfId="0" applyNumberFormat="1" applyFont="1" applyFill="1" applyBorder="1" applyAlignment="1" applyProtection="1">
      <alignment/>
      <protection hidden="1"/>
    </xf>
    <xf numFmtId="0" fontId="173" fillId="41" borderId="0" xfId="0" applyFont="1" applyFill="1" applyBorder="1" applyAlignment="1" applyProtection="1">
      <alignment/>
      <protection/>
    </xf>
    <xf numFmtId="0" fontId="173" fillId="41" borderId="38" xfId="0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9" fontId="16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8" fillId="0" borderId="0" xfId="0" applyFont="1" applyFill="1" applyAlignment="1" quotePrefix="1">
      <alignment/>
    </xf>
    <xf numFmtId="0" fontId="174" fillId="0" borderId="0" xfId="0" applyFont="1" applyFill="1" applyAlignment="1" quotePrefix="1">
      <alignment/>
    </xf>
    <xf numFmtId="0" fontId="0" fillId="0" borderId="0" xfId="0" applyFill="1" applyAlignment="1">
      <alignment/>
    </xf>
    <xf numFmtId="9" fontId="161" fillId="50" borderId="123" xfId="0" applyNumberFormat="1" applyFont="1" applyFill="1" applyBorder="1" applyAlignment="1" applyProtection="1" quotePrefix="1">
      <alignment horizontal="center" vertical="center"/>
      <protection locked="0"/>
    </xf>
    <xf numFmtId="0" fontId="175" fillId="0" borderId="0" xfId="0" applyFont="1" applyAlignment="1" applyProtection="1">
      <alignment/>
      <protection locked="0"/>
    </xf>
    <xf numFmtId="2" fontId="19" fillId="0" borderId="15" xfId="49" applyNumberFormat="1" applyFont="1" applyFill="1" applyBorder="1" applyAlignment="1" applyProtection="1">
      <alignment/>
      <protection/>
    </xf>
    <xf numFmtId="1" fontId="0" fillId="52" borderId="15" xfId="0" applyNumberFormat="1" applyFont="1" applyFill="1" applyBorder="1" applyAlignment="1" applyProtection="1">
      <alignment horizontal="right"/>
      <protection/>
    </xf>
    <xf numFmtId="204" fontId="162" fillId="52" borderId="14" xfId="0" applyNumberFormat="1" applyFont="1" applyFill="1" applyBorder="1" applyAlignment="1" applyProtection="1">
      <alignment/>
      <protection locked="0"/>
    </xf>
    <xf numFmtId="0" fontId="1" fillId="52" borderId="22" xfId="0" applyFont="1" applyFill="1" applyBorder="1" applyAlignment="1" applyProtection="1">
      <alignment horizontal="right"/>
      <protection/>
    </xf>
    <xf numFmtId="2" fontId="0" fillId="52" borderId="15" xfId="0" applyNumberFormat="1" applyFill="1" applyBorder="1" applyAlignment="1" applyProtection="1">
      <alignment horizontal="left"/>
      <protection/>
    </xf>
    <xf numFmtId="2" fontId="19" fillId="52" borderId="15" xfId="49" applyNumberFormat="1" applyFont="1" applyFill="1" applyBorder="1" applyAlignment="1" applyProtection="1">
      <alignment/>
      <protection/>
    </xf>
    <xf numFmtId="0" fontId="0" fillId="52" borderId="14" xfId="0" applyFont="1" applyFill="1" applyBorder="1" applyAlignment="1" applyProtection="1" quotePrefix="1">
      <alignment horizontal="center"/>
      <protection/>
    </xf>
    <xf numFmtId="0" fontId="0" fillId="52" borderId="33" xfId="0" applyFont="1" applyFill="1" applyBorder="1" applyAlignment="1" applyProtection="1">
      <alignment/>
      <protection/>
    </xf>
    <xf numFmtId="0" fontId="0" fillId="52" borderId="114" xfId="0" applyFont="1" applyFill="1" applyBorder="1" applyAlignment="1" applyProtection="1">
      <alignment/>
      <protection/>
    </xf>
    <xf numFmtId="49" fontId="176" fillId="41" borderId="38" xfId="0" applyNumberFormat="1" applyFont="1" applyFill="1" applyBorder="1" applyAlignment="1" applyProtection="1">
      <alignment horizontal="left"/>
      <protection/>
    </xf>
    <xf numFmtId="0" fontId="141" fillId="41" borderId="38" xfId="0" applyFont="1" applyFill="1" applyBorder="1" applyAlignment="1" applyProtection="1">
      <alignment/>
      <protection/>
    </xf>
    <xf numFmtId="9" fontId="141" fillId="41" borderId="38" xfId="0" applyNumberFormat="1" applyFont="1" applyFill="1" applyBorder="1" applyAlignment="1" applyProtection="1">
      <alignment/>
      <protection/>
    </xf>
    <xf numFmtId="1" fontId="163" fillId="0" borderId="0" xfId="0" applyNumberFormat="1" applyFont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2" fontId="173" fillId="0" borderId="0" xfId="0" applyNumberFormat="1" applyFont="1" applyFill="1" applyBorder="1" applyAlignment="1" applyProtection="1">
      <alignment/>
      <protection hidden="1"/>
    </xf>
    <xf numFmtId="0" fontId="173" fillId="0" borderId="0" xfId="0" applyFont="1" applyFill="1" applyBorder="1" applyAlignment="1" applyProtection="1">
      <alignment/>
      <protection/>
    </xf>
    <xf numFmtId="0" fontId="177" fillId="0" borderId="0" xfId="0" applyFont="1" applyFill="1" applyBorder="1" applyAlignment="1" applyProtection="1">
      <alignment/>
      <protection/>
    </xf>
    <xf numFmtId="0" fontId="177" fillId="0" borderId="0" xfId="0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left"/>
      <protection/>
    </xf>
    <xf numFmtId="2" fontId="17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2" fontId="61" fillId="0" borderId="0" xfId="0" applyNumberFormat="1" applyFont="1" applyFill="1" applyBorder="1" applyAlignment="1" applyProtection="1">
      <alignment horizontal="center" vertical="center"/>
      <protection/>
    </xf>
    <xf numFmtId="0" fontId="178" fillId="0" borderId="0" xfId="0" applyFont="1" applyFill="1" applyBorder="1" applyAlignment="1" applyProtection="1">
      <alignment/>
      <protection/>
    </xf>
    <xf numFmtId="2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quotePrefix="1">
      <alignment/>
    </xf>
    <xf numFmtId="0" fontId="179" fillId="0" borderId="0" xfId="0" applyFont="1" applyFill="1" applyBorder="1" applyAlignment="1" quotePrefix="1">
      <alignment/>
    </xf>
    <xf numFmtId="0" fontId="180" fillId="0" borderId="0" xfId="0" applyFont="1" applyFill="1" applyBorder="1" applyAlignment="1" quotePrefix="1">
      <alignment/>
    </xf>
    <xf numFmtId="0" fontId="66" fillId="0" borderId="0" xfId="0" applyFont="1" applyFill="1" applyBorder="1" applyAlignment="1">
      <alignment/>
    </xf>
    <xf numFmtId="2" fontId="0" fillId="0" borderId="0" xfId="0" applyNumberFormat="1" applyFill="1" applyBorder="1" applyAlignment="1" applyProtection="1">
      <alignment horizontal="left"/>
      <protection/>
    </xf>
    <xf numFmtId="180" fontId="0" fillId="0" borderId="0" xfId="55" applyNumberFormat="1" applyFont="1" applyFill="1" applyBorder="1" applyAlignment="1" applyProtection="1">
      <alignment/>
      <protection/>
    </xf>
    <xf numFmtId="212" fontId="0" fillId="0" borderId="0" xfId="0" applyNumberFormat="1" applyFill="1" applyBorder="1" applyAlignment="1" applyProtection="1">
      <alignment horizontal="left"/>
      <protection/>
    </xf>
    <xf numFmtId="180" fontId="173" fillId="0" borderId="0" xfId="55" applyNumberFormat="1" applyFont="1" applyFill="1" applyBorder="1" applyAlignment="1" applyProtection="1">
      <alignment/>
      <protection/>
    </xf>
    <xf numFmtId="2" fontId="169" fillId="0" borderId="0" xfId="0" applyNumberFormat="1" applyFont="1" applyFill="1" applyBorder="1" applyAlignment="1" applyProtection="1">
      <alignment horizontal="left"/>
      <protection/>
    </xf>
    <xf numFmtId="180" fontId="0" fillId="0" borderId="0" xfId="55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2" fontId="9" fillId="0" borderId="0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2" fontId="20" fillId="0" borderId="0" xfId="0" applyNumberFormat="1" applyFont="1" applyFill="1" applyBorder="1" applyAlignment="1" applyProtection="1">
      <alignment horizontal="left"/>
      <protection/>
    </xf>
    <xf numFmtId="0" fontId="25" fillId="0" borderId="0" xfId="49" applyNumberFormat="1" applyFont="1" applyFill="1" applyBorder="1" applyAlignment="1" applyProtection="1">
      <alignment horizontal="left"/>
      <protection locked="0"/>
    </xf>
    <xf numFmtId="0" fontId="25" fillId="0" borderId="0" xfId="49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161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61" fillId="0" borderId="0" xfId="0" applyNumberFormat="1" applyFont="1" applyFill="1" applyBorder="1" applyAlignment="1" applyProtection="1">
      <alignment horizontal="left"/>
      <protection/>
    </xf>
    <xf numFmtId="170" fontId="62" fillId="0" borderId="0" xfId="51" applyFont="1" applyFill="1" applyBorder="1" applyAlignment="1" applyProtection="1">
      <alignment horizontal="left"/>
      <protection/>
    </xf>
    <xf numFmtId="44" fontId="0" fillId="0" borderId="0" xfId="0" applyNumberFormat="1" applyFill="1" applyBorder="1" applyAlignment="1" applyProtection="1">
      <alignment/>
      <protection/>
    </xf>
    <xf numFmtId="10" fontId="0" fillId="0" borderId="0" xfId="55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183" fontId="0" fillId="0" borderId="0" xfId="55" applyNumberFormat="1" applyFont="1" applyFill="1" applyBorder="1" applyAlignment="1" applyProtection="1">
      <alignment/>
      <protection/>
    </xf>
    <xf numFmtId="0" fontId="14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9" fontId="0" fillId="41" borderId="38" xfId="0" applyNumberFormat="1" applyFont="1" applyFill="1" applyBorder="1" applyAlignment="1" applyProtection="1">
      <alignment/>
      <protection/>
    </xf>
    <xf numFmtId="9" fontId="181" fillId="50" borderId="0" xfId="0" applyNumberFormat="1" applyFont="1" applyFill="1" applyBorder="1" applyAlignment="1" applyProtection="1" quotePrefix="1">
      <alignment horizontal="center" vertical="center"/>
      <protection locked="0"/>
    </xf>
    <xf numFmtId="9" fontId="182" fillId="50" borderId="0" xfId="0" applyNumberFormat="1" applyFont="1" applyFill="1" applyBorder="1" applyAlignment="1" applyProtection="1" quotePrefix="1">
      <alignment horizontal="center" vertical="center"/>
      <protection locked="0"/>
    </xf>
    <xf numFmtId="17" fontId="182" fillId="50" borderId="0" xfId="0" applyNumberFormat="1" applyFont="1" applyFill="1" applyBorder="1" applyAlignment="1" applyProtection="1" quotePrefix="1">
      <alignment horizontal="center" vertical="center"/>
      <protection locked="0"/>
    </xf>
    <xf numFmtId="9" fontId="182" fillId="41" borderId="0" xfId="0" applyNumberFormat="1" applyFont="1" applyFill="1" applyBorder="1" applyAlignment="1" applyProtection="1" quotePrefix="1">
      <alignment horizontal="center" vertical="center"/>
      <protection locked="0"/>
    </xf>
    <xf numFmtId="204" fontId="0" fillId="0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/>
    </xf>
    <xf numFmtId="9" fontId="1" fillId="34" borderId="0" xfId="0" applyNumberFormat="1" applyFont="1" applyFill="1" applyBorder="1" applyAlignment="1" applyProtection="1">
      <alignment/>
      <protection/>
    </xf>
    <xf numFmtId="9" fontId="8" fillId="38" borderId="0" xfId="55" applyFont="1" applyFill="1" applyBorder="1" applyAlignment="1" applyProtection="1">
      <alignment/>
      <protection/>
    </xf>
    <xf numFmtId="0" fontId="19" fillId="0" borderId="22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justify" vertical="center" wrapText="1"/>
    </xf>
    <xf numFmtId="6" fontId="0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Alignment="1" applyProtection="1">
      <alignment/>
      <protection/>
    </xf>
    <xf numFmtId="0" fontId="19" fillId="53" borderId="0" xfId="0" applyFont="1" applyFill="1" applyAlignment="1" applyProtection="1">
      <alignment/>
      <protection/>
    </xf>
    <xf numFmtId="170" fontId="62" fillId="53" borderId="88" xfId="51" applyFont="1" applyFill="1" applyBorder="1" applyAlignment="1" applyProtection="1">
      <alignment horizontal="left"/>
      <protection/>
    </xf>
    <xf numFmtId="10" fontId="62" fillId="53" borderId="90" xfId="55" applyNumberFormat="1" applyFont="1" applyFill="1" applyBorder="1" applyAlignment="1" applyProtection="1">
      <alignment horizontal="right"/>
      <protection/>
    </xf>
    <xf numFmtId="0" fontId="140" fillId="41" borderId="0" xfId="0" applyFont="1" applyFill="1" applyBorder="1" applyAlignment="1" applyProtection="1">
      <alignment/>
      <protection/>
    </xf>
    <xf numFmtId="2" fontId="141" fillId="41" borderId="0" xfId="0" applyNumberFormat="1" applyFont="1" applyFill="1" applyBorder="1" applyAlignment="1" applyProtection="1">
      <alignment/>
      <protection hidden="1"/>
    </xf>
    <xf numFmtId="0" fontId="140" fillId="41" borderId="0" xfId="0" applyFont="1" applyFill="1" applyBorder="1" applyAlignment="1" applyProtection="1">
      <alignment/>
      <protection hidden="1"/>
    </xf>
    <xf numFmtId="0" fontId="140" fillId="41" borderId="38" xfId="0" applyFont="1" applyFill="1" applyBorder="1" applyAlignment="1" applyProtection="1">
      <alignment/>
      <protection/>
    </xf>
    <xf numFmtId="0" fontId="162" fillId="41" borderId="38" xfId="0" applyFont="1" applyFill="1" applyBorder="1" applyAlignment="1" applyProtection="1">
      <alignment/>
      <protection/>
    </xf>
    <xf numFmtId="0" fontId="141" fillId="41" borderId="38" xfId="0" applyFont="1" applyFill="1" applyBorder="1" applyAlignment="1" applyProtection="1">
      <alignment horizontal="left"/>
      <protection/>
    </xf>
    <xf numFmtId="0" fontId="141" fillId="41" borderId="0" xfId="0" applyFont="1" applyFill="1" applyBorder="1" applyAlignment="1" applyProtection="1">
      <alignment/>
      <protection/>
    </xf>
    <xf numFmtId="2" fontId="140" fillId="41" borderId="0" xfId="0" applyNumberFormat="1" applyFont="1" applyFill="1" applyBorder="1" applyAlignment="1" applyProtection="1">
      <alignment/>
      <protection hidden="1"/>
    </xf>
    <xf numFmtId="2" fontId="19" fillId="0" borderId="29" xfId="49" applyNumberFormat="1" applyFont="1" applyFill="1" applyBorder="1" applyAlignment="1" applyProtection="1">
      <alignment/>
      <protection locked="0"/>
    </xf>
    <xf numFmtId="204" fontId="162" fillId="0" borderId="14" xfId="0" applyNumberFormat="1" applyFont="1" applyFill="1" applyBorder="1" applyAlignment="1" applyProtection="1">
      <alignment/>
      <protection locked="0"/>
    </xf>
    <xf numFmtId="210" fontId="19" fillId="0" borderId="29" xfId="49" applyNumberFormat="1" applyFont="1" applyFill="1" applyBorder="1" applyAlignment="1" applyProtection="1">
      <alignment/>
      <protection locked="0"/>
    </xf>
    <xf numFmtId="2" fontId="140" fillId="41" borderId="0" xfId="0" applyNumberFormat="1" applyFont="1" applyFill="1" applyBorder="1" applyAlignment="1" applyProtection="1">
      <alignment/>
      <protection/>
    </xf>
    <xf numFmtId="1" fontId="140" fillId="41" borderId="0" xfId="0" applyNumberFormat="1" applyFont="1" applyFill="1" applyBorder="1" applyAlignment="1" applyProtection="1">
      <alignment/>
      <protection/>
    </xf>
    <xf numFmtId="2" fontId="25" fillId="50" borderId="15" xfId="49" applyNumberFormat="1" applyFont="1" applyFill="1" applyBorder="1" applyAlignment="1" applyProtection="1">
      <alignment/>
      <protection locked="0"/>
    </xf>
    <xf numFmtId="17" fontId="183" fillId="50" borderId="0" xfId="0" applyNumberFormat="1" applyFont="1" applyFill="1" applyBorder="1" applyAlignment="1" applyProtection="1" quotePrefix="1">
      <alignment horizontal="center" vertical="center"/>
      <protection locked="0"/>
    </xf>
    <xf numFmtId="10" fontId="0" fillId="0" borderId="0" xfId="0" applyNumberFormat="1" applyFont="1" applyBorder="1" applyAlignment="1" applyProtection="1">
      <alignment/>
      <protection/>
    </xf>
    <xf numFmtId="1" fontId="0" fillId="9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2" fontId="37" fillId="0" borderId="15" xfId="0" applyNumberFormat="1" applyFont="1" applyFill="1" applyBorder="1" applyAlignment="1" applyProtection="1">
      <alignment horizontal="left"/>
      <protection/>
    </xf>
    <xf numFmtId="1" fontId="141" fillId="41" borderId="0" xfId="0" applyNumberFormat="1" applyFont="1" applyFill="1" applyBorder="1" applyAlignment="1" applyProtection="1">
      <alignment/>
      <protection hidden="1"/>
    </xf>
    <xf numFmtId="1" fontId="141" fillId="41" borderId="0" xfId="0" applyNumberFormat="1" applyFont="1" applyFill="1" applyBorder="1" applyAlignment="1" applyProtection="1">
      <alignment/>
      <protection/>
    </xf>
    <xf numFmtId="1" fontId="141" fillId="41" borderId="38" xfId="0" applyNumberFormat="1" applyFont="1" applyFill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211" fontId="3" fillId="0" borderId="0" xfId="55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vertical="center" wrapText="1"/>
    </xf>
    <xf numFmtId="17" fontId="35" fillId="0" borderId="0" xfId="0" applyNumberFormat="1" applyFont="1" applyFill="1" applyBorder="1" applyAlignment="1">
      <alignment vertical="center" wrapText="1"/>
    </xf>
    <xf numFmtId="5" fontId="0" fillId="0" borderId="0" xfId="0" applyNumberFormat="1" applyFont="1" applyFill="1" applyBorder="1" applyAlignment="1" applyProtection="1">
      <alignment/>
      <protection/>
    </xf>
    <xf numFmtId="211" fontId="0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vertical="center" wrapText="1"/>
    </xf>
    <xf numFmtId="9" fontId="0" fillId="0" borderId="0" xfId="55" applyFont="1" applyFill="1" applyBorder="1" applyAlignment="1" applyProtection="1">
      <alignment/>
      <protection/>
    </xf>
    <xf numFmtId="9" fontId="181" fillId="41" borderId="0" xfId="0" applyNumberFormat="1" applyFont="1" applyFill="1" applyBorder="1" applyAlignment="1" applyProtection="1" quotePrefix="1">
      <alignment horizontal="center" vertical="center"/>
      <protection locked="0"/>
    </xf>
    <xf numFmtId="17" fontId="68" fillId="18" borderId="0" xfId="0" applyNumberFormat="1" applyFont="1" applyFill="1" applyAlignment="1" quotePrefix="1">
      <alignment/>
    </xf>
    <xf numFmtId="9" fontId="161" fillId="18" borderId="0" xfId="0" applyNumberFormat="1" applyFont="1" applyFill="1" applyBorder="1" applyAlignment="1" applyProtection="1" quotePrefix="1">
      <alignment horizontal="center" vertical="center"/>
      <protection locked="0"/>
    </xf>
    <xf numFmtId="9" fontId="162" fillId="50" borderId="0" xfId="0" applyNumberFormat="1" applyFont="1" applyFill="1" applyBorder="1" applyAlignment="1" applyProtection="1" quotePrefix="1">
      <alignment horizontal="center" vertical="center"/>
      <protection locked="0"/>
    </xf>
    <xf numFmtId="2" fontId="149" fillId="0" borderId="22" xfId="0" applyNumberFormat="1" applyFont="1" applyFill="1" applyBorder="1" applyAlignment="1" applyProtection="1">
      <alignment horizontal="left"/>
      <protection/>
    </xf>
    <xf numFmtId="0" fontId="7" fillId="0" borderId="124" xfId="0" applyFont="1" applyBorder="1" applyAlignment="1" applyProtection="1">
      <alignment/>
      <protection/>
    </xf>
    <xf numFmtId="2" fontId="4" fillId="0" borderId="125" xfId="0" applyNumberFormat="1" applyFont="1" applyBorder="1" applyAlignment="1" applyProtection="1">
      <alignment horizontal="left"/>
      <protection/>
    </xf>
    <xf numFmtId="0" fontId="1" fillId="0" borderId="126" xfId="0" applyFont="1" applyBorder="1" applyAlignment="1" applyProtection="1">
      <alignment/>
      <protection/>
    </xf>
    <xf numFmtId="170" fontId="4" fillId="0" borderId="127" xfId="51" applyFont="1" applyBorder="1" applyAlignment="1" applyProtection="1">
      <alignment horizontal="right"/>
      <protection/>
    </xf>
    <xf numFmtId="0" fontId="1" fillId="0" borderId="128" xfId="0" applyFont="1" applyBorder="1" applyAlignment="1" applyProtection="1">
      <alignment/>
      <protection/>
    </xf>
    <xf numFmtId="170" fontId="4" fillId="0" borderId="127" xfId="51" applyFont="1" applyBorder="1" applyAlignment="1" applyProtection="1">
      <alignment horizontal="left"/>
      <protection/>
    </xf>
    <xf numFmtId="0" fontId="0" fillId="0" borderId="129" xfId="0" applyFont="1" applyBorder="1" applyAlignment="1" applyProtection="1">
      <alignment/>
      <protection/>
    </xf>
    <xf numFmtId="44" fontId="0" fillId="0" borderId="130" xfId="0" applyNumberFormat="1" applyBorder="1" applyAlignment="1" applyProtection="1">
      <alignment/>
      <protection/>
    </xf>
    <xf numFmtId="0" fontId="1" fillId="0" borderId="129" xfId="0" applyFont="1" applyBorder="1" applyAlignment="1" applyProtection="1">
      <alignment/>
      <protection/>
    </xf>
    <xf numFmtId="2" fontId="4" fillId="0" borderId="130" xfId="0" applyNumberFormat="1" applyFont="1" applyBorder="1" applyAlignment="1" applyProtection="1">
      <alignment horizontal="left"/>
      <protection/>
    </xf>
    <xf numFmtId="2" fontId="4" fillId="0" borderId="130" xfId="0" applyNumberFormat="1" applyFont="1" applyBorder="1" applyAlignment="1" applyProtection="1">
      <alignment horizontal="right"/>
      <protection/>
    </xf>
    <xf numFmtId="2" fontId="4" fillId="0" borderId="129" xfId="0" applyNumberFormat="1" applyFont="1" applyBorder="1" applyAlignment="1" applyProtection="1">
      <alignment horizontal="left"/>
      <protection/>
    </xf>
    <xf numFmtId="180" fontId="19" fillId="0" borderId="129" xfId="0" applyNumberFormat="1" applyFont="1" applyBorder="1" applyAlignment="1" applyProtection="1">
      <alignment/>
      <protection/>
    </xf>
    <xf numFmtId="2" fontId="8" fillId="0" borderId="130" xfId="0" applyNumberFormat="1" applyFont="1" applyBorder="1" applyAlignment="1" applyProtection="1">
      <alignment horizontal="right"/>
      <protection/>
    </xf>
    <xf numFmtId="2" fontId="4" fillId="0" borderId="131" xfId="0" applyNumberFormat="1" applyFont="1" applyBorder="1" applyAlignment="1" applyProtection="1">
      <alignment horizontal="left"/>
      <protection/>
    </xf>
    <xf numFmtId="180" fontId="39" fillId="36" borderId="132" xfId="0" applyNumberFormat="1" applyFont="1" applyFill="1" applyBorder="1" applyAlignment="1" applyProtection="1">
      <alignment/>
      <protection/>
    </xf>
    <xf numFmtId="2" fontId="40" fillId="36" borderId="127" xfId="0" applyNumberFormat="1" applyFont="1" applyFill="1" applyBorder="1" applyAlignment="1" applyProtection="1">
      <alignment horizontal="right"/>
      <protection/>
    </xf>
    <xf numFmtId="0" fontId="0" fillId="0" borderId="133" xfId="0" applyBorder="1" applyAlignment="1" applyProtection="1">
      <alignment/>
      <protection/>
    </xf>
    <xf numFmtId="2" fontId="118" fillId="36" borderId="134" xfId="0" applyNumberFormat="1" applyFont="1" applyFill="1" applyBorder="1" applyAlignment="1" applyProtection="1">
      <alignment horizontal="left"/>
      <protection/>
    </xf>
    <xf numFmtId="2" fontId="119" fillId="36" borderId="134" xfId="0" applyNumberFormat="1" applyFont="1" applyFill="1" applyBorder="1" applyAlignment="1" applyProtection="1">
      <alignment horizontal="left"/>
      <protection/>
    </xf>
    <xf numFmtId="9" fontId="184" fillId="50" borderId="0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37</xdr:row>
      <xdr:rowOff>104775</xdr:rowOff>
    </xdr:from>
    <xdr:to>
      <xdr:col>5</xdr:col>
      <xdr:colOff>638175</xdr:colOff>
      <xdr:row>39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47675" y="6800850"/>
          <a:ext cx="5343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123825</xdr:rowOff>
    </xdr:from>
    <xdr:to>
      <xdr:col>6</xdr:col>
      <xdr:colOff>9525</xdr:colOff>
      <xdr:row>32</xdr:row>
      <xdr:rowOff>47625</xdr:rowOff>
    </xdr:to>
    <xdr:sp>
      <xdr:nvSpPr>
        <xdr:cNvPr id="1" name="WordArt 1027"/>
        <xdr:cNvSpPr>
          <a:spLocks/>
        </xdr:cNvSpPr>
      </xdr:nvSpPr>
      <xdr:spPr>
        <a:xfrm>
          <a:off x="514350" y="5276850"/>
          <a:ext cx="47815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30</xdr:row>
      <xdr:rowOff>104775</xdr:rowOff>
    </xdr:from>
    <xdr:to>
      <xdr:col>5</xdr:col>
      <xdr:colOff>228600</xdr:colOff>
      <xdr:row>32</xdr:row>
      <xdr:rowOff>28575</xdr:rowOff>
    </xdr:to>
    <xdr:sp>
      <xdr:nvSpPr>
        <xdr:cNvPr id="1" name="WordArt 3"/>
        <xdr:cNvSpPr>
          <a:spLocks/>
        </xdr:cNvSpPr>
      </xdr:nvSpPr>
      <xdr:spPr>
        <a:xfrm>
          <a:off x="514350" y="5391150"/>
          <a:ext cx="42957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escargas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hyperlink" Target="https://www.facebook.com/agmeruruguay-188015884570012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Q361"/>
  <sheetViews>
    <sheetView showGridLines="0" tabSelected="1" zoomScale="85" zoomScaleNormal="85" zoomScaleSheetLayoutView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8.421875" style="1" customWidth="1"/>
    <col min="2" max="2" width="17.140625" style="1" customWidth="1"/>
    <col min="3" max="3" width="21.7109375" style="1" customWidth="1"/>
    <col min="4" max="4" width="32.421875" style="1" customWidth="1"/>
    <col min="5" max="5" width="22.57421875" style="1" customWidth="1"/>
    <col min="6" max="6" width="24.8515625" style="1" customWidth="1"/>
    <col min="7" max="7" width="11.00390625" style="1" customWidth="1"/>
    <col min="8" max="8" width="22.57421875" style="1" customWidth="1"/>
    <col min="9" max="9" width="25.00390625" style="1" customWidth="1"/>
    <col min="10" max="10" width="15.57421875" style="1" customWidth="1"/>
    <col min="11" max="12" width="22.57421875" style="1" customWidth="1"/>
    <col min="13" max="13" width="12.421875" style="1" customWidth="1"/>
    <col min="14" max="15" width="22.57421875" style="1" customWidth="1"/>
    <col min="16" max="16" width="15.140625" style="1" customWidth="1"/>
    <col min="17" max="18" width="22.57421875" style="1" customWidth="1"/>
    <col min="19" max="19" width="18.421875" style="1" customWidth="1"/>
    <col min="20" max="21" width="22.57421875" style="1" customWidth="1"/>
    <col min="22" max="22" width="12.421875" style="1" customWidth="1"/>
    <col min="23" max="23" width="27.57421875" style="1" customWidth="1"/>
    <col min="24" max="24" width="23.00390625" style="1" customWidth="1"/>
    <col min="25" max="25" width="15.8515625" style="1" customWidth="1"/>
    <col min="26" max="30" width="18.28125" style="1" customWidth="1"/>
    <col min="31" max="31" width="25.140625" style="1" bestFit="1" customWidth="1"/>
    <col min="32" max="33" width="18.28125" style="1" customWidth="1"/>
    <col min="34" max="34" width="13.140625" style="1" customWidth="1"/>
    <col min="35" max="35" width="10.7109375" style="1" customWidth="1"/>
    <col min="36" max="36" width="19.57421875" style="1" customWidth="1"/>
    <col min="37" max="37" width="16.140625" style="1" customWidth="1"/>
    <col min="38" max="38" width="14.140625" style="1" customWidth="1"/>
    <col min="39" max="39" width="19.140625" style="1" customWidth="1"/>
    <col min="40" max="40" width="15.28125" style="1" customWidth="1"/>
    <col min="41" max="41" width="14.00390625" style="1" customWidth="1"/>
    <col min="42" max="42" width="11.421875" style="1" customWidth="1"/>
    <col min="43" max="43" width="17.57421875" style="1" customWidth="1"/>
    <col min="44" max="46" width="11.421875" style="1" customWidth="1"/>
    <col min="47" max="47" width="14.57421875" style="1" customWidth="1"/>
    <col min="48" max="48" width="12.421875" style="1" bestFit="1" customWidth="1"/>
    <col min="49" max="49" width="11.421875" style="1" customWidth="1"/>
    <col min="50" max="50" width="14.00390625" style="1" bestFit="1" customWidth="1"/>
    <col min="51" max="16384" width="11.421875" style="1" customWidth="1"/>
  </cols>
  <sheetData>
    <row r="1" spans="1:30" s="463" customFormat="1" ht="33" customHeight="1" thickTop="1">
      <c r="A1" s="462"/>
      <c r="B1" s="476"/>
      <c r="C1" s="473"/>
      <c r="D1" s="740"/>
      <c r="E1" s="832">
        <v>44470</v>
      </c>
      <c r="F1" s="804">
        <v>0.1</v>
      </c>
      <c r="G1" s="806"/>
      <c r="H1" s="805">
        <v>44440</v>
      </c>
      <c r="I1" s="804">
        <v>0.1</v>
      </c>
      <c r="J1" s="806"/>
      <c r="K1" s="805">
        <v>44378</v>
      </c>
      <c r="L1" s="803">
        <v>0.07</v>
      </c>
      <c r="M1" s="676"/>
      <c r="N1" s="805">
        <v>44317</v>
      </c>
      <c r="O1" s="803">
        <v>0.08</v>
      </c>
      <c r="P1" s="848"/>
      <c r="Q1" s="873" t="s">
        <v>522</v>
      </c>
      <c r="R1" s="851" t="s">
        <v>523</v>
      </c>
      <c r="S1" s="848"/>
      <c r="T1" s="726" t="s">
        <v>512</v>
      </c>
      <c r="U1" s="727"/>
      <c r="V1" s="676"/>
      <c r="W1" s="681" t="s">
        <v>504</v>
      </c>
      <c r="X1" s="682"/>
      <c r="Y1" s="676"/>
      <c r="Z1" s="737"/>
      <c r="AA1" s="737"/>
      <c r="AB1" s="736"/>
      <c r="AC1" s="738"/>
      <c r="AD1" s="739"/>
    </row>
    <row r="2" spans="1:11" ht="30.75" thickBot="1">
      <c r="A2" s="406" t="s">
        <v>486</v>
      </c>
      <c r="B2" s="405"/>
      <c r="C2" s="405"/>
      <c r="D2" s="354"/>
      <c r="E2" s="356"/>
      <c r="F2" s="152"/>
      <c r="G2" s="152"/>
      <c r="H2" s="152"/>
      <c r="I2" s="152"/>
      <c r="J2" s="153"/>
      <c r="K2" s="398"/>
    </row>
    <row r="3" spans="1:3" s="475" customFormat="1" ht="20.25">
      <c r="A3" s="677" t="s">
        <v>521</v>
      </c>
      <c r="B3" s="474"/>
      <c r="C3" s="474"/>
    </row>
    <row r="4" spans="1:6" s="4" customFormat="1" ht="12.75">
      <c r="A4" s="672"/>
      <c r="B4" s="673"/>
      <c r="C4" s="673"/>
      <c r="D4" s="674"/>
      <c r="E4" s="675"/>
      <c r="F4" s="675"/>
    </row>
    <row r="5" spans="1:6" ht="30">
      <c r="A5" s="657" t="s">
        <v>532</v>
      </c>
      <c r="B5" s="455"/>
      <c r="C5" s="455"/>
      <c r="D5" s="456"/>
      <c r="E5" s="457"/>
      <c r="F5" s="457"/>
    </row>
    <row r="6" spans="1:17" ht="15.75">
      <c r="A6" s="165" t="s">
        <v>347</v>
      </c>
      <c r="B6" s="448"/>
      <c r="C6" s="448"/>
      <c r="D6" s="382">
        <v>1</v>
      </c>
      <c r="E6" s="382">
        <v>2</v>
      </c>
      <c r="F6" s="382">
        <v>3</v>
      </c>
      <c r="G6" s="382">
        <v>4</v>
      </c>
      <c r="H6" s="382">
        <v>5</v>
      </c>
      <c r="I6" s="382">
        <v>6</v>
      </c>
      <c r="J6" s="382">
        <v>7</v>
      </c>
      <c r="K6" s="382"/>
      <c r="L6" s="382">
        <v>8</v>
      </c>
      <c r="M6" s="382">
        <v>9</v>
      </c>
      <c r="N6" s="382">
        <v>10</v>
      </c>
      <c r="O6" s="382"/>
      <c r="P6" s="382">
        <v>11</v>
      </c>
      <c r="Q6" s="382">
        <v>12</v>
      </c>
    </row>
    <row r="7" spans="1:7" ht="30.75" customHeight="1">
      <c r="A7" s="741"/>
      <c r="B7" s="448"/>
      <c r="C7" s="448"/>
      <c r="D7" s="7"/>
      <c r="E7" s="7"/>
      <c r="F7" s="7"/>
      <c r="G7" s="7"/>
    </row>
    <row r="8" spans="1:7" ht="15">
      <c r="A8" s="376" t="s">
        <v>479</v>
      </c>
      <c r="B8" s="7"/>
      <c r="C8" s="7"/>
      <c r="D8" s="7"/>
      <c r="E8" s="7"/>
      <c r="F8" s="7"/>
      <c r="G8" s="7"/>
    </row>
    <row r="9" spans="1:12" ht="23.25">
      <c r="A9" s="116"/>
      <c r="B9" s="6"/>
      <c r="C9" s="6"/>
      <c r="D9" s="7"/>
      <c r="E9" s="7"/>
      <c r="F9" s="7"/>
      <c r="G9" s="7"/>
      <c r="L9" s="285"/>
    </row>
    <row r="10" spans="1:12" ht="23.25">
      <c r="A10" s="369" t="s">
        <v>382</v>
      </c>
      <c r="B10" s="6"/>
      <c r="C10" s="6"/>
      <c r="G10" s="7"/>
      <c r="L10" s="285"/>
    </row>
    <row r="11" spans="1:12" ht="23.25" hidden="1">
      <c r="A11" s="6"/>
      <c r="B11" s="6"/>
      <c r="C11" s="6"/>
      <c r="G11" s="7"/>
      <c r="L11" s="285"/>
    </row>
    <row r="12" spans="1:28" ht="24" customHeight="1" hidden="1">
      <c r="A12" s="13"/>
      <c r="J12" s="9"/>
      <c r="K12" s="9"/>
      <c r="L12" s="45"/>
      <c r="N12" s="285"/>
      <c r="O12" s="285"/>
      <c r="Z12" s="7"/>
      <c r="AA12" s="7"/>
      <c r="AB12" s="7"/>
    </row>
    <row r="13" spans="1:28" ht="12" customHeight="1" hidden="1">
      <c r="A13" s="13"/>
      <c r="I13" s="387"/>
      <c r="J13" s="9"/>
      <c r="K13" s="9"/>
      <c r="L13" s="45"/>
      <c r="N13" s="285"/>
      <c r="O13" s="285"/>
      <c r="Z13" s="7"/>
      <c r="AA13" s="7"/>
      <c r="AB13" s="7"/>
    </row>
    <row r="14" spans="1:26" ht="12" customHeight="1" hidden="1">
      <c r="A14" s="13"/>
      <c r="J14" s="9"/>
      <c r="K14" s="45"/>
      <c r="M14" s="285"/>
      <c r="X14" s="7"/>
      <c r="Y14" s="7"/>
      <c r="Z14" s="7"/>
    </row>
    <row r="15" spans="1:26" ht="12" customHeight="1" hidden="1" thickBot="1">
      <c r="A15" s="13"/>
      <c r="J15" s="9"/>
      <c r="K15" s="45"/>
      <c r="M15" s="285"/>
      <c r="X15" s="7"/>
      <c r="Y15" s="7"/>
      <c r="Z15" s="7"/>
    </row>
    <row r="16" spans="1:26" ht="18" customHeight="1" hidden="1" thickBot="1">
      <c r="A16" s="13"/>
      <c r="D16" s="56" t="s">
        <v>341</v>
      </c>
      <c r="E16" s="128"/>
      <c r="I16" s="388">
        <v>43831</v>
      </c>
      <c r="J16" s="9"/>
      <c r="K16" s="45"/>
      <c r="L16" s="388">
        <v>43831</v>
      </c>
      <c r="M16" s="285"/>
      <c r="S16" s="388">
        <v>43862</v>
      </c>
      <c r="T16" s="97"/>
      <c r="U16" s="97"/>
      <c r="V16" s="97"/>
      <c r="W16" s="97"/>
      <c r="X16" s="3"/>
      <c r="Y16" s="7"/>
      <c r="Z16" s="7"/>
    </row>
    <row r="17" spans="1:26" ht="12" customHeight="1" hidden="1" thickBot="1" thickTop="1">
      <c r="A17" s="13"/>
      <c r="D17" s="58" t="s">
        <v>342</v>
      </c>
      <c r="E17" s="57" t="s">
        <v>343</v>
      </c>
      <c r="I17" s="272" t="s">
        <v>366</v>
      </c>
      <c r="J17" s="46" t="s">
        <v>361</v>
      </c>
      <c r="K17" s="46" t="s">
        <v>362</v>
      </c>
      <c r="L17" s="274" t="s">
        <v>352</v>
      </c>
      <c r="M17" s="313" t="s">
        <v>353</v>
      </c>
      <c r="N17" s="274" t="s">
        <v>355</v>
      </c>
      <c r="O17" s="274" t="s">
        <v>354</v>
      </c>
      <c r="P17" s="274" t="s">
        <v>363</v>
      </c>
      <c r="Q17" s="274" t="s">
        <v>364</v>
      </c>
      <c r="R17" s="129" t="s">
        <v>365</v>
      </c>
      <c r="S17" s="445">
        <v>1</v>
      </c>
      <c r="T17" s="445">
        <v>2</v>
      </c>
      <c r="U17" s="445">
        <v>3</v>
      </c>
      <c r="V17" s="445">
        <v>4</v>
      </c>
      <c r="W17" s="445">
        <v>5</v>
      </c>
      <c r="X17" s="3"/>
      <c r="Y17" s="7"/>
      <c r="Z17" s="7"/>
    </row>
    <row r="18" spans="1:26" ht="12" customHeight="1" hidden="1">
      <c r="A18" s="13"/>
      <c r="D18" s="52">
        <v>0</v>
      </c>
      <c r="E18" s="50">
        <v>0</v>
      </c>
      <c r="H18" s="138">
        <v>0</v>
      </c>
      <c r="I18" s="314">
        <f aca="true" t="shared" si="0" ref="I18:I29">IF(OR(puntosproljor&lt;620,nina=1),W18,R18)</f>
        <v>4308</v>
      </c>
      <c r="J18" s="461">
        <v>4308</v>
      </c>
      <c r="K18" s="461">
        <v>1834.3606557377052</v>
      </c>
      <c r="L18" s="461">
        <v>0</v>
      </c>
      <c r="M18" s="461">
        <v>0</v>
      </c>
      <c r="N18" s="461">
        <v>0</v>
      </c>
      <c r="O18" s="461">
        <v>0</v>
      </c>
      <c r="P18" s="461">
        <v>3109.370491803279</v>
      </c>
      <c r="Q18" s="461">
        <v>2321.3704918032786</v>
      </c>
      <c r="R18" s="273">
        <f aca="true" t="shared" si="1" ref="R18:R29">IF(PUNTOSbasicos&gt;971,Q18,P18)</f>
        <v>3109.370491803279</v>
      </c>
      <c r="S18" s="444">
        <f aca="true" t="shared" si="2" ref="S18:S29">IF(PUNTOSbasicos&lt;972,J18,K18)</f>
        <v>4308</v>
      </c>
      <c r="T18" s="444">
        <f aca="true" t="shared" si="3" ref="T18:T29">IF(PUNTOSbasicos&lt;1170,S18,L18)</f>
        <v>4308</v>
      </c>
      <c r="U18" s="444">
        <f aca="true" t="shared" si="4" ref="U18:U29">IF(PUNTOSbasicos&lt;1401,T18,M18)</f>
        <v>4308</v>
      </c>
      <c r="V18" s="444">
        <f aca="true" t="shared" si="5" ref="V18:V29">IF(PUNTOSbasicos&lt;1943,U18,N18)</f>
        <v>4308</v>
      </c>
      <c r="W18" s="444">
        <f aca="true" t="shared" si="6" ref="W18:W29">IF(PUNTOSbasicos&lt;=2220,V18,O18)</f>
        <v>4308</v>
      </c>
      <c r="X18" s="3"/>
      <c r="Y18" s="7"/>
      <c r="Z18" s="7"/>
    </row>
    <row r="19" spans="1:26" ht="12" customHeight="1" hidden="1">
      <c r="A19" s="13"/>
      <c r="D19" s="53">
        <v>1</v>
      </c>
      <c r="E19" s="51">
        <v>0.1</v>
      </c>
      <c r="H19" s="139">
        <v>0.1</v>
      </c>
      <c r="I19" s="314">
        <f t="shared" si="0"/>
        <v>6242</v>
      </c>
      <c r="J19" s="461">
        <v>6242</v>
      </c>
      <c r="K19" s="461">
        <v>1984.2098360655739</v>
      </c>
      <c r="L19" s="461">
        <v>0</v>
      </c>
      <c r="M19" s="461">
        <v>0</v>
      </c>
      <c r="N19" s="461">
        <v>0</v>
      </c>
      <c r="O19" s="461">
        <v>0</v>
      </c>
      <c r="P19" s="461">
        <v>3259.2196721311475</v>
      </c>
      <c r="Q19" s="461">
        <v>2471.2196721311475</v>
      </c>
      <c r="R19" s="273">
        <f t="shared" si="1"/>
        <v>3259.2196721311475</v>
      </c>
      <c r="S19" s="444">
        <f t="shared" si="2"/>
        <v>6242</v>
      </c>
      <c r="T19" s="444">
        <f t="shared" si="3"/>
        <v>6242</v>
      </c>
      <c r="U19" s="444">
        <f t="shared" si="4"/>
        <v>6242</v>
      </c>
      <c r="V19" s="444">
        <f t="shared" si="5"/>
        <v>6242</v>
      </c>
      <c r="W19" s="444">
        <f t="shared" si="6"/>
        <v>6242</v>
      </c>
      <c r="X19" s="3"/>
      <c r="Y19" s="7"/>
      <c r="Z19" s="7"/>
    </row>
    <row r="20" spans="1:26" ht="12" customHeight="1" hidden="1">
      <c r="A20" s="13"/>
      <c r="D20" s="53">
        <v>2</v>
      </c>
      <c r="E20" s="51">
        <v>0.15</v>
      </c>
      <c r="H20" s="140">
        <v>0.15</v>
      </c>
      <c r="I20" s="314">
        <f t="shared" si="0"/>
        <v>7453.704918032788</v>
      </c>
      <c r="J20" s="461">
        <v>7453.704918032788</v>
      </c>
      <c r="K20" s="461">
        <v>3318.64262295082</v>
      </c>
      <c r="L20" s="461">
        <v>4197.068852459017</v>
      </c>
      <c r="M20" s="461">
        <v>3500.786885245903</v>
      </c>
      <c r="N20" s="461">
        <v>3796.609836065574</v>
      </c>
      <c r="O20" s="461">
        <v>0</v>
      </c>
      <c r="P20" s="461">
        <v>5193.04918032787</v>
      </c>
      <c r="Q20" s="461">
        <v>4406.340983606558</v>
      </c>
      <c r="R20" s="273">
        <f t="shared" si="1"/>
        <v>5193.04918032787</v>
      </c>
      <c r="S20" s="444">
        <f t="shared" si="2"/>
        <v>7453.704918032788</v>
      </c>
      <c r="T20" s="444">
        <f t="shared" si="3"/>
        <v>7453.704918032788</v>
      </c>
      <c r="U20" s="444">
        <f t="shared" si="4"/>
        <v>7453.704918032788</v>
      </c>
      <c r="V20" s="444">
        <f t="shared" si="5"/>
        <v>7453.704918032788</v>
      </c>
      <c r="W20" s="444">
        <f t="shared" si="6"/>
        <v>7453.704918032788</v>
      </c>
      <c r="X20" s="3"/>
      <c r="Y20" s="7"/>
      <c r="Z20" s="7"/>
    </row>
    <row r="21" spans="1:26" ht="12" customHeight="1" hidden="1">
      <c r="A21" s="13"/>
      <c r="D21" s="53">
        <v>5</v>
      </c>
      <c r="E21" s="51">
        <v>0.3</v>
      </c>
      <c r="H21" s="140">
        <v>0.3</v>
      </c>
      <c r="I21" s="314">
        <f t="shared" si="0"/>
        <v>7953.632786885245</v>
      </c>
      <c r="J21" s="461">
        <v>7953.632786885245</v>
      </c>
      <c r="K21" s="461">
        <v>3531.7901639344263</v>
      </c>
      <c r="L21" s="461">
        <v>4197.068852459017</v>
      </c>
      <c r="M21" s="461">
        <v>3500.786885245903</v>
      </c>
      <c r="N21" s="461">
        <v>3796.609836065574</v>
      </c>
      <c r="O21" s="461">
        <v>0</v>
      </c>
      <c r="P21" s="461">
        <v>7573.84262295082</v>
      </c>
      <c r="Q21" s="461">
        <v>6340.170491803279</v>
      </c>
      <c r="R21" s="273">
        <f t="shared" si="1"/>
        <v>7573.84262295082</v>
      </c>
      <c r="S21" s="444">
        <f t="shared" si="2"/>
        <v>7953.632786885245</v>
      </c>
      <c r="T21" s="444">
        <f t="shared" si="3"/>
        <v>7953.632786885245</v>
      </c>
      <c r="U21" s="444">
        <f t="shared" si="4"/>
        <v>7953.632786885245</v>
      </c>
      <c r="V21" s="444">
        <f t="shared" si="5"/>
        <v>7953.632786885245</v>
      </c>
      <c r="W21" s="444">
        <f t="shared" si="6"/>
        <v>7953.632786885245</v>
      </c>
      <c r="X21" s="3"/>
      <c r="Y21" s="7"/>
      <c r="Z21" s="7"/>
    </row>
    <row r="22" spans="1:26" ht="12" customHeight="1" hidden="1">
      <c r="A22" s="13"/>
      <c r="D22" s="53">
        <v>7</v>
      </c>
      <c r="E22" s="51">
        <v>0.4</v>
      </c>
      <c r="H22" s="140">
        <v>0.4</v>
      </c>
      <c r="I22" s="314">
        <f t="shared" si="0"/>
        <v>7143.672131147541</v>
      </c>
      <c r="J22" s="461">
        <v>7143.672131147541</v>
      </c>
      <c r="K22" s="461">
        <v>3760.439344262296</v>
      </c>
      <c r="L22" s="461">
        <v>4352.08524590164</v>
      </c>
      <c r="M22" s="461">
        <v>3605.422950819673</v>
      </c>
      <c r="N22" s="461">
        <v>3796.609836065574</v>
      </c>
      <c r="O22" s="461">
        <v>3204.9639344262296</v>
      </c>
      <c r="P22" s="461">
        <v>8470.354098360656</v>
      </c>
      <c r="Q22" s="461">
        <v>7086.832786885246</v>
      </c>
      <c r="R22" s="273">
        <f t="shared" si="1"/>
        <v>8470.354098360656</v>
      </c>
      <c r="S22" s="444">
        <f t="shared" si="2"/>
        <v>7143.672131147541</v>
      </c>
      <c r="T22" s="444">
        <f t="shared" si="3"/>
        <v>7143.672131147541</v>
      </c>
      <c r="U22" s="444">
        <f t="shared" si="4"/>
        <v>7143.672131147541</v>
      </c>
      <c r="V22" s="444">
        <f t="shared" si="5"/>
        <v>7143.672131147541</v>
      </c>
      <c r="W22" s="444">
        <f t="shared" si="6"/>
        <v>7143.672131147541</v>
      </c>
      <c r="X22" s="3"/>
      <c r="Y22" s="7"/>
      <c r="Z22" s="7"/>
    </row>
    <row r="23" spans="1:26" ht="12" customHeight="1" hidden="1">
      <c r="A23" s="13"/>
      <c r="D23" s="53">
        <v>10</v>
      </c>
      <c r="E23" s="51">
        <v>0.5</v>
      </c>
      <c r="H23" s="140">
        <v>0.5</v>
      </c>
      <c r="I23" s="314">
        <f t="shared" si="0"/>
        <v>6173.5278688524595</v>
      </c>
      <c r="J23" s="461">
        <v>6173.5278688524595</v>
      </c>
      <c r="K23" s="461">
        <v>4056.2622950819673</v>
      </c>
      <c r="L23" s="461">
        <v>4352.08524590164</v>
      </c>
      <c r="M23" s="461">
        <v>3605.422950819673</v>
      </c>
      <c r="N23" s="461">
        <v>3796.609836065574</v>
      </c>
      <c r="O23" s="461">
        <v>3204.9639344262296</v>
      </c>
      <c r="P23" s="461">
        <v>8989.659016393442</v>
      </c>
      <c r="Q23" s="461">
        <v>7600.970491803278</v>
      </c>
      <c r="R23" s="273">
        <f t="shared" si="1"/>
        <v>8989.659016393442</v>
      </c>
      <c r="S23" s="444">
        <f t="shared" si="2"/>
        <v>6173.5278688524595</v>
      </c>
      <c r="T23" s="444">
        <f t="shared" si="3"/>
        <v>6173.5278688524595</v>
      </c>
      <c r="U23" s="444">
        <f t="shared" si="4"/>
        <v>6173.5278688524595</v>
      </c>
      <c r="V23" s="444">
        <f t="shared" si="5"/>
        <v>6173.5278688524595</v>
      </c>
      <c r="W23" s="444">
        <f t="shared" si="6"/>
        <v>6173.5278688524595</v>
      </c>
      <c r="X23" s="3"/>
      <c r="Y23" s="7"/>
      <c r="Z23" s="7"/>
    </row>
    <row r="24" spans="1:26" ht="12" customHeight="1" hidden="1">
      <c r="A24" s="13"/>
      <c r="D24" s="53">
        <v>12</v>
      </c>
      <c r="E24" s="51">
        <v>0.6</v>
      </c>
      <c r="H24" s="140">
        <v>0.6</v>
      </c>
      <c r="I24" s="314">
        <f t="shared" si="0"/>
        <v>6210.990163934427</v>
      </c>
      <c r="J24" s="461">
        <v>6210.990163934427</v>
      </c>
      <c r="K24" s="461">
        <v>4492.891803278689</v>
      </c>
      <c r="L24" s="461">
        <v>4492.891803278689</v>
      </c>
      <c r="M24" s="461">
        <v>3654.5114754098367</v>
      </c>
      <c r="N24" s="461">
        <v>3941.291803278689</v>
      </c>
      <c r="O24" s="461">
        <v>3491.744262295082</v>
      </c>
      <c r="P24" s="461">
        <v>9508.96393442623</v>
      </c>
      <c r="Q24" s="461">
        <v>7829.619672131148</v>
      </c>
      <c r="R24" s="273">
        <f t="shared" si="1"/>
        <v>9508.96393442623</v>
      </c>
      <c r="S24" s="444">
        <f t="shared" si="2"/>
        <v>6210.990163934427</v>
      </c>
      <c r="T24" s="444">
        <f t="shared" si="3"/>
        <v>6210.990163934427</v>
      </c>
      <c r="U24" s="444">
        <f t="shared" si="4"/>
        <v>6210.990163934427</v>
      </c>
      <c r="V24" s="444">
        <f t="shared" si="5"/>
        <v>6210.990163934427</v>
      </c>
      <c r="W24" s="444">
        <f t="shared" si="6"/>
        <v>6210.990163934427</v>
      </c>
      <c r="X24" s="3"/>
      <c r="Y24" s="7"/>
      <c r="Z24" s="7"/>
    </row>
    <row r="25" spans="1:26" ht="16.5" customHeight="1" hidden="1">
      <c r="A25" s="13"/>
      <c r="D25" s="53">
        <v>15</v>
      </c>
      <c r="E25" s="51">
        <v>0.7</v>
      </c>
      <c r="H25" s="140">
        <v>0.7</v>
      </c>
      <c r="I25" s="314">
        <f t="shared" si="0"/>
        <v>5924.209836065575</v>
      </c>
      <c r="J25" s="461">
        <v>5924.209836065575</v>
      </c>
      <c r="K25" s="461">
        <v>4861.055737704919</v>
      </c>
      <c r="L25" s="461">
        <v>6035.304918032788</v>
      </c>
      <c r="M25" s="461">
        <v>4056.2622950819673</v>
      </c>
      <c r="N25" s="461">
        <v>3941.291803278689</v>
      </c>
      <c r="O25" s="461">
        <v>3491.744262295082</v>
      </c>
      <c r="P25" s="461">
        <v>9736.32131147541</v>
      </c>
      <c r="Q25" s="461">
        <v>8056.977049180329</v>
      </c>
      <c r="R25" s="273">
        <f t="shared" si="1"/>
        <v>9736.32131147541</v>
      </c>
      <c r="S25" s="444">
        <f t="shared" si="2"/>
        <v>5924.209836065575</v>
      </c>
      <c r="T25" s="444">
        <f t="shared" si="3"/>
        <v>5924.209836065575</v>
      </c>
      <c r="U25" s="444">
        <f t="shared" si="4"/>
        <v>5924.209836065575</v>
      </c>
      <c r="V25" s="444">
        <f t="shared" si="5"/>
        <v>5924.209836065575</v>
      </c>
      <c r="W25" s="444">
        <f t="shared" si="6"/>
        <v>5924.209836065575</v>
      </c>
      <c r="X25" s="3"/>
      <c r="Y25" s="7"/>
      <c r="Z25" s="7"/>
    </row>
    <row r="26" spans="1:28" ht="12" customHeight="1" hidden="1">
      <c r="A26" s="6"/>
      <c r="D26" s="53">
        <v>17</v>
      </c>
      <c r="E26" s="51">
        <v>0.8</v>
      </c>
      <c r="H26" s="140">
        <v>0.8</v>
      </c>
      <c r="I26" s="314">
        <f t="shared" si="0"/>
        <v>7185.009836065574</v>
      </c>
      <c r="J26" s="461">
        <v>7185.009836065574</v>
      </c>
      <c r="K26" s="461">
        <v>5748.5245901639355</v>
      </c>
      <c r="L26" s="461">
        <v>6491.311475409837</v>
      </c>
      <c r="M26" s="461">
        <v>5671.016393442623</v>
      </c>
      <c r="N26" s="461">
        <v>5261.514754098362</v>
      </c>
      <c r="O26" s="461">
        <v>3796.609836065574</v>
      </c>
      <c r="P26" s="461">
        <v>10172.95081967213</v>
      </c>
      <c r="Q26" s="461">
        <v>8202.950819672133</v>
      </c>
      <c r="R26" s="273">
        <f t="shared" si="1"/>
        <v>10172.95081967213</v>
      </c>
      <c r="S26" s="444">
        <f t="shared" si="2"/>
        <v>7185.009836065574</v>
      </c>
      <c r="T26" s="444">
        <f t="shared" si="3"/>
        <v>7185.009836065574</v>
      </c>
      <c r="U26" s="444">
        <f t="shared" si="4"/>
        <v>7185.009836065574</v>
      </c>
      <c r="V26" s="444">
        <f t="shared" si="5"/>
        <v>7185.009836065574</v>
      </c>
      <c r="W26" s="444">
        <f t="shared" si="6"/>
        <v>7185.009836065574</v>
      </c>
      <c r="X26" s="5"/>
      <c r="Z26" s="7"/>
      <c r="AA26" s="7"/>
      <c r="AB26" s="7"/>
    </row>
    <row r="27" spans="1:35" ht="12" customHeight="1" hidden="1">
      <c r="A27" s="6"/>
      <c r="D27" s="53">
        <v>20</v>
      </c>
      <c r="E27" s="51">
        <v>1</v>
      </c>
      <c r="H27" s="140">
        <v>1</v>
      </c>
      <c r="I27" s="314">
        <f t="shared" si="0"/>
        <v>9001.28524590164</v>
      </c>
      <c r="J27" s="461">
        <v>9001.28524590164</v>
      </c>
      <c r="K27" s="461">
        <v>7068.747540983606</v>
      </c>
      <c r="L27" s="461">
        <v>6704.459016393443</v>
      </c>
      <c r="M27" s="461">
        <v>5526.3344262295095</v>
      </c>
      <c r="N27" s="461">
        <v>5708.47868852459</v>
      </c>
      <c r="O27" s="461">
        <v>3796.609836065574</v>
      </c>
      <c r="P27" s="461">
        <v>10701.298360655737</v>
      </c>
      <c r="Q27" s="461">
        <v>8421.265573770492</v>
      </c>
      <c r="R27" s="273">
        <f t="shared" si="1"/>
        <v>10701.298360655737</v>
      </c>
      <c r="S27" s="444">
        <f t="shared" si="2"/>
        <v>9001.28524590164</v>
      </c>
      <c r="T27" s="444">
        <f t="shared" si="3"/>
        <v>9001.28524590164</v>
      </c>
      <c r="U27" s="444">
        <f t="shared" si="4"/>
        <v>9001.28524590164</v>
      </c>
      <c r="V27" s="444">
        <f t="shared" si="5"/>
        <v>9001.28524590164</v>
      </c>
      <c r="W27" s="444">
        <f t="shared" si="6"/>
        <v>9001.28524590164</v>
      </c>
      <c r="X27" s="5"/>
      <c r="AG27" s="7"/>
      <c r="AH27" s="7"/>
      <c r="AI27" s="7"/>
    </row>
    <row r="28" spans="1:24" ht="12" customHeight="1" hidden="1">
      <c r="A28" s="6"/>
      <c r="D28" s="53">
        <v>22</v>
      </c>
      <c r="E28" s="51">
        <v>1.1</v>
      </c>
      <c r="H28" s="140">
        <v>1.1</v>
      </c>
      <c r="I28" s="314">
        <f t="shared" si="0"/>
        <v>10116.111475409838</v>
      </c>
      <c r="J28" s="461">
        <v>10116.111475409838</v>
      </c>
      <c r="K28" s="461">
        <v>7961.383606557379</v>
      </c>
      <c r="L28" s="461">
        <v>7005.44918032787</v>
      </c>
      <c r="M28" s="461">
        <v>5526.3344262295095</v>
      </c>
      <c r="N28" s="461">
        <v>5858.32786885246</v>
      </c>
      <c r="O28" s="461">
        <v>3941.291803278689</v>
      </c>
      <c r="P28" s="461">
        <v>11069.462295081968</v>
      </c>
      <c r="Q28" s="461">
        <v>8643.455737704917</v>
      </c>
      <c r="R28" s="273">
        <f t="shared" si="1"/>
        <v>11069.462295081968</v>
      </c>
      <c r="S28" s="444">
        <f t="shared" si="2"/>
        <v>10116.111475409838</v>
      </c>
      <c r="T28" s="444">
        <f t="shared" si="3"/>
        <v>10116.111475409838</v>
      </c>
      <c r="U28" s="444">
        <f t="shared" si="4"/>
        <v>10116.111475409838</v>
      </c>
      <c r="V28" s="444">
        <f t="shared" si="5"/>
        <v>10116.111475409838</v>
      </c>
      <c r="W28" s="444">
        <f t="shared" si="6"/>
        <v>10116.111475409838</v>
      </c>
      <c r="X28" s="5"/>
    </row>
    <row r="29" spans="1:24" ht="12" customHeight="1" hidden="1" thickBot="1">
      <c r="A29" s="6"/>
      <c r="D29" s="54">
        <v>24</v>
      </c>
      <c r="E29" s="55">
        <v>1.2</v>
      </c>
      <c r="H29" s="141">
        <v>1.2</v>
      </c>
      <c r="I29" s="314">
        <f t="shared" si="0"/>
        <v>10471.35737704918</v>
      </c>
      <c r="J29" s="461">
        <v>10471.35737704918</v>
      </c>
      <c r="K29" s="461">
        <v>8179.698360655739</v>
      </c>
      <c r="L29" s="461">
        <v>7734.0262295081975</v>
      </c>
      <c r="M29" s="461">
        <v>5598.675409836066</v>
      </c>
      <c r="N29" s="461">
        <v>6004.301639344263</v>
      </c>
      <c r="O29" s="461">
        <v>3941.291803278689</v>
      </c>
      <c r="P29" s="461">
        <v>11143.095081967214</v>
      </c>
      <c r="Q29" s="461">
        <v>8726.131147540984</v>
      </c>
      <c r="R29" s="273">
        <f t="shared" si="1"/>
        <v>11143.095081967214</v>
      </c>
      <c r="S29" s="444">
        <f t="shared" si="2"/>
        <v>10471.35737704918</v>
      </c>
      <c r="T29" s="444">
        <f t="shared" si="3"/>
        <v>10471.35737704918</v>
      </c>
      <c r="U29" s="444">
        <f t="shared" si="4"/>
        <v>10471.35737704918</v>
      </c>
      <c r="V29" s="444">
        <f t="shared" si="5"/>
        <v>10471.35737704918</v>
      </c>
      <c r="W29" s="444">
        <f t="shared" si="6"/>
        <v>10471.35737704918</v>
      </c>
      <c r="X29" s="5"/>
    </row>
    <row r="30" spans="1:24" ht="12" customHeight="1" hidden="1" thickBot="1">
      <c r="A30" s="6"/>
      <c r="D30" s="808"/>
      <c r="E30" s="809"/>
      <c r="H30" s="810"/>
      <c r="I30" s="458"/>
      <c r="J30" s="754"/>
      <c r="K30" s="754"/>
      <c r="L30" s="754"/>
      <c r="M30" s="754"/>
      <c r="N30" s="754"/>
      <c r="O30" s="754"/>
      <c r="P30" s="754"/>
      <c r="Q30" s="754"/>
      <c r="R30" s="459"/>
      <c r="S30" s="459"/>
      <c r="T30" s="459"/>
      <c r="U30" s="459"/>
      <c r="V30" s="459"/>
      <c r="W30" s="459"/>
      <c r="X30" s="5"/>
    </row>
    <row r="31" spans="1:24" ht="12" customHeight="1" hidden="1">
      <c r="A31" s="6"/>
      <c r="D31" s="808"/>
      <c r="E31" s="809"/>
      <c r="H31" s="138">
        <v>0</v>
      </c>
      <c r="I31" s="458"/>
      <c r="J31" s="835">
        <f aca="true" t="shared" si="7" ref="J31:Q31">J47-J18*1.15</f>
        <v>4999.8</v>
      </c>
      <c r="K31" s="835">
        <f t="shared" si="7"/>
        <v>5000.485245901639</v>
      </c>
      <c r="L31" s="97">
        <f t="shared" si="7"/>
        <v>0</v>
      </c>
      <c r="M31" s="97">
        <f t="shared" si="7"/>
        <v>0</v>
      </c>
      <c r="N31" s="97">
        <f t="shared" si="7"/>
        <v>0</v>
      </c>
      <c r="O31" s="97">
        <f t="shared" si="7"/>
        <v>0</v>
      </c>
      <c r="P31" s="834">
        <f t="shared" si="7"/>
        <v>4374.223934426229</v>
      </c>
      <c r="Q31" s="834">
        <f t="shared" si="7"/>
        <v>4375.42393442623</v>
      </c>
      <c r="R31" s="459"/>
      <c r="S31" s="459"/>
      <c r="T31" s="459"/>
      <c r="U31" s="459"/>
      <c r="V31" s="459"/>
      <c r="W31" s="459"/>
      <c r="X31" s="5"/>
    </row>
    <row r="32" spans="1:24" ht="12" customHeight="1" hidden="1">
      <c r="A32" s="6"/>
      <c r="D32" s="808"/>
      <c r="E32" s="809"/>
      <c r="H32" s="139">
        <v>0.1</v>
      </c>
      <c r="I32" s="458"/>
      <c r="J32" s="835">
        <f aca="true" t="shared" si="8" ref="J32:N42">J48-J19*1.15</f>
        <v>5000.700000000001</v>
      </c>
      <c r="K32" s="835">
        <f t="shared" si="8"/>
        <v>5000.158688524591</v>
      </c>
      <c r="L32" s="97">
        <f t="shared" si="8"/>
        <v>0</v>
      </c>
      <c r="M32" s="97">
        <f t="shared" si="8"/>
        <v>0</v>
      </c>
      <c r="N32" s="97">
        <f t="shared" si="8"/>
        <v>0</v>
      </c>
      <c r="O32" s="97">
        <f aca="true" t="shared" si="9" ref="O32:Q42">O48-O19*1.15</f>
        <v>0</v>
      </c>
      <c r="P32" s="834">
        <f t="shared" si="9"/>
        <v>4374.897377049181</v>
      </c>
      <c r="Q32" s="834">
        <f t="shared" si="9"/>
        <v>4376.09737704918</v>
      </c>
      <c r="R32" s="459"/>
      <c r="S32" s="459"/>
      <c r="T32" s="459"/>
      <c r="U32" s="459"/>
      <c r="V32" s="459"/>
      <c r="W32" s="459"/>
      <c r="X32" s="5"/>
    </row>
    <row r="33" spans="1:24" ht="12" customHeight="1" hidden="1">
      <c r="A33" s="6"/>
      <c r="D33" s="808"/>
      <c r="E33" s="809"/>
      <c r="H33" s="140">
        <v>0.15</v>
      </c>
      <c r="I33" s="458"/>
      <c r="J33" s="835">
        <f t="shared" si="8"/>
        <v>5000.239344262294</v>
      </c>
      <c r="K33" s="835">
        <f t="shared" si="8"/>
        <v>4999.560983606557</v>
      </c>
      <c r="L33" s="834">
        <f t="shared" si="8"/>
        <v>5000.370819672131</v>
      </c>
      <c r="M33" s="834">
        <f t="shared" si="8"/>
        <v>4375.0950819672125</v>
      </c>
      <c r="N33" s="834">
        <f t="shared" si="8"/>
        <v>4374.89868852459</v>
      </c>
      <c r="O33" s="97">
        <f t="shared" si="9"/>
        <v>0</v>
      </c>
      <c r="P33" s="834">
        <f t="shared" si="9"/>
        <v>4375.99344262295</v>
      </c>
      <c r="Q33" s="834">
        <f t="shared" si="9"/>
        <v>4374.707868852458</v>
      </c>
      <c r="R33" s="459"/>
      <c r="S33" s="459"/>
      <c r="T33" s="459"/>
      <c r="U33" s="459"/>
      <c r="V33" s="459"/>
      <c r="W33" s="459"/>
      <c r="X33" s="5"/>
    </row>
    <row r="34" spans="1:24" ht="12" customHeight="1" hidden="1">
      <c r="A34" s="6"/>
      <c r="D34" s="808"/>
      <c r="E34" s="809"/>
      <c r="H34" s="140">
        <v>0.3</v>
      </c>
      <c r="I34" s="458"/>
      <c r="J34" s="835">
        <f t="shared" si="8"/>
        <v>5000.322295081969</v>
      </c>
      <c r="K34" s="835">
        <f t="shared" si="8"/>
        <v>5000.44131147541</v>
      </c>
      <c r="L34" s="834">
        <f t="shared" si="8"/>
        <v>5000.370819672131</v>
      </c>
      <c r="M34" s="834">
        <f t="shared" si="8"/>
        <v>4375.0950819672125</v>
      </c>
      <c r="N34" s="834">
        <f t="shared" si="8"/>
        <v>4374.89868852459</v>
      </c>
      <c r="O34" s="97">
        <f t="shared" si="9"/>
        <v>0</v>
      </c>
      <c r="P34" s="834">
        <f t="shared" si="9"/>
        <v>4376.080983606556</v>
      </c>
      <c r="Q34" s="834">
        <f t="shared" si="9"/>
        <v>4375.80393442623</v>
      </c>
      <c r="R34" s="459"/>
      <c r="S34" s="459"/>
      <c r="T34" s="459"/>
      <c r="U34" s="459"/>
      <c r="V34" s="459"/>
      <c r="W34" s="459"/>
      <c r="X34" s="5"/>
    </row>
    <row r="35" spans="1:24" ht="12" customHeight="1" hidden="1">
      <c r="A35" s="6"/>
      <c r="D35" s="808"/>
      <c r="E35" s="809"/>
      <c r="H35" s="140">
        <v>0.4</v>
      </c>
      <c r="I35" s="458"/>
      <c r="J35" s="835">
        <f t="shared" si="8"/>
        <v>5000.777049180328</v>
      </c>
      <c r="K35" s="835">
        <f t="shared" si="8"/>
        <v>4999.49475409836</v>
      </c>
      <c r="L35" s="835">
        <f t="shared" si="8"/>
        <v>4375.101967213115</v>
      </c>
      <c r="M35" s="834">
        <f t="shared" si="8"/>
        <v>4374.763606557376</v>
      </c>
      <c r="N35" s="834">
        <f t="shared" si="8"/>
        <v>4374.89868852459</v>
      </c>
      <c r="O35" s="834">
        <f t="shared" si="9"/>
        <v>4374.2914754098365</v>
      </c>
      <c r="P35" s="834">
        <f t="shared" si="9"/>
        <v>4376.092786885247</v>
      </c>
      <c r="Q35" s="97">
        <f t="shared" si="9"/>
        <v>3751.142295081968</v>
      </c>
      <c r="R35" s="459"/>
      <c r="S35" s="459"/>
      <c r="T35" s="459"/>
      <c r="U35" s="459"/>
      <c r="V35" s="459"/>
      <c r="W35" s="459"/>
      <c r="X35" s="5"/>
    </row>
    <row r="36" spans="1:24" ht="12" customHeight="1" hidden="1">
      <c r="A36" s="6"/>
      <c r="D36" s="808"/>
      <c r="E36" s="809"/>
      <c r="H36" s="140">
        <v>0.5</v>
      </c>
      <c r="I36" s="458"/>
      <c r="J36" s="835">
        <f t="shared" si="8"/>
        <v>5001.442950819672</v>
      </c>
      <c r="K36" s="835">
        <f t="shared" si="8"/>
        <v>4999.298360655738</v>
      </c>
      <c r="L36" s="835">
        <f t="shared" si="8"/>
        <v>4375.101967213115</v>
      </c>
      <c r="M36" s="834">
        <f t="shared" si="8"/>
        <v>4374.763606557376</v>
      </c>
      <c r="N36" s="834">
        <f t="shared" si="8"/>
        <v>4374.89868852459</v>
      </c>
      <c r="O36" s="97">
        <f t="shared" si="9"/>
        <v>3749.2914754098365</v>
      </c>
      <c r="P36" s="834">
        <f t="shared" si="9"/>
        <v>4375.892131147542</v>
      </c>
      <c r="Q36" s="97">
        <f t="shared" si="9"/>
        <v>3750.8839344262306</v>
      </c>
      <c r="R36" s="459"/>
      <c r="S36" s="459"/>
      <c r="T36" s="459"/>
      <c r="U36" s="459"/>
      <c r="V36" s="459"/>
      <c r="W36" s="459"/>
      <c r="X36" s="5"/>
    </row>
    <row r="37" spans="1:24" ht="12" customHeight="1" hidden="1">
      <c r="A37" s="6"/>
      <c r="D37" s="808"/>
      <c r="E37" s="809"/>
      <c r="H37" s="140">
        <v>0.6</v>
      </c>
      <c r="I37" s="458"/>
      <c r="J37" s="835">
        <f t="shared" si="8"/>
        <v>4999.36131147541</v>
      </c>
      <c r="K37" s="97">
        <f t="shared" si="8"/>
        <v>4375.174426229509</v>
      </c>
      <c r="L37" s="835">
        <f t="shared" si="8"/>
        <v>4375.174426229509</v>
      </c>
      <c r="M37" s="834">
        <f t="shared" si="8"/>
        <v>4376.311803278688</v>
      </c>
      <c r="N37" s="97">
        <f t="shared" si="8"/>
        <v>3650.514426229508</v>
      </c>
      <c r="O37" s="97">
        <f t="shared" si="9"/>
        <v>3749.4940983606557</v>
      </c>
      <c r="P37" s="834">
        <f t="shared" si="9"/>
        <v>4375.691475409836</v>
      </c>
      <c r="Q37" s="97">
        <f t="shared" si="9"/>
        <v>3749.93737704918</v>
      </c>
      <c r="R37" s="459"/>
      <c r="S37" s="459"/>
      <c r="T37" s="459"/>
      <c r="U37" s="459"/>
      <c r="V37" s="459"/>
      <c r="W37" s="459"/>
      <c r="X37" s="5"/>
    </row>
    <row r="38" spans="1:24" ht="12" customHeight="1" hidden="1">
      <c r="A38" s="6"/>
      <c r="D38" s="808"/>
      <c r="E38" s="809"/>
      <c r="H38" s="140">
        <v>0.7</v>
      </c>
      <c r="I38" s="458"/>
      <c r="J38" s="97">
        <f t="shared" si="8"/>
        <v>4375.15868852459</v>
      </c>
      <c r="K38" s="97">
        <f t="shared" si="8"/>
        <v>4375.785901639343</v>
      </c>
      <c r="L38" s="835">
        <f t="shared" si="8"/>
        <v>4376.399344262294</v>
      </c>
      <c r="M38" s="97">
        <f t="shared" si="8"/>
        <v>3749.298360655738</v>
      </c>
      <c r="N38" s="97">
        <f t="shared" si="8"/>
        <v>3650.514426229508</v>
      </c>
      <c r="O38" s="97">
        <f t="shared" si="9"/>
        <v>3749.4940983606557</v>
      </c>
      <c r="P38" s="97">
        <f t="shared" si="9"/>
        <v>3751.2304918032787</v>
      </c>
      <c r="Q38" s="97">
        <f t="shared" si="9"/>
        <v>3750.476393442623</v>
      </c>
      <c r="R38" s="459"/>
      <c r="S38" s="459"/>
      <c r="T38" s="459"/>
      <c r="U38" s="459"/>
      <c r="V38" s="459"/>
      <c r="W38" s="459"/>
      <c r="X38" s="5"/>
    </row>
    <row r="39" spans="1:24" ht="12" customHeight="1" hidden="1">
      <c r="A39" s="6"/>
      <c r="D39" s="808"/>
      <c r="E39" s="809"/>
      <c r="H39" s="140">
        <v>0.8</v>
      </c>
      <c r="I39" s="458"/>
      <c r="J39" s="97">
        <f t="shared" si="8"/>
        <v>4375.2386885245905</v>
      </c>
      <c r="K39" s="97">
        <f t="shared" si="8"/>
        <v>4376.196721311475</v>
      </c>
      <c r="L39" s="835">
        <f t="shared" si="8"/>
        <v>4374.991803278688</v>
      </c>
      <c r="M39" s="97">
        <f t="shared" si="8"/>
        <v>3751.3311475409846</v>
      </c>
      <c r="N39" s="97">
        <f t="shared" si="8"/>
        <v>3751.2580327868845</v>
      </c>
      <c r="O39" s="97">
        <f t="shared" si="9"/>
        <v>3749.8986885245904</v>
      </c>
      <c r="P39" s="97">
        <f t="shared" si="9"/>
        <v>3751.10655737705</v>
      </c>
      <c r="Q39" s="97">
        <f t="shared" si="9"/>
        <v>3749.6065573770484</v>
      </c>
      <c r="R39" s="459"/>
      <c r="S39" s="459"/>
      <c r="T39" s="459"/>
      <c r="U39" s="459"/>
      <c r="V39" s="459"/>
      <c r="W39" s="459"/>
      <c r="X39" s="5"/>
    </row>
    <row r="40" spans="1:24" ht="12" customHeight="1" hidden="1">
      <c r="A40" s="6"/>
      <c r="D40" s="808"/>
      <c r="E40" s="809"/>
      <c r="H40" s="140">
        <v>1</v>
      </c>
      <c r="I40" s="458"/>
      <c r="J40" s="97">
        <f t="shared" si="8"/>
        <v>4375.521967213115</v>
      </c>
      <c r="K40" s="97">
        <f t="shared" si="8"/>
        <v>4375.940327868853</v>
      </c>
      <c r="L40" s="835">
        <f t="shared" si="8"/>
        <v>4375.872131147542</v>
      </c>
      <c r="M40" s="97">
        <f t="shared" si="8"/>
        <v>3749.7154098360643</v>
      </c>
      <c r="N40" s="97">
        <f t="shared" si="8"/>
        <v>3750.2495081967218</v>
      </c>
      <c r="O40" s="97">
        <f t="shared" si="9"/>
        <v>3749.8986885245904</v>
      </c>
      <c r="P40" s="97">
        <f t="shared" si="9"/>
        <v>3750.5068852459026</v>
      </c>
      <c r="Q40" s="97">
        <f t="shared" si="9"/>
        <v>3750.544590163936</v>
      </c>
      <c r="R40" s="459"/>
      <c r="S40" s="459"/>
      <c r="T40" s="459"/>
      <c r="U40" s="459"/>
      <c r="V40" s="459"/>
      <c r="W40" s="459"/>
      <c r="X40" s="5"/>
    </row>
    <row r="41" spans="1:24" ht="12" customHeight="1" hidden="1">
      <c r="A41" s="6"/>
      <c r="D41" s="808"/>
      <c r="E41" s="809"/>
      <c r="H41" s="140">
        <v>1.1</v>
      </c>
      <c r="I41" s="458"/>
      <c r="J41" s="97">
        <f t="shared" si="8"/>
        <v>4375.471803278688</v>
      </c>
      <c r="K41" s="97">
        <f t="shared" si="8"/>
        <v>4375.408852459015</v>
      </c>
      <c r="L41" s="97">
        <f t="shared" si="8"/>
        <v>3750.733442622951</v>
      </c>
      <c r="M41" s="97">
        <f t="shared" si="8"/>
        <v>3749.7154098360643</v>
      </c>
      <c r="N41" s="97">
        <f t="shared" si="8"/>
        <v>3749.922950819672</v>
      </c>
      <c r="O41" s="97">
        <f t="shared" si="9"/>
        <v>3750.514426229508</v>
      </c>
      <c r="P41" s="97">
        <f t="shared" si="9"/>
        <v>3751.118360655737</v>
      </c>
      <c r="Q41" s="97">
        <f t="shared" si="9"/>
        <v>3751.0259016393466</v>
      </c>
      <c r="R41" s="459"/>
      <c r="S41" s="459"/>
      <c r="T41" s="459"/>
      <c r="U41" s="459"/>
      <c r="V41" s="459"/>
      <c r="W41" s="459"/>
      <c r="X41" s="5"/>
    </row>
    <row r="42" spans="1:24" s="7" customFormat="1" ht="12" customHeight="1" hidden="1" thickBot="1">
      <c r="A42" s="9"/>
      <c r="D42" s="9"/>
      <c r="E42" s="45"/>
      <c r="H42" s="141">
        <v>1.2</v>
      </c>
      <c r="I42" s="458"/>
      <c r="J42" s="97">
        <f t="shared" si="8"/>
        <v>4374.939016393444</v>
      </c>
      <c r="K42" s="97">
        <f t="shared" si="8"/>
        <v>4375.346885245901</v>
      </c>
      <c r="L42" s="97">
        <f t="shared" si="8"/>
        <v>3749.8698360655744</v>
      </c>
      <c r="M42" s="97">
        <f t="shared" si="8"/>
        <v>3750.5232786885244</v>
      </c>
      <c r="N42" s="97">
        <f t="shared" si="8"/>
        <v>3750.053114754098</v>
      </c>
      <c r="O42" s="97">
        <f t="shared" si="9"/>
        <v>3750.514426229508</v>
      </c>
      <c r="P42" s="97">
        <f t="shared" si="9"/>
        <v>3750.440655737704</v>
      </c>
      <c r="Q42" s="97">
        <f t="shared" si="9"/>
        <v>3749.949180327869</v>
      </c>
      <c r="R42" s="459"/>
      <c r="S42" s="459"/>
      <c r="T42" s="459"/>
      <c r="U42" s="459"/>
      <c r="V42" s="459"/>
      <c r="W42" s="459"/>
      <c r="X42" s="3"/>
    </row>
    <row r="43" spans="1:24" s="7" customFormat="1" ht="12" customHeight="1" hidden="1">
      <c r="A43" s="9"/>
      <c r="D43" s="9"/>
      <c r="E43" s="45"/>
      <c r="H43" s="199"/>
      <c r="I43" s="458"/>
      <c r="J43" s="1"/>
      <c r="K43" s="460"/>
      <c r="L43" s="460"/>
      <c r="M43" s="460"/>
      <c r="N43" s="460"/>
      <c r="O43" s="807"/>
      <c r="P43" s="460"/>
      <c r="Q43" s="460"/>
      <c r="R43" s="459"/>
      <c r="S43" s="459"/>
      <c r="T43" s="459"/>
      <c r="U43" s="459"/>
      <c r="V43" s="459"/>
      <c r="W43" s="459"/>
      <c r="X43" s="3"/>
    </row>
    <row r="44" spans="1:24" s="7" customFormat="1" ht="11.25" customHeight="1" hidden="1">
      <c r="A44" s="9"/>
      <c r="D44" s="9"/>
      <c r="E44" s="45"/>
      <c r="H44" s="199"/>
      <c r="I44" s="458"/>
      <c r="J44" s="460"/>
      <c r="K44" s="460"/>
      <c r="L44" s="460"/>
      <c r="M44" s="460"/>
      <c r="N44" s="460"/>
      <c r="O44" s="460"/>
      <c r="P44" s="460"/>
      <c r="Q44" s="460"/>
      <c r="R44" s="459"/>
      <c r="S44" s="459"/>
      <c r="T44" s="459"/>
      <c r="U44" s="459"/>
      <c r="V44" s="459"/>
      <c r="W44" s="459"/>
      <c r="X44" s="3"/>
    </row>
    <row r="45" spans="1:24" s="7" customFormat="1" ht="23.25" customHeight="1" hidden="1" thickBot="1">
      <c r="A45" s="9"/>
      <c r="D45" s="9"/>
      <c r="E45" s="45"/>
      <c r="H45" s="1"/>
      <c r="I45" s="388">
        <v>44228</v>
      </c>
      <c r="J45" s="9"/>
      <c r="K45" s="45"/>
      <c r="L45" s="388">
        <v>44228</v>
      </c>
      <c r="M45" s="285"/>
      <c r="N45" s="1"/>
      <c r="O45" s="1"/>
      <c r="P45" s="1"/>
      <c r="Q45" s="1"/>
      <c r="R45" s="1"/>
      <c r="S45" s="388">
        <v>44228</v>
      </c>
      <c r="T45" s="97"/>
      <c r="U45" s="97"/>
      <c r="V45" s="97"/>
      <c r="W45" s="97"/>
      <c r="X45" s="3"/>
    </row>
    <row r="46" spans="1:24" s="7" customFormat="1" ht="12" customHeight="1" hidden="1" thickBot="1" thickTop="1">
      <c r="A46" s="9"/>
      <c r="D46" s="9"/>
      <c r="E46" s="45"/>
      <c r="H46" s="1"/>
      <c r="I46" s="272" t="s">
        <v>366</v>
      </c>
      <c r="J46" s="46" t="s">
        <v>361</v>
      </c>
      <c r="K46" s="46" t="s">
        <v>362</v>
      </c>
      <c r="L46" s="274" t="s">
        <v>352</v>
      </c>
      <c r="M46" s="313" t="s">
        <v>353</v>
      </c>
      <c r="N46" s="274" t="s">
        <v>355</v>
      </c>
      <c r="O46" s="274" t="s">
        <v>354</v>
      </c>
      <c r="P46" s="274" t="s">
        <v>363</v>
      </c>
      <c r="Q46" s="274" t="s">
        <v>364</v>
      </c>
      <c r="R46" s="129" t="s">
        <v>365</v>
      </c>
      <c r="S46" s="445">
        <v>1</v>
      </c>
      <c r="T46" s="445">
        <v>2</v>
      </c>
      <c r="U46" s="445">
        <v>3</v>
      </c>
      <c r="V46" s="445">
        <v>4</v>
      </c>
      <c r="W46" s="445">
        <v>5</v>
      </c>
      <c r="X46" s="3"/>
    </row>
    <row r="47" spans="1:24" s="7" customFormat="1" ht="12" customHeight="1" hidden="1">
      <c r="A47" s="9"/>
      <c r="D47" s="9"/>
      <c r="E47" s="45"/>
      <c r="H47" s="138">
        <v>0</v>
      </c>
      <c r="I47" s="314">
        <f aca="true" t="shared" si="10" ref="I47:I58">IF(OR(puntosproljor&lt;620,nina=1),W47,R47)</f>
        <v>9954</v>
      </c>
      <c r="J47" s="461">
        <v>9954</v>
      </c>
      <c r="K47" s="461">
        <v>7110</v>
      </c>
      <c r="L47" s="461">
        <v>0</v>
      </c>
      <c r="M47" s="461">
        <v>0</v>
      </c>
      <c r="N47" s="461">
        <v>0</v>
      </c>
      <c r="O47" s="461">
        <v>0</v>
      </c>
      <c r="P47" s="461">
        <v>7950</v>
      </c>
      <c r="Q47" s="461">
        <v>7045</v>
      </c>
      <c r="R47" s="273">
        <f aca="true" t="shared" si="11" ref="R47:R58">IF(PUNTOSbasicos&gt;971,Q47,P47)</f>
        <v>7950</v>
      </c>
      <c r="S47" s="444">
        <f aca="true" t="shared" si="12" ref="S47:S58">IF(PUNTOSbasicos&lt;972,J47,K47)</f>
        <v>9954</v>
      </c>
      <c r="T47" s="444">
        <f aca="true" t="shared" si="13" ref="T47:T58">IF(PUNTOSbasicos&lt;1170,S47,L47)</f>
        <v>9954</v>
      </c>
      <c r="U47" s="444">
        <f aca="true" t="shared" si="14" ref="U47:U58">IF(PUNTOSbasicos&lt;1401,T47,M47)</f>
        <v>9954</v>
      </c>
      <c r="V47" s="444">
        <f aca="true" t="shared" si="15" ref="V47:V58">IF(PUNTOSbasicos&lt;1943,U47,N47)</f>
        <v>9954</v>
      </c>
      <c r="W47" s="444">
        <f aca="true" t="shared" si="16" ref="W47:W58">IF(PUNTOSbasicos&lt;=2220,V47,O47)</f>
        <v>9954</v>
      </c>
      <c r="X47" s="3"/>
    </row>
    <row r="48" spans="1:24" s="7" customFormat="1" ht="12" customHeight="1" hidden="1">
      <c r="A48" s="9"/>
      <c r="D48" s="9"/>
      <c r="E48" s="45"/>
      <c r="H48" s="139">
        <v>0.1</v>
      </c>
      <c r="I48" s="314">
        <f t="shared" si="10"/>
        <v>12179</v>
      </c>
      <c r="J48" s="461">
        <v>12179</v>
      </c>
      <c r="K48" s="461">
        <v>7282</v>
      </c>
      <c r="L48" s="461">
        <v>0</v>
      </c>
      <c r="M48" s="461">
        <v>0</v>
      </c>
      <c r="N48" s="461">
        <v>0</v>
      </c>
      <c r="O48" s="461">
        <v>0</v>
      </c>
      <c r="P48" s="461">
        <v>8123</v>
      </c>
      <c r="Q48" s="461">
        <v>7218</v>
      </c>
      <c r="R48" s="273">
        <f t="shared" si="11"/>
        <v>8123</v>
      </c>
      <c r="S48" s="444">
        <f t="shared" si="12"/>
        <v>12179</v>
      </c>
      <c r="T48" s="444">
        <f t="shared" si="13"/>
        <v>12179</v>
      </c>
      <c r="U48" s="444">
        <f t="shared" si="14"/>
        <v>12179</v>
      </c>
      <c r="V48" s="444">
        <f t="shared" si="15"/>
        <v>12179</v>
      </c>
      <c r="W48" s="444">
        <f t="shared" si="16"/>
        <v>12179</v>
      </c>
      <c r="X48" s="3"/>
    </row>
    <row r="49" spans="1:24" s="7" customFormat="1" ht="12" customHeight="1" hidden="1">
      <c r="A49" s="9"/>
      <c r="D49" s="9"/>
      <c r="E49" s="45"/>
      <c r="H49" s="140">
        <v>0.15</v>
      </c>
      <c r="I49" s="314">
        <f t="shared" si="10"/>
        <v>13572</v>
      </c>
      <c r="J49" s="461">
        <v>13572</v>
      </c>
      <c r="K49" s="461">
        <v>8816</v>
      </c>
      <c r="L49" s="461">
        <v>9827</v>
      </c>
      <c r="M49" s="461">
        <v>8401</v>
      </c>
      <c r="N49" s="461">
        <v>8741</v>
      </c>
      <c r="O49" s="461">
        <v>0</v>
      </c>
      <c r="P49" s="461">
        <v>10348</v>
      </c>
      <c r="Q49" s="461">
        <v>9442</v>
      </c>
      <c r="R49" s="273">
        <f t="shared" si="11"/>
        <v>10348</v>
      </c>
      <c r="S49" s="444">
        <f t="shared" si="12"/>
        <v>13572</v>
      </c>
      <c r="T49" s="444">
        <f t="shared" si="13"/>
        <v>13572</v>
      </c>
      <c r="U49" s="444">
        <f t="shared" si="14"/>
        <v>13572</v>
      </c>
      <c r="V49" s="444">
        <f t="shared" si="15"/>
        <v>13572</v>
      </c>
      <c r="W49" s="444">
        <f t="shared" si="16"/>
        <v>13572</v>
      </c>
      <c r="X49" s="3"/>
    </row>
    <row r="50" spans="1:24" s="7" customFormat="1" ht="12" customHeight="1" hidden="1">
      <c r="A50" s="9"/>
      <c r="D50" s="9"/>
      <c r="E50" s="45"/>
      <c r="H50" s="140">
        <v>0.3</v>
      </c>
      <c r="I50" s="314">
        <f t="shared" si="10"/>
        <v>14147</v>
      </c>
      <c r="J50" s="461">
        <v>14147</v>
      </c>
      <c r="K50" s="461">
        <v>9062</v>
      </c>
      <c r="L50" s="461">
        <v>9827</v>
      </c>
      <c r="M50" s="461">
        <v>8401</v>
      </c>
      <c r="N50" s="461">
        <v>8741</v>
      </c>
      <c r="O50" s="461">
        <v>0</v>
      </c>
      <c r="P50" s="461">
        <v>13086</v>
      </c>
      <c r="Q50" s="461">
        <v>11667</v>
      </c>
      <c r="R50" s="273">
        <f t="shared" si="11"/>
        <v>13086</v>
      </c>
      <c r="S50" s="444">
        <f t="shared" si="12"/>
        <v>14147</v>
      </c>
      <c r="T50" s="444">
        <f t="shared" si="13"/>
        <v>14147</v>
      </c>
      <c r="U50" s="444">
        <f t="shared" si="14"/>
        <v>14147</v>
      </c>
      <c r="V50" s="444">
        <f t="shared" si="15"/>
        <v>14147</v>
      </c>
      <c r="W50" s="444">
        <f t="shared" si="16"/>
        <v>14147</v>
      </c>
      <c r="X50" s="3"/>
    </row>
    <row r="51" spans="1:24" s="7" customFormat="1" ht="12" customHeight="1" hidden="1">
      <c r="A51" s="9"/>
      <c r="D51" s="9"/>
      <c r="E51" s="45"/>
      <c r="H51" s="140">
        <v>0.4</v>
      </c>
      <c r="I51" s="314">
        <f t="shared" si="10"/>
        <v>13216</v>
      </c>
      <c r="J51" s="461">
        <v>13216</v>
      </c>
      <c r="K51" s="461">
        <v>9324</v>
      </c>
      <c r="L51" s="461">
        <v>9380</v>
      </c>
      <c r="M51" s="461">
        <v>8521</v>
      </c>
      <c r="N51" s="461">
        <v>8741</v>
      </c>
      <c r="O51" s="461">
        <v>8060</v>
      </c>
      <c r="P51" s="461">
        <v>14117</v>
      </c>
      <c r="Q51" s="461">
        <v>11901</v>
      </c>
      <c r="R51" s="273">
        <f t="shared" si="11"/>
        <v>14117</v>
      </c>
      <c r="S51" s="444">
        <f t="shared" si="12"/>
        <v>13216</v>
      </c>
      <c r="T51" s="444">
        <f t="shared" si="13"/>
        <v>13216</v>
      </c>
      <c r="U51" s="444">
        <f t="shared" si="14"/>
        <v>13216</v>
      </c>
      <c r="V51" s="444">
        <f t="shared" si="15"/>
        <v>13216</v>
      </c>
      <c r="W51" s="444">
        <f t="shared" si="16"/>
        <v>13216</v>
      </c>
      <c r="X51" s="3"/>
    </row>
    <row r="52" spans="1:24" s="7" customFormat="1" ht="12" customHeight="1" hidden="1">
      <c r="A52" s="9"/>
      <c r="D52" s="9"/>
      <c r="E52" s="45"/>
      <c r="H52" s="140">
        <v>0.5</v>
      </c>
      <c r="I52" s="314">
        <f t="shared" si="10"/>
        <v>12101</v>
      </c>
      <c r="J52" s="461">
        <v>12101</v>
      </c>
      <c r="K52" s="461">
        <v>9664</v>
      </c>
      <c r="L52" s="461">
        <v>9380</v>
      </c>
      <c r="M52" s="461">
        <v>8521</v>
      </c>
      <c r="N52" s="461">
        <v>8741</v>
      </c>
      <c r="O52" s="461">
        <v>7435</v>
      </c>
      <c r="P52" s="461">
        <v>14714</v>
      </c>
      <c r="Q52" s="461">
        <v>12492</v>
      </c>
      <c r="R52" s="273">
        <f t="shared" si="11"/>
        <v>14714</v>
      </c>
      <c r="S52" s="444">
        <f t="shared" si="12"/>
        <v>12101</v>
      </c>
      <c r="T52" s="444">
        <f t="shared" si="13"/>
        <v>12101</v>
      </c>
      <c r="U52" s="444">
        <f t="shared" si="14"/>
        <v>12101</v>
      </c>
      <c r="V52" s="444">
        <f t="shared" si="15"/>
        <v>12101</v>
      </c>
      <c r="W52" s="444">
        <f t="shared" si="16"/>
        <v>12101</v>
      </c>
      <c r="X52" s="3"/>
    </row>
    <row r="53" spans="1:24" s="7" customFormat="1" ht="12" customHeight="1" hidden="1">
      <c r="A53" s="9"/>
      <c r="D53" s="9"/>
      <c r="E53" s="45"/>
      <c r="H53" s="140">
        <v>0.6</v>
      </c>
      <c r="I53" s="314">
        <f t="shared" si="10"/>
        <v>12142</v>
      </c>
      <c r="J53" s="461">
        <v>12142</v>
      </c>
      <c r="K53" s="461">
        <v>9542</v>
      </c>
      <c r="L53" s="461">
        <v>9542</v>
      </c>
      <c r="M53" s="461">
        <v>8579</v>
      </c>
      <c r="N53" s="461">
        <v>8183</v>
      </c>
      <c r="O53" s="461">
        <v>7765</v>
      </c>
      <c r="P53" s="461">
        <v>15311</v>
      </c>
      <c r="Q53" s="461">
        <v>12754</v>
      </c>
      <c r="R53" s="273">
        <f t="shared" si="11"/>
        <v>15311</v>
      </c>
      <c r="S53" s="444">
        <f t="shared" si="12"/>
        <v>12142</v>
      </c>
      <c r="T53" s="444">
        <f t="shared" si="13"/>
        <v>12142</v>
      </c>
      <c r="U53" s="444">
        <f t="shared" si="14"/>
        <v>12142</v>
      </c>
      <c r="V53" s="444">
        <f t="shared" si="15"/>
        <v>12142</v>
      </c>
      <c r="W53" s="444">
        <f t="shared" si="16"/>
        <v>12142</v>
      </c>
      <c r="X53" s="3"/>
    </row>
    <row r="54" spans="1:24" s="7" customFormat="1" ht="12" customHeight="1" hidden="1">
      <c r="A54" s="9"/>
      <c r="D54" s="9"/>
      <c r="E54" s="45"/>
      <c r="H54" s="140">
        <v>0.7</v>
      </c>
      <c r="I54" s="314">
        <f t="shared" si="10"/>
        <v>11188</v>
      </c>
      <c r="J54" s="461">
        <v>11188</v>
      </c>
      <c r="K54" s="461">
        <v>9966</v>
      </c>
      <c r="L54" s="461">
        <v>11317</v>
      </c>
      <c r="M54" s="461">
        <v>8414</v>
      </c>
      <c r="N54" s="461">
        <v>8183</v>
      </c>
      <c r="O54" s="461">
        <v>7765</v>
      </c>
      <c r="P54" s="461">
        <v>14948</v>
      </c>
      <c r="Q54" s="461">
        <v>13016</v>
      </c>
      <c r="R54" s="273">
        <f t="shared" si="11"/>
        <v>14948</v>
      </c>
      <c r="S54" s="444">
        <f t="shared" si="12"/>
        <v>11188</v>
      </c>
      <c r="T54" s="444">
        <f t="shared" si="13"/>
        <v>11188</v>
      </c>
      <c r="U54" s="444">
        <f t="shared" si="14"/>
        <v>11188</v>
      </c>
      <c r="V54" s="444">
        <f t="shared" si="15"/>
        <v>11188</v>
      </c>
      <c r="W54" s="444">
        <f t="shared" si="16"/>
        <v>11188</v>
      </c>
      <c r="X54" s="3"/>
    </row>
    <row r="55" spans="1:24" s="7" customFormat="1" ht="12" customHeight="1" hidden="1">
      <c r="A55" s="9"/>
      <c r="D55" s="9"/>
      <c r="E55" s="45"/>
      <c r="H55" s="140">
        <v>0.8</v>
      </c>
      <c r="I55" s="314">
        <f t="shared" si="10"/>
        <v>12638</v>
      </c>
      <c r="J55" s="461">
        <v>12638</v>
      </c>
      <c r="K55" s="461">
        <v>10987</v>
      </c>
      <c r="L55" s="461">
        <v>11840</v>
      </c>
      <c r="M55" s="461">
        <v>10273</v>
      </c>
      <c r="N55" s="461">
        <v>9802</v>
      </c>
      <c r="O55" s="461">
        <v>8116</v>
      </c>
      <c r="P55" s="461">
        <v>15450</v>
      </c>
      <c r="Q55" s="461">
        <v>13183</v>
      </c>
      <c r="R55" s="273">
        <f t="shared" si="11"/>
        <v>15450</v>
      </c>
      <c r="S55" s="444">
        <f t="shared" si="12"/>
        <v>12638</v>
      </c>
      <c r="T55" s="444">
        <f t="shared" si="13"/>
        <v>12638</v>
      </c>
      <c r="U55" s="444">
        <f t="shared" si="14"/>
        <v>12638</v>
      </c>
      <c r="V55" s="444">
        <f t="shared" si="15"/>
        <v>12638</v>
      </c>
      <c r="W55" s="444">
        <f t="shared" si="16"/>
        <v>12638</v>
      </c>
      <c r="X55" s="3"/>
    </row>
    <row r="56" spans="1:24" s="7" customFormat="1" ht="12" customHeight="1" hidden="1">
      <c r="A56" s="9"/>
      <c r="D56" s="9"/>
      <c r="E56" s="45"/>
      <c r="H56" s="140">
        <v>1</v>
      </c>
      <c r="I56" s="314">
        <f t="shared" si="10"/>
        <v>14727</v>
      </c>
      <c r="J56" s="461">
        <v>14727</v>
      </c>
      <c r="K56" s="461">
        <v>12505</v>
      </c>
      <c r="L56" s="461">
        <v>12086</v>
      </c>
      <c r="M56" s="461">
        <v>10105</v>
      </c>
      <c r="N56" s="461">
        <v>10315</v>
      </c>
      <c r="O56" s="461">
        <v>8116</v>
      </c>
      <c r="P56" s="461">
        <v>16057</v>
      </c>
      <c r="Q56" s="461">
        <v>13435</v>
      </c>
      <c r="R56" s="273">
        <f t="shared" si="11"/>
        <v>16057</v>
      </c>
      <c r="S56" s="444">
        <f t="shared" si="12"/>
        <v>14727</v>
      </c>
      <c r="T56" s="444">
        <f t="shared" si="13"/>
        <v>14727</v>
      </c>
      <c r="U56" s="444">
        <f t="shared" si="14"/>
        <v>14727</v>
      </c>
      <c r="V56" s="444">
        <f t="shared" si="15"/>
        <v>14727</v>
      </c>
      <c r="W56" s="444">
        <f t="shared" si="16"/>
        <v>14727</v>
      </c>
      <c r="X56" s="3"/>
    </row>
    <row r="57" spans="1:24" s="7" customFormat="1" ht="12" customHeight="1" hidden="1">
      <c r="A57" s="9"/>
      <c r="D57" s="9"/>
      <c r="E57" s="45"/>
      <c r="H57" s="140">
        <v>1.1</v>
      </c>
      <c r="I57" s="314">
        <f t="shared" si="10"/>
        <v>16009</v>
      </c>
      <c r="J57" s="461">
        <v>16009</v>
      </c>
      <c r="K57" s="461">
        <v>13531</v>
      </c>
      <c r="L57" s="461">
        <v>11807</v>
      </c>
      <c r="M57" s="461">
        <v>10105</v>
      </c>
      <c r="N57" s="461">
        <v>10487</v>
      </c>
      <c r="O57" s="461">
        <v>8283</v>
      </c>
      <c r="P57" s="461">
        <v>16481</v>
      </c>
      <c r="Q57" s="461">
        <v>13691</v>
      </c>
      <c r="R57" s="273">
        <f t="shared" si="11"/>
        <v>16481</v>
      </c>
      <c r="S57" s="444">
        <f t="shared" si="12"/>
        <v>16009</v>
      </c>
      <c r="T57" s="444">
        <f t="shared" si="13"/>
        <v>16009</v>
      </c>
      <c r="U57" s="444">
        <f t="shared" si="14"/>
        <v>16009</v>
      </c>
      <c r="V57" s="444">
        <f t="shared" si="15"/>
        <v>16009</v>
      </c>
      <c r="W57" s="444">
        <f t="shared" si="16"/>
        <v>16009</v>
      </c>
      <c r="X57" s="3"/>
    </row>
    <row r="58" spans="1:24" s="7" customFormat="1" ht="12" customHeight="1" hidden="1" thickBot="1">
      <c r="A58" s="9"/>
      <c r="D58" s="9"/>
      <c r="E58" s="45"/>
      <c r="H58" s="141">
        <v>1.2</v>
      </c>
      <c r="I58" s="314">
        <f t="shared" si="10"/>
        <v>16417</v>
      </c>
      <c r="J58" s="461">
        <v>16417</v>
      </c>
      <c r="K58" s="461">
        <v>13782</v>
      </c>
      <c r="L58" s="461">
        <v>12644</v>
      </c>
      <c r="M58" s="461">
        <v>10189</v>
      </c>
      <c r="N58" s="461">
        <v>10655</v>
      </c>
      <c r="O58" s="461">
        <v>8283</v>
      </c>
      <c r="P58" s="461">
        <v>16565</v>
      </c>
      <c r="Q58" s="461">
        <v>13785</v>
      </c>
      <c r="R58" s="273">
        <f t="shared" si="11"/>
        <v>16565</v>
      </c>
      <c r="S58" s="444">
        <f t="shared" si="12"/>
        <v>16417</v>
      </c>
      <c r="T58" s="444">
        <f t="shared" si="13"/>
        <v>16417</v>
      </c>
      <c r="U58" s="444">
        <f t="shared" si="14"/>
        <v>16417</v>
      </c>
      <c r="V58" s="444">
        <f t="shared" si="15"/>
        <v>16417</v>
      </c>
      <c r="W58" s="444">
        <f t="shared" si="16"/>
        <v>16417</v>
      </c>
      <c r="X58" s="3"/>
    </row>
    <row r="59" spans="1:23" s="7" customFormat="1" ht="12" customHeight="1" hidden="1">
      <c r="A59" s="9"/>
      <c r="D59" s="9"/>
      <c r="E59" s="45"/>
      <c r="H59" s="199"/>
      <c r="I59" s="458"/>
      <c r="J59" s="460"/>
      <c r="K59" s="460"/>
      <c r="L59" s="460"/>
      <c r="M59" s="460"/>
      <c r="N59" s="460"/>
      <c r="O59" s="460"/>
      <c r="P59" s="460"/>
      <c r="Q59" s="460"/>
      <c r="R59" s="459"/>
      <c r="S59" s="459"/>
      <c r="T59" s="459"/>
      <c r="U59" s="459"/>
      <c r="V59" s="459"/>
      <c r="W59" s="459"/>
    </row>
    <row r="60" spans="1:23" s="7" customFormat="1" ht="12" customHeight="1" hidden="1">
      <c r="A60" s="9"/>
      <c r="D60" s="9"/>
      <c r="E60" s="45"/>
      <c r="H60" s="199"/>
      <c r="I60" s="458"/>
      <c r="J60" s="460"/>
      <c r="K60" s="460"/>
      <c r="L60" s="460"/>
      <c r="M60" s="460"/>
      <c r="N60" s="460"/>
      <c r="O60" s="460"/>
      <c r="P60" s="460"/>
      <c r="Q60" s="460"/>
      <c r="R60" s="459"/>
      <c r="S60" s="459"/>
      <c r="T60" s="459"/>
      <c r="U60" s="459"/>
      <c r="V60" s="459"/>
      <c r="W60" s="459"/>
    </row>
    <row r="61" spans="1:23" s="7" customFormat="1" ht="11.25" customHeight="1" hidden="1">
      <c r="A61" s="9"/>
      <c r="D61" s="9"/>
      <c r="E61" s="45"/>
      <c r="H61" s="199"/>
      <c r="I61" s="458"/>
      <c r="J61" s="460"/>
      <c r="K61" s="460"/>
      <c r="L61" s="460"/>
      <c r="M61" s="460"/>
      <c r="N61" s="460"/>
      <c r="O61" s="460"/>
      <c r="P61" s="460"/>
      <c r="Q61" s="460"/>
      <c r="R61" s="459"/>
      <c r="S61" s="459"/>
      <c r="T61" s="459"/>
      <c r="U61" s="459"/>
      <c r="V61" s="459"/>
      <c r="W61" s="459"/>
    </row>
    <row r="62" spans="1:23" s="7" customFormat="1" ht="12" customHeight="1" hidden="1">
      <c r="A62" s="9"/>
      <c r="D62" s="9"/>
      <c r="E62" s="45"/>
      <c r="H62" s="199"/>
      <c r="I62" s="458"/>
      <c r="J62" s="460"/>
      <c r="K62" s="460"/>
      <c r="L62" s="460"/>
      <c r="M62" s="460"/>
      <c r="N62" s="460"/>
      <c r="O62" s="460"/>
      <c r="P62" s="460"/>
      <c r="Q62" s="460"/>
      <c r="R62" s="459"/>
      <c r="S62" s="459"/>
      <c r="T62" s="459"/>
      <c r="U62" s="459"/>
      <c r="V62" s="459"/>
      <c r="W62" s="459"/>
    </row>
    <row r="63" spans="1:23" s="7" customFormat="1" ht="17.25" customHeight="1" hidden="1">
      <c r="A63" s="9"/>
      <c r="D63" s="9"/>
      <c r="E63" s="45"/>
      <c r="H63" s="199"/>
      <c r="I63" s="458"/>
      <c r="J63" s="460"/>
      <c r="K63" s="460"/>
      <c r="L63" s="663"/>
      <c r="M63" s="460"/>
      <c r="N63" s="460"/>
      <c r="O63" s="460"/>
      <c r="P63" s="664"/>
      <c r="Q63" s="460"/>
      <c r="R63" s="459"/>
      <c r="S63" s="459"/>
      <c r="T63" s="459"/>
      <c r="U63" s="459"/>
      <c r="V63" s="459"/>
      <c r="W63" s="459"/>
    </row>
    <row r="64" spans="1:23" s="7" customFormat="1" ht="12" customHeight="1" hidden="1">
      <c r="A64" s="9"/>
      <c r="D64" s="9"/>
      <c r="E64" s="45"/>
      <c r="H64" s="199"/>
      <c r="I64" s="458"/>
      <c r="J64" s="460"/>
      <c r="K64" s="460"/>
      <c r="L64" s="460"/>
      <c r="M64" s="460"/>
      <c r="N64" s="460"/>
      <c r="O64" s="460"/>
      <c r="P64" s="460"/>
      <c r="Q64" s="460"/>
      <c r="R64" s="459"/>
      <c r="S64" s="459"/>
      <c r="T64" s="459"/>
      <c r="U64" s="459"/>
      <c r="V64" s="459"/>
      <c r="W64" s="459"/>
    </row>
    <row r="65" spans="1:23" s="7" customFormat="1" ht="12" customHeight="1" hidden="1">
      <c r="A65" s="9"/>
      <c r="D65" s="9"/>
      <c r="E65" s="45"/>
      <c r="H65" s="199"/>
      <c r="I65" s="458"/>
      <c r="J65" s="460"/>
      <c r="K65" s="460"/>
      <c r="L65" s="460"/>
      <c r="M65" s="460"/>
      <c r="N65" s="460"/>
      <c r="O65" s="460"/>
      <c r="P65" s="460"/>
      <c r="Q65" s="460"/>
      <c r="R65" s="459"/>
      <c r="S65" s="459"/>
      <c r="T65" s="459"/>
      <c r="U65" s="459"/>
      <c r="V65" s="459"/>
      <c r="W65" s="459"/>
    </row>
    <row r="66" spans="1:23" s="7" customFormat="1" ht="12" customHeight="1" hidden="1">
      <c r="A66" s="9"/>
      <c r="D66" s="9"/>
      <c r="E66" s="45"/>
      <c r="H66" s="199"/>
      <c r="I66" s="458"/>
      <c r="J66" s="460"/>
      <c r="K66" s="460"/>
      <c r="L66" s="460"/>
      <c r="M66" s="460"/>
      <c r="N66" s="460"/>
      <c r="O66" s="460"/>
      <c r="P66" s="460"/>
      <c r="Q66" s="460"/>
      <c r="R66" s="459"/>
      <c r="S66" s="459"/>
      <c r="T66" s="459"/>
      <c r="U66" s="459"/>
      <c r="V66" s="459"/>
      <c r="W66" s="459"/>
    </row>
    <row r="67" spans="1:27" s="7" customFormat="1" ht="12" customHeight="1" hidden="1">
      <c r="A67" s="9"/>
      <c r="B67" s="9"/>
      <c r="C67" s="9"/>
      <c r="D67" s="9"/>
      <c r="E67" s="3"/>
      <c r="H67" s="9"/>
      <c r="I67" s="45"/>
      <c r="L67" s="199"/>
      <c r="M67" s="458"/>
      <c r="N67" s="460"/>
      <c r="O67" s="460"/>
      <c r="P67" s="460"/>
      <c r="Q67" s="460"/>
      <c r="R67" s="460"/>
      <c r="S67" s="460"/>
      <c r="T67" s="460"/>
      <c r="U67" s="460"/>
      <c r="V67" s="459"/>
      <c r="W67" s="459"/>
      <c r="X67" s="459"/>
      <c r="Y67" s="459"/>
      <c r="Z67" s="459"/>
      <c r="AA67" s="459"/>
    </row>
    <row r="68" spans="1:27" s="7" customFormat="1" ht="12" customHeight="1" hidden="1">
      <c r="A68" s="9"/>
      <c r="B68" s="9"/>
      <c r="C68" s="9"/>
      <c r="D68" s="9"/>
      <c r="E68" s="3"/>
      <c r="H68" s="9"/>
      <c r="I68" s="45"/>
      <c r="L68" s="199"/>
      <c r="M68" s="458"/>
      <c r="N68" s="460"/>
      <c r="O68" s="460"/>
      <c r="P68" s="460"/>
      <c r="Q68" s="460"/>
      <c r="R68" s="460"/>
      <c r="S68" s="460"/>
      <c r="T68" s="460"/>
      <c r="U68" s="460"/>
      <c r="V68" s="459"/>
      <c r="W68" s="459"/>
      <c r="X68" s="459"/>
      <c r="Y68" s="459"/>
      <c r="Z68" s="459"/>
      <c r="AA68" s="459"/>
    </row>
    <row r="69" spans="1:27" s="7" customFormat="1" ht="12" customHeight="1" hidden="1" thickBot="1">
      <c r="A69" s="9"/>
      <c r="B69" s="9"/>
      <c r="C69" s="9"/>
      <c r="D69" s="9"/>
      <c r="E69" s="3"/>
      <c r="H69" s="9"/>
      <c r="I69" s="45"/>
      <c r="L69" s="199"/>
      <c r="M69" s="458"/>
      <c r="N69" s="460"/>
      <c r="O69" s="460"/>
      <c r="P69" s="460"/>
      <c r="Q69" s="460"/>
      <c r="R69" s="460"/>
      <c r="S69" s="460"/>
      <c r="T69" s="460"/>
      <c r="U69" s="460"/>
      <c r="V69" s="459"/>
      <c r="W69" s="459"/>
      <c r="X69" s="459"/>
      <c r="Y69" s="459"/>
      <c r="Z69" s="459"/>
      <c r="AA69" s="459"/>
    </row>
    <row r="70" spans="1:16" ht="12" customHeight="1" hidden="1" thickBot="1" thickTop="1">
      <c r="A70" s="6"/>
      <c r="B70" s="6"/>
      <c r="C70" s="6"/>
      <c r="D70" s="6"/>
      <c r="E70" s="5"/>
      <c r="F70" s="322"/>
      <c r="G70" s="323"/>
      <c r="H70" s="324"/>
      <c r="I70" s="325"/>
      <c r="J70" s="323"/>
      <c r="K70" s="323"/>
      <c r="L70" s="326"/>
      <c r="M70" s="327"/>
      <c r="N70" s="327"/>
      <c r="O70" s="327"/>
      <c r="P70" s="327"/>
    </row>
    <row r="71" spans="1:16" ht="17.25" customHeight="1" hidden="1" thickTop="1">
      <c r="A71" s="116"/>
      <c r="B71" s="6"/>
      <c r="C71" s="6"/>
      <c r="D71" s="6"/>
      <c r="E71" s="5"/>
      <c r="F71" s="328"/>
      <c r="G71" s="329" t="s">
        <v>403</v>
      </c>
      <c r="H71" s="330">
        <v>0.18</v>
      </c>
      <c r="I71" s="331" t="s">
        <v>398</v>
      </c>
      <c r="J71" s="332" t="e">
        <f>indicejul12*(1+H71)</f>
        <v>#NAME?</v>
      </c>
      <c r="K71" s="338"/>
      <c r="L71" s="333"/>
      <c r="M71" s="334"/>
      <c r="N71" s="333" t="s">
        <v>405</v>
      </c>
      <c r="O71" s="370"/>
      <c r="P71" s="334">
        <v>0.24</v>
      </c>
    </row>
    <row r="72" spans="1:16" ht="22.5" customHeight="1" hidden="1">
      <c r="A72" s="202" t="s">
        <v>426</v>
      </c>
      <c r="B72" s="6"/>
      <c r="C72" s="6"/>
      <c r="D72" s="6"/>
      <c r="E72" s="5"/>
      <c r="F72" s="335"/>
      <c r="G72" s="336" t="s">
        <v>397</v>
      </c>
      <c r="H72" s="337">
        <v>0.2</v>
      </c>
      <c r="I72" s="338" t="s">
        <v>399</v>
      </c>
      <c r="J72" s="339" t="e">
        <f>indiceproljorjul12*(1+H72)</f>
        <v>#NAME?</v>
      </c>
      <c r="K72" s="338"/>
      <c r="L72" s="340"/>
      <c r="M72" s="334"/>
      <c r="N72" s="340" t="s">
        <v>406</v>
      </c>
      <c r="O72" s="397"/>
      <c r="P72" s="334">
        <v>0.26</v>
      </c>
    </row>
    <row r="73" spans="4:16" ht="21.75" customHeight="1" hidden="1" thickBot="1">
      <c r="D73" s="6"/>
      <c r="E73" s="5"/>
      <c r="F73" s="335"/>
      <c r="G73" s="341" t="s">
        <v>400</v>
      </c>
      <c r="H73" s="342">
        <v>0.16</v>
      </c>
      <c r="I73" s="320" t="s">
        <v>401</v>
      </c>
      <c r="J73" s="293">
        <f>1+H73</f>
        <v>1.16</v>
      </c>
      <c r="K73" s="399"/>
      <c r="L73" s="340"/>
      <c r="M73" s="343"/>
      <c r="N73" s="340" t="s">
        <v>407</v>
      </c>
      <c r="O73" s="397"/>
      <c r="P73" s="334" t="e">
        <f>aum062013*1.07</f>
        <v>#NAME?</v>
      </c>
    </row>
    <row r="74" spans="2:36" ht="14.25" customHeight="1" hidden="1" thickBot="1" thickTop="1">
      <c r="B74" s="10"/>
      <c r="C74" s="10"/>
      <c r="D74" s="3"/>
      <c r="E74" s="5"/>
      <c r="F74" s="294"/>
      <c r="G74" s="295"/>
      <c r="H74" s="296"/>
      <c r="I74" s="297"/>
      <c r="J74" s="295"/>
      <c r="K74" s="295"/>
      <c r="L74" s="298"/>
      <c r="U74" s="278"/>
      <c r="V74" s="278"/>
      <c r="W74" s="278"/>
      <c r="X74" s="277"/>
      <c r="AA74" s="198" t="e">
        <f>SUM(#REF!)</f>
        <v>#REF!</v>
      </c>
      <c r="AC74" s="3"/>
      <c r="AD74" s="3"/>
      <c r="AE74" s="3"/>
      <c r="AF74" s="180"/>
      <c r="AG74" s="181"/>
      <c r="AH74" s="3"/>
      <c r="AI74" s="182"/>
      <c r="AJ74" s="3"/>
    </row>
    <row r="75" spans="2:36" ht="23.25" customHeight="1" hidden="1" thickTop="1">
      <c r="B75" s="195"/>
      <c r="C75" s="196"/>
      <c r="D75" s="197"/>
      <c r="F75" s="289" t="s">
        <v>396</v>
      </c>
      <c r="G75" s="290"/>
      <c r="H75" s="290"/>
      <c r="I75" s="291"/>
      <c r="J75" s="292"/>
      <c r="K75" s="291"/>
      <c r="U75" s="275"/>
      <c r="V75" s="275"/>
      <c r="W75" s="275"/>
      <c r="X75" s="277"/>
      <c r="AA75" s="198"/>
      <c r="AC75" s="3"/>
      <c r="AD75" s="3"/>
      <c r="AE75" s="3"/>
      <c r="AF75" s="180"/>
      <c r="AG75" s="181"/>
      <c r="AH75" s="3"/>
      <c r="AI75" s="182"/>
      <c r="AJ75" s="3"/>
    </row>
    <row r="76" spans="2:37" ht="18" customHeight="1" hidden="1" thickBot="1">
      <c r="B76" s="189"/>
      <c r="C76" s="271"/>
      <c r="D76" s="5"/>
      <c r="F76" s="299" t="s">
        <v>404</v>
      </c>
      <c r="G76" s="271"/>
      <c r="H76" s="12"/>
      <c r="I76" s="6"/>
      <c r="J76" s="190"/>
      <c r="K76" s="5"/>
      <c r="AH76" s="3"/>
      <c r="AI76" s="3"/>
      <c r="AJ76" s="3"/>
      <c r="AK76" s="183"/>
    </row>
    <row r="77" spans="2:39" ht="18" customHeight="1" hidden="1" thickBot="1">
      <c r="B77" s="5"/>
      <c r="C77" s="171"/>
      <c r="D77" s="5"/>
      <c r="F77" s="286" t="s">
        <v>402</v>
      </c>
      <c r="G77" s="287"/>
      <c r="H77" s="288"/>
      <c r="I77" s="6"/>
      <c r="J77" s="190"/>
      <c r="K77" s="5"/>
      <c r="W77" s="155" t="s">
        <v>292</v>
      </c>
      <c r="Z77" s="135"/>
      <c r="AA77" s="97"/>
      <c r="AB77" s="155" t="s">
        <v>292</v>
      </c>
      <c r="AE77" s="155" t="s">
        <v>292</v>
      </c>
      <c r="AH77" s="135"/>
      <c r="AI77" s="186"/>
      <c r="AJ77" s="3"/>
      <c r="AK77" s="187"/>
      <c r="AL77" s="3"/>
      <c r="AM77" s="184"/>
    </row>
    <row r="78" spans="2:31" ht="20.25" customHeight="1" hidden="1">
      <c r="B78" s="191"/>
      <c r="Z78" s="3"/>
      <c r="AA78" s="3"/>
      <c r="AB78" s="3"/>
      <c r="AC78" s="3"/>
      <c r="AD78" s="176"/>
      <c r="AE78" s="184"/>
    </row>
    <row r="79" spans="2:10" ht="18" customHeight="1" hidden="1">
      <c r="B79" s="661">
        <v>9.4068</v>
      </c>
      <c r="C79" s="4" t="s">
        <v>496</v>
      </c>
      <c r="D79" s="661">
        <v>10.2883</v>
      </c>
      <c r="E79" s="4" t="s">
        <v>500</v>
      </c>
      <c r="F79" s="661">
        <v>11.114</v>
      </c>
      <c r="G79" s="4" t="s">
        <v>505</v>
      </c>
      <c r="H79" s="1">
        <v>12.7811</v>
      </c>
      <c r="I79" s="4" t="s">
        <v>515</v>
      </c>
      <c r="J79" s="814">
        <f>1+O1</f>
        <v>1.08</v>
      </c>
    </row>
    <row r="80" spans="2:10" ht="19.5" customHeight="1" hidden="1">
      <c r="B80" s="661">
        <v>16.2545</v>
      </c>
      <c r="C80" s="384" t="s">
        <v>497</v>
      </c>
      <c r="D80" s="661">
        <v>17.7776</v>
      </c>
      <c r="E80" s="384" t="s">
        <v>501</v>
      </c>
      <c r="F80" s="661">
        <v>19.2032</v>
      </c>
      <c r="G80" s="384" t="s">
        <v>506</v>
      </c>
      <c r="H80" s="1">
        <v>22.0851</v>
      </c>
      <c r="I80" s="4" t="s">
        <v>516</v>
      </c>
      <c r="J80" s="441">
        <f>1+O1+L1</f>
        <v>1.1500000000000001</v>
      </c>
    </row>
    <row r="81" spans="2:10" ht="19.5" customHeight="1" hidden="1">
      <c r="B81" s="661"/>
      <c r="C81" s="384"/>
      <c r="D81" s="661"/>
      <c r="E81" s="384"/>
      <c r="G81" s="1" t="s">
        <v>507</v>
      </c>
      <c r="H81" s="441">
        <v>1.15</v>
      </c>
      <c r="I81" s="4" t="s">
        <v>517</v>
      </c>
      <c r="J81" s="441">
        <f>1+O1+L1+I1</f>
        <v>1.2500000000000002</v>
      </c>
    </row>
    <row r="82" spans="2:10" ht="19.5" customHeight="1" hidden="1">
      <c r="B82" s="661"/>
      <c r="C82" s="384"/>
      <c r="D82" s="661"/>
      <c r="E82" s="384"/>
      <c r="I82" s="59" t="s">
        <v>518</v>
      </c>
      <c r="J82" s="441">
        <f>1+O1+L1+I1+F1</f>
        <v>1.3500000000000003</v>
      </c>
    </row>
    <row r="83" spans="2:13" ht="19.5" customHeight="1" hidden="1">
      <c r="B83" s="661"/>
      <c r="C83" s="384"/>
      <c r="D83" s="661"/>
      <c r="E83" s="384"/>
      <c r="G83" s="812"/>
      <c r="H83" s="813"/>
      <c r="I83" s="5"/>
      <c r="J83" s="5"/>
      <c r="K83" s="5"/>
      <c r="L83" s="5"/>
      <c r="M83" s="5"/>
    </row>
    <row r="84" spans="2:13" ht="29.25" customHeight="1" hidden="1">
      <c r="B84" s="661"/>
      <c r="C84" s="384"/>
      <c r="D84" s="661"/>
      <c r="E84" s="384"/>
      <c r="G84" s="812"/>
      <c r="H84" s="813"/>
      <c r="I84" s="5"/>
      <c r="J84" s="5"/>
      <c r="K84" s="5"/>
      <c r="L84" s="5"/>
      <c r="M84" s="5"/>
    </row>
    <row r="85" spans="2:13" ht="27" customHeight="1" hidden="1">
      <c r="B85" s="661"/>
      <c r="C85" s="384"/>
      <c r="D85" s="661"/>
      <c r="E85" s="384"/>
      <c r="G85" s="812"/>
      <c r="H85" s="813"/>
      <c r="I85" s="5"/>
      <c r="J85" s="5"/>
      <c r="K85" s="5"/>
      <c r="L85" s="5"/>
      <c r="M85" s="5"/>
    </row>
    <row r="86" spans="2:18" ht="25.5" customHeight="1" hidden="1">
      <c r="B86" s="661"/>
      <c r="C86" s="384"/>
      <c r="D86" s="661"/>
      <c r="E86" s="384"/>
      <c r="G86" s="812">
        <f>971*indicemar21</f>
        <v>12410.4481</v>
      </c>
      <c r="H86" s="813"/>
      <c r="I86" s="5"/>
      <c r="J86" s="5"/>
      <c r="K86" s="842"/>
      <c r="L86" s="842"/>
      <c r="M86" s="842"/>
      <c r="N86" s="842"/>
      <c r="O86" s="842"/>
      <c r="P86" s="842"/>
      <c r="Q86" s="842"/>
      <c r="R86" s="842"/>
    </row>
    <row r="87" spans="2:18" ht="23.25" customHeight="1" hidden="1">
      <c r="B87" s="661"/>
      <c r="C87" s="384"/>
      <c r="D87" s="661"/>
      <c r="E87" s="384"/>
      <c r="G87" s="5">
        <v>11996.77</v>
      </c>
      <c r="H87" s="728">
        <f>G87/G86*30</f>
        <v>29.00000846867085</v>
      </c>
      <c r="I87" s="5"/>
      <c r="J87" s="840"/>
      <c r="K87" s="843"/>
      <c r="L87" s="844"/>
      <c r="M87" s="845"/>
      <c r="N87" s="845"/>
      <c r="O87" s="845"/>
      <c r="P87" s="845"/>
      <c r="Q87" s="845"/>
      <c r="R87" s="845"/>
    </row>
    <row r="88" spans="2:18" ht="20.25" customHeight="1" hidden="1">
      <c r="B88" s="661"/>
      <c r="C88" s="384"/>
      <c r="D88" s="661"/>
      <c r="E88" s="384"/>
      <c r="G88" s="5"/>
      <c r="H88" s="728"/>
      <c r="I88" s="5"/>
      <c r="J88" s="840"/>
      <c r="K88" s="843"/>
      <c r="L88" s="844"/>
      <c r="M88" s="845"/>
      <c r="N88" s="845"/>
      <c r="O88" s="845"/>
      <c r="P88" s="845"/>
      <c r="Q88" s="845"/>
      <c r="R88" s="845"/>
    </row>
    <row r="89" spans="1:18" ht="25.5" customHeight="1" hidden="1">
      <c r="A89" s="148"/>
      <c r="G89" s="5"/>
      <c r="H89" s="728"/>
      <c r="I89" s="5"/>
      <c r="J89" s="833"/>
      <c r="K89" s="846"/>
      <c r="L89" s="847"/>
      <c r="M89" s="847"/>
      <c r="N89" s="847"/>
      <c r="O89" s="847"/>
      <c r="P89" s="847"/>
      <c r="Q89" s="847"/>
      <c r="R89" s="847"/>
    </row>
    <row r="90" spans="1:18" ht="20.25" customHeight="1">
      <c r="A90" s="148"/>
      <c r="G90" s="5"/>
      <c r="H90" s="728"/>
      <c r="I90" s="5"/>
      <c r="J90" s="840"/>
      <c r="K90" s="843"/>
      <c r="L90" s="844"/>
      <c r="M90" s="845"/>
      <c r="N90" s="845"/>
      <c r="O90" s="845"/>
      <c r="P90" s="845"/>
      <c r="Q90" s="845"/>
      <c r="R90" s="845"/>
    </row>
    <row r="91" spans="1:18" ht="18" customHeight="1">
      <c r="A91" s="150"/>
      <c r="B91" s="9"/>
      <c r="J91" s="833"/>
      <c r="K91" s="846"/>
      <c r="L91" s="847"/>
      <c r="M91" s="847"/>
      <c r="N91" s="847"/>
      <c r="O91" s="847"/>
      <c r="P91" s="847"/>
      <c r="Q91" s="847"/>
      <c r="R91" s="847"/>
    </row>
    <row r="92" spans="1:20" ht="14.25">
      <c r="A92" s="147"/>
      <c r="G92" s="174"/>
      <c r="J92" s="840"/>
      <c r="K92" s="843"/>
      <c r="L92" s="845"/>
      <c r="M92" s="845"/>
      <c r="N92" s="845"/>
      <c r="O92" s="845"/>
      <c r="P92" s="845"/>
      <c r="Q92" s="845"/>
      <c r="R92" s="845"/>
      <c r="T92" s="174"/>
    </row>
    <row r="93" spans="10:18" ht="14.25">
      <c r="J93" s="833"/>
      <c r="K93" s="846"/>
      <c r="L93" s="847"/>
      <c r="M93" s="847"/>
      <c r="N93" s="847"/>
      <c r="O93" s="847"/>
      <c r="P93" s="847"/>
      <c r="Q93" s="847"/>
      <c r="R93" s="847"/>
    </row>
    <row r="94" spans="1:20" ht="27">
      <c r="A94" s="174"/>
      <c r="C94" s="155" t="s">
        <v>292</v>
      </c>
      <c r="D94" s="174"/>
      <c r="E94" s="63"/>
      <c r="J94" s="840"/>
      <c r="K94" s="843"/>
      <c r="L94" s="841"/>
      <c r="M94" s="841"/>
      <c r="N94" s="841"/>
      <c r="O94" s="841"/>
      <c r="P94" s="841"/>
      <c r="Q94" s="841"/>
      <c r="R94" s="841"/>
      <c r="S94" s="318"/>
      <c r="T94" s="319"/>
    </row>
    <row r="95" spans="1:20" ht="21" thickBot="1">
      <c r="A95" s="201" t="s">
        <v>374</v>
      </c>
      <c r="C95" s="62"/>
      <c r="E95" s="63"/>
      <c r="I95" s="5"/>
      <c r="J95" s="833"/>
      <c r="K95" s="846"/>
      <c r="L95" s="847"/>
      <c r="M95" s="847"/>
      <c r="N95" s="847"/>
      <c r="O95" s="847"/>
      <c r="P95" s="847"/>
      <c r="Q95" s="847"/>
      <c r="R95" s="847"/>
      <c r="S95" s="316"/>
      <c r="T95" s="319"/>
    </row>
    <row r="96" spans="1:20" ht="18">
      <c r="A96" s="64" t="s">
        <v>17</v>
      </c>
      <c r="B96" s="64" t="s">
        <v>291</v>
      </c>
      <c r="C96" s="64" t="s">
        <v>290</v>
      </c>
      <c r="D96" s="410" t="s">
        <v>288</v>
      </c>
      <c r="E96" s="409" t="s">
        <v>289</v>
      </c>
      <c r="F96" s="375" t="s">
        <v>469</v>
      </c>
      <c r="G96" s="146" t="s">
        <v>470</v>
      </c>
      <c r="H96" s="146" t="s">
        <v>391</v>
      </c>
      <c r="I96" s="5"/>
      <c r="J96" s="840"/>
      <c r="K96" s="843"/>
      <c r="L96" s="845"/>
      <c r="M96" s="845"/>
      <c r="N96" s="845"/>
      <c r="O96" s="845"/>
      <c r="P96" s="845"/>
      <c r="Q96" s="845"/>
      <c r="R96" s="845"/>
      <c r="S96" s="317"/>
      <c r="T96" s="319"/>
    </row>
    <row r="97" spans="1:22" ht="18.75" thickBot="1">
      <c r="A97" s="114">
        <v>749</v>
      </c>
      <c r="B97" s="65">
        <f>LOOKUP(A97,numcargo,punbascargo)</f>
        <v>971</v>
      </c>
      <c r="C97" s="65">
        <f>LOOKUP(A97,numcargo,puntardifcargo)</f>
        <v>0</v>
      </c>
      <c r="D97" s="411">
        <f>LOOKUP(A97,numcargo,punproljorcargo)</f>
        <v>0</v>
      </c>
      <c r="E97" s="409">
        <f>LOOKUP(A97,numcargo,Cargos!R3:R336)</f>
        <v>0</v>
      </c>
      <c r="F97" s="374">
        <f>LOOKUP(A97,numcargo,compbas15)</f>
        <v>350</v>
      </c>
      <c r="G97" s="312">
        <f>LOOKUP(A97,numcargo,adicdir2014)</f>
        <v>0</v>
      </c>
      <c r="H97" s="64">
        <f>IF(AND(D101=1,LOOKUP(A97,numcargo,adicnina)&gt;0),LOOKUP(A97,numcargo,adicnina),0)</f>
        <v>0</v>
      </c>
      <c r="J97" s="833"/>
      <c r="K97" s="846"/>
      <c r="L97" s="847"/>
      <c r="M97" s="847"/>
      <c r="N97" s="847"/>
      <c r="O97" s="847"/>
      <c r="P97" s="847"/>
      <c r="Q97" s="847"/>
      <c r="R97" s="847"/>
      <c r="S97" s="275"/>
      <c r="T97" s="319"/>
      <c r="U97" s="9"/>
      <c r="V97" s="9"/>
    </row>
    <row r="98" spans="1:19" ht="19.5" customHeight="1" thickBot="1">
      <c r="A98" s="194" t="s">
        <v>345</v>
      </c>
      <c r="B98" s="173"/>
      <c r="C98" s="49" t="str">
        <f>LOOKUP(A97,numcargo,nombrecargo)</f>
        <v> MAESTRO DE GRADO</v>
      </c>
      <c r="D98" s="412"/>
      <c r="E98" s="284"/>
      <c r="F98" s="375" t="s">
        <v>469</v>
      </c>
      <c r="G98" s="146" t="s">
        <v>472</v>
      </c>
      <c r="L98" s="275"/>
      <c r="M98" s="275"/>
      <c r="N98" s="275"/>
      <c r="O98" s="275"/>
      <c r="P98" s="275"/>
      <c r="Q98" s="319"/>
      <c r="R98" s="9"/>
      <c r="S98" s="9"/>
    </row>
    <row r="99" spans="1:17" ht="21" thickBot="1">
      <c r="A99" s="119" t="s">
        <v>346</v>
      </c>
      <c r="D99" s="413"/>
      <c r="F99" s="374">
        <f>LOOKUP(A97,numcargo,compbas16)</f>
        <v>414.7</v>
      </c>
      <c r="G99" s="312">
        <f>LOOKUP(A97,numcargo,adicdir2016)</f>
        <v>0</v>
      </c>
      <c r="M99" s="275"/>
      <c r="N99" s="275"/>
      <c r="O99" s="275"/>
      <c r="P99" s="275"/>
      <c r="Q99" s="277"/>
    </row>
    <row r="100" spans="1:21" ht="21" thickBot="1">
      <c r="A100" s="446"/>
      <c r="B100" s="174"/>
      <c r="C100" s="174"/>
      <c r="D100" s="413"/>
      <c r="L100" s="275"/>
      <c r="M100" s="275"/>
      <c r="N100" s="275"/>
      <c r="O100" s="275"/>
      <c r="P100" s="275"/>
      <c r="Q100" s="277"/>
      <c r="R100" s="441"/>
      <c r="T100" s="277"/>
      <c r="U100" s="441"/>
    </row>
    <row r="101" spans="2:41" ht="21" thickBot="1">
      <c r="B101" s="396" t="s">
        <v>476</v>
      </c>
      <c r="C101" s="276"/>
      <c r="D101" s="414">
        <v>0</v>
      </c>
      <c r="E101" s="63" t="s">
        <v>390</v>
      </c>
      <c r="P101" s="170"/>
      <c r="AN101" s="185"/>
      <c r="AO101" s="3"/>
    </row>
    <row r="102" spans="2:24" ht="27" customHeight="1" thickBot="1">
      <c r="B102" s="93" t="s">
        <v>319</v>
      </c>
      <c r="C102" s="42"/>
      <c r="D102" s="415">
        <v>0</v>
      </c>
      <c r="F102" s="134"/>
      <c r="G102" s="135"/>
      <c r="H102" s="174"/>
      <c r="J102" s="3"/>
      <c r="W102" s="188"/>
      <c r="X102" s="3"/>
    </row>
    <row r="103" spans="2:27" ht="17.25" thickBot="1" thickTop="1">
      <c r="B103" s="5"/>
      <c r="C103" s="5"/>
      <c r="D103" s="66">
        <f>LOOKUP(D102,escalaañosantig,escalaporcantig)</f>
        <v>0</v>
      </c>
      <c r="E103" s="679" t="s">
        <v>502</v>
      </c>
      <c r="H103" s="679" t="s">
        <v>502</v>
      </c>
      <c r="J103" s="3"/>
      <c r="K103" s="679" t="s">
        <v>502</v>
      </c>
      <c r="N103" s="679" t="s">
        <v>502</v>
      </c>
      <c r="Q103" s="679" t="s">
        <v>502</v>
      </c>
      <c r="T103" s="679" t="s">
        <v>502</v>
      </c>
      <c r="W103" s="679" t="s">
        <v>502</v>
      </c>
      <c r="Z103" s="177"/>
      <c r="AA103" s="3"/>
    </row>
    <row r="104" spans="2:34" ht="21.75" thickBot="1" thickTop="1">
      <c r="B104" s="383" t="s">
        <v>394</v>
      </c>
      <c r="C104" s="321"/>
      <c r="D104" s="678">
        <v>0</v>
      </c>
      <c r="E104" s="692">
        <f>F140</f>
        <v>44410.999999999985</v>
      </c>
      <c r="F104" s="174"/>
      <c r="H104" s="692">
        <f>I140</f>
        <v>41404</v>
      </c>
      <c r="K104" s="692">
        <f>L140</f>
        <v>37700</v>
      </c>
      <c r="N104" s="692">
        <f>O140</f>
        <v>35595</v>
      </c>
      <c r="Q104" s="692">
        <f>R140</f>
        <v>33189.99999999999</v>
      </c>
      <c r="T104" s="692">
        <f>U140</f>
        <v>32689.999999999993</v>
      </c>
      <c r="W104" s="692">
        <f>X140</f>
        <v>24864.999999999996</v>
      </c>
      <c r="AG104" s="177"/>
      <c r="AH104" s="3"/>
    </row>
    <row r="105" spans="2:34" ht="17.25" thickBot="1" thickTop="1">
      <c r="B105" s="355"/>
      <c r="C105" s="3"/>
      <c r="D105" s="417"/>
      <c r="E105" s="174"/>
      <c r="AG105" s="177"/>
      <c r="AH105" s="3"/>
    </row>
    <row r="106" spans="2:34" ht="18.75" thickBot="1">
      <c r="B106" s="131" t="s">
        <v>5</v>
      </c>
      <c r="C106" s="131"/>
      <c r="D106" s="454">
        <f>PUNTOSbasicos</f>
        <v>971</v>
      </c>
      <c r="E106" s="68" t="s">
        <v>327</v>
      </c>
      <c r="F106" s="69"/>
      <c r="G106" s="524">
        <f>E97+D97</f>
        <v>0</v>
      </c>
      <c r="AG106" s="179"/>
      <c r="AH106" s="3"/>
    </row>
    <row r="107" spans="2:34" s="465" customFormat="1" ht="15.75">
      <c r="B107" s="521"/>
      <c r="C107" s="522"/>
      <c r="D107" s="523"/>
      <c r="E107" s="471"/>
      <c r="F107" s="472"/>
      <c r="G107" s="200"/>
      <c r="J107" s="452"/>
      <c r="AG107" s="459"/>
      <c r="AH107" s="10"/>
    </row>
    <row r="108" spans="2:31" ht="33.75" thickBot="1">
      <c r="B108" s="447"/>
      <c r="C108" s="448"/>
      <c r="D108" s="449"/>
      <c r="E108" s="832">
        <v>44470</v>
      </c>
      <c r="F108" s="804">
        <v>0.1</v>
      </c>
      <c r="G108" s="806"/>
      <c r="H108" s="805">
        <v>44440</v>
      </c>
      <c r="I108" s="804">
        <v>0.1</v>
      </c>
      <c r="J108" s="806"/>
      <c r="K108" s="805">
        <v>44378</v>
      </c>
      <c r="L108" s="803">
        <v>0.07</v>
      </c>
      <c r="M108" s="676"/>
      <c r="N108" s="805">
        <v>44317</v>
      </c>
      <c r="O108" s="803">
        <v>0.08</v>
      </c>
      <c r="P108" s="676"/>
      <c r="Q108" s="849">
        <v>44256</v>
      </c>
      <c r="R108" s="850"/>
      <c r="S108" s="676"/>
      <c r="T108" s="726" t="s">
        <v>512</v>
      </c>
      <c r="U108" s="727"/>
      <c r="V108" s="676"/>
      <c r="W108" s="681" t="s">
        <v>504</v>
      </c>
      <c r="X108" s="682"/>
      <c r="Y108" s="676"/>
      <c r="Z108" s="767"/>
      <c r="AA108" s="767"/>
      <c r="AB108" s="768"/>
      <c r="AC108" s="769"/>
      <c r="AD108" s="770"/>
      <c r="AE108" s="770"/>
    </row>
    <row r="109" spans="2:31" s="7" customFormat="1" ht="13.5" thickBot="1">
      <c r="B109" s="477" t="s">
        <v>349</v>
      </c>
      <c r="C109" s="478" t="s">
        <v>348</v>
      </c>
      <c r="D109" s="479" t="s">
        <v>320</v>
      </c>
      <c r="E109" s="478" t="s">
        <v>321</v>
      </c>
      <c r="F109" s="480" t="s">
        <v>322</v>
      </c>
      <c r="G109" s="693"/>
      <c r="H109" s="478" t="s">
        <v>321</v>
      </c>
      <c r="I109" s="480" t="s">
        <v>322</v>
      </c>
      <c r="J109" s="693"/>
      <c r="K109" s="478" t="s">
        <v>321</v>
      </c>
      <c r="L109" s="480" t="s">
        <v>322</v>
      </c>
      <c r="M109" s="693"/>
      <c r="N109" s="478" t="s">
        <v>321</v>
      </c>
      <c r="O109" s="480" t="s">
        <v>322</v>
      </c>
      <c r="P109" s="693"/>
      <c r="Q109" s="478" t="s">
        <v>321</v>
      </c>
      <c r="R109" s="480" t="s">
        <v>322</v>
      </c>
      <c r="S109" s="693"/>
      <c r="T109" s="478" t="s">
        <v>321</v>
      </c>
      <c r="U109" s="480" t="s">
        <v>322</v>
      </c>
      <c r="V109" s="693"/>
      <c r="W109" s="478" t="s">
        <v>321</v>
      </c>
      <c r="X109" s="480" t="s">
        <v>322</v>
      </c>
      <c r="Y109" s="693"/>
      <c r="Z109" s="9"/>
      <c r="AA109" s="9"/>
      <c r="AB109" s="3"/>
      <c r="AC109" s="9"/>
      <c r="AD109" s="9"/>
      <c r="AE109" s="3"/>
    </row>
    <row r="110" spans="1:31" s="7" customFormat="1" ht="12.75">
      <c r="A110" s="385"/>
      <c r="B110" s="515" t="s">
        <v>297</v>
      </c>
      <c r="C110" s="525"/>
      <c r="D110" s="542" t="s">
        <v>298</v>
      </c>
      <c r="E110" s="558">
        <f>punbascar*indicemar21*Aumento4</f>
        <v>16754.104935000003</v>
      </c>
      <c r="F110" s="559"/>
      <c r="G110" s="694"/>
      <c r="H110" s="558">
        <f>punbascar*indicemar21*Aumento3</f>
        <v>15513.060125000002</v>
      </c>
      <c r="I110" s="559"/>
      <c r="J110" s="694"/>
      <c r="K110" s="558">
        <f>punbascar*indicemar21*Aumento2</f>
        <v>14272.015315</v>
      </c>
      <c r="L110" s="559"/>
      <c r="M110" s="694"/>
      <c r="N110" s="558">
        <f>punbascar*indicemar21*Aumento1</f>
        <v>13403.283948</v>
      </c>
      <c r="O110" s="559"/>
      <c r="P110" s="694"/>
      <c r="Q110" s="558">
        <f>punbascar*indicemar21</f>
        <v>12410.4481</v>
      </c>
      <c r="R110" s="559"/>
      <c r="S110" s="694"/>
      <c r="T110" s="558">
        <f>punbascar*indicemar21</f>
        <v>12410.4481</v>
      </c>
      <c r="U110" s="559"/>
      <c r="V110" s="694"/>
      <c r="W110" s="558">
        <f>punbascar*indiceene20</f>
        <v>10791.694000000001</v>
      </c>
      <c r="X110" s="559"/>
      <c r="Y110" s="694"/>
      <c r="Z110" s="771"/>
      <c r="AA110" s="771"/>
      <c r="AB110" s="772"/>
      <c r="AC110" s="771"/>
      <c r="AD110" s="771"/>
      <c r="AE110" s="772"/>
    </row>
    <row r="111" spans="1:31" s="7" customFormat="1" ht="12.75">
      <c r="A111" s="385"/>
      <c r="B111" s="510" t="s">
        <v>371</v>
      </c>
      <c r="C111" s="526"/>
      <c r="D111" s="543" t="s">
        <v>368</v>
      </c>
      <c r="E111" s="560">
        <f>compbas2016*indicemar21*Aumento4</f>
        <v>7155.434929500002</v>
      </c>
      <c r="F111" s="561"/>
      <c r="G111" s="751"/>
      <c r="H111" s="560">
        <f>compbas2016*indicemar21*Aumento3</f>
        <v>6625.402712500002</v>
      </c>
      <c r="I111" s="561"/>
      <c r="J111" s="751"/>
      <c r="K111" s="560">
        <f>compbas2016*indicemar21*Aumento2</f>
        <v>6095.370495500001</v>
      </c>
      <c r="L111" s="561"/>
      <c r="M111" s="751"/>
      <c r="N111" s="560">
        <f>compbas2016*indicemar21*Aumento1</f>
        <v>5724.347943600001</v>
      </c>
      <c r="O111" s="561"/>
      <c r="P111" s="751"/>
      <c r="Q111" s="560">
        <f>compbas2016*indicemar21</f>
        <v>5300.32217</v>
      </c>
      <c r="R111" s="561"/>
      <c r="S111" s="751"/>
      <c r="T111" s="560">
        <f>compbas2016*indicemar21</f>
        <v>5300.32217</v>
      </c>
      <c r="U111" s="561"/>
      <c r="V111" s="751"/>
      <c r="W111" s="560">
        <f>compbas2016*indiceene20</f>
        <v>4608.9758</v>
      </c>
      <c r="X111" s="561"/>
      <c r="Y111" s="695"/>
      <c r="Z111" s="771"/>
      <c r="AA111" s="773"/>
      <c r="AB111" s="774"/>
      <c r="AC111" s="771"/>
      <c r="AD111" s="773"/>
      <c r="AE111" s="774"/>
    </row>
    <row r="112" spans="1:31" s="7" customFormat="1" ht="12.75">
      <c r="A112" s="385"/>
      <c r="B112" s="517" t="s">
        <v>433</v>
      </c>
      <c r="C112" s="527"/>
      <c r="D112" s="544" t="s">
        <v>378</v>
      </c>
      <c r="E112" s="562">
        <f>compdir16*indicemar21*Aumento4</f>
        <v>0</v>
      </c>
      <c r="F112" s="563"/>
      <c r="G112" s="695"/>
      <c r="H112" s="562">
        <f>compdir16*indicemar21*Aumento3</f>
        <v>0</v>
      </c>
      <c r="I112" s="563"/>
      <c r="J112" s="751"/>
      <c r="K112" s="562">
        <f>compdir16*indicemar21*Aumento2</f>
        <v>0</v>
      </c>
      <c r="L112" s="563"/>
      <c r="M112" s="751"/>
      <c r="N112" s="562">
        <f>compdir16*indicemar21*Aumento1</f>
        <v>0</v>
      </c>
      <c r="O112" s="563"/>
      <c r="P112" s="751"/>
      <c r="Q112" s="562">
        <f>compdir16*indicemar21</f>
        <v>0</v>
      </c>
      <c r="R112" s="563"/>
      <c r="S112" s="751"/>
      <c r="T112" s="562">
        <f>compdir16*indicemar21</f>
        <v>0</v>
      </c>
      <c r="U112" s="563"/>
      <c r="V112" s="751"/>
      <c r="W112" s="562">
        <f>compdir16*indiceene20</f>
        <v>0</v>
      </c>
      <c r="X112" s="563"/>
      <c r="Y112" s="696"/>
      <c r="Z112" s="775"/>
      <c r="AA112" s="771"/>
      <c r="AB112" s="774"/>
      <c r="AC112" s="775"/>
      <c r="AD112" s="771"/>
      <c r="AE112" s="774"/>
    </row>
    <row r="113" spans="1:31" s="7" customFormat="1" ht="12.75">
      <c r="A113" s="385"/>
      <c r="B113" s="510" t="s">
        <v>427</v>
      </c>
      <c r="C113" s="528"/>
      <c r="D113" s="543" t="s">
        <v>428</v>
      </c>
      <c r="E113" s="564">
        <f>puntosadicnina*indiceproljormar21*Aumento4</f>
        <v>0</v>
      </c>
      <c r="F113" s="565"/>
      <c r="G113" s="695"/>
      <c r="H113" s="564">
        <f>puntosadicnina*indiceproljormar21*Aumento3</f>
        <v>0</v>
      </c>
      <c r="I113" s="565"/>
      <c r="J113" s="751"/>
      <c r="K113" s="564">
        <f>puntosadicnina*indiceproljormar21*Aumento2</f>
        <v>0</v>
      </c>
      <c r="L113" s="565"/>
      <c r="M113" s="751"/>
      <c r="N113" s="564">
        <f>puntosadicnina*indiceproljormar21*Aumento1</f>
        <v>0</v>
      </c>
      <c r="O113" s="565"/>
      <c r="P113" s="751"/>
      <c r="Q113" s="564">
        <f>puntosadicnina*indiceproljormar21</f>
        <v>0</v>
      </c>
      <c r="R113" s="565"/>
      <c r="S113" s="751"/>
      <c r="T113" s="564">
        <f>puntosadicnina*indiceproljormar21</f>
        <v>0</v>
      </c>
      <c r="U113" s="565"/>
      <c r="V113" s="751"/>
      <c r="W113" s="564">
        <f>puntosadicnina*indiceproljorene20</f>
        <v>0</v>
      </c>
      <c r="X113" s="565"/>
      <c r="Y113" s="695"/>
      <c r="Z113" s="760"/>
      <c r="AA113" s="771"/>
      <c r="AB113" s="774"/>
      <c r="AC113" s="760"/>
      <c r="AD113" s="771"/>
      <c r="AE113" s="774"/>
    </row>
    <row r="114" spans="1:31" s="7" customFormat="1" ht="12.75">
      <c r="A114" s="385"/>
      <c r="B114" s="748" t="s">
        <v>301</v>
      </c>
      <c r="C114" s="749"/>
      <c r="D114" s="750" t="s">
        <v>328</v>
      </c>
      <c r="E114" s="746">
        <f>LOOKUP(porantigcargo,porant,codigo06cargosfeb21)*Aumento4</f>
        <v>13437.900000000003</v>
      </c>
      <c r="F114" s="563"/>
      <c r="G114" s="697"/>
      <c r="H114" s="746">
        <f>LOOKUP(porantigcargo,porant,codigo06cargosfeb21)*Aumento3</f>
        <v>12442.500000000002</v>
      </c>
      <c r="I114" s="563"/>
      <c r="J114" s="752"/>
      <c r="K114" s="746">
        <f>LOOKUP(porantigcargo,porant,codigo06cargosfeb21)*Aumento2</f>
        <v>11447.100000000002</v>
      </c>
      <c r="L114" s="563"/>
      <c r="M114" s="752"/>
      <c r="N114" s="746">
        <f>LOOKUP(porantigcargo,porant,codigo06cargosfeb21)*Aumento1</f>
        <v>10750.320000000002</v>
      </c>
      <c r="O114" s="563"/>
      <c r="P114" s="752"/>
      <c r="Q114" s="746">
        <f>LOOKUP(porantigcargo,porant,codigo06cargosfeb21)</f>
        <v>9954</v>
      </c>
      <c r="R114" s="563"/>
      <c r="S114" s="752"/>
      <c r="T114" s="746">
        <f>LOOKUP(porantigcargo,porant,codigo06cargosfeb21)</f>
        <v>9954</v>
      </c>
      <c r="U114" s="563"/>
      <c r="V114" s="752"/>
      <c r="W114" s="566">
        <f>LOOKUP(porantigcargo,porant,codigo06cargosene20)</f>
        <v>4308</v>
      </c>
      <c r="X114" s="563"/>
      <c r="Y114" s="752"/>
      <c r="Z114" s="771"/>
      <c r="AA114" s="771"/>
      <c r="AB114" s="776"/>
      <c r="AC114" s="771"/>
      <c r="AD114" s="771"/>
      <c r="AE114" s="776"/>
    </row>
    <row r="115" spans="1:31" s="7" customFormat="1" ht="12.75">
      <c r="A115" s="385"/>
      <c r="B115" s="507" t="s">
        <v>296</v>
      </c>
      <c r="C115" s="530">
        <f>porantigcargo</f>
        <v>0</v>
      </c>
      <c r="D115" s="546" t="s">
        <v>0</v>
      </c>
      <c r="E115" s="560">
        <f>(E110+E111+E112+E113+E118+E119)*porantigcargo</f>
        <v>0</v>
      </c>
      <c r="F115" s="565"/>
      <c r="G115" s="802"/>
      <c r="H115" s="560">
        <f>(H110+H111+H112+H113+H118+H119)*porantigcargo</f>
        <v>0</v>
      </c>
      <c r="I115" s="565"/>
      <c r="J115" s="753"/>
      <c r="K115" s="560">
        <f>(K110+K111+K112+K113+K118+K119)*porantigcargo</f>
        <v>0</v>
      </c>
      <c r="L115" s="565"/>
      <c r="M115" s="753"/>
      <c r="N115" s="560">
        <f>(N110+N111+N112+N113+N118+N119)*porantigcargo</f>
        <v>0</v>
      </c>
      <c r="O115" s="565"/>
      <c r="P115" s="753"/>
      <c r="Q115" s="560">
        <f>(Q110+Q111+Q112+Q113+Q118+Q119)*porantigcargo</f>
        <v>0</v>
      </c>
      <c r="R115" s="565"/>
      <c r="S115" s="753"/>
      <c r="T115" s="560">
        <f>(T110+T111+T112+T113+T118+T119)*porantigcargo</f>
        <v>0</v>
      </c>
      <c r="U115" s="565"/>
      <c r="V115" s="753"/>
      <c r="W115" s="560">
        <f>(W110+W111+W112+W113+W118+W119)*porantigcargo</f>
        <v>0</v>
      </c>
      <c r="X115" s="565"/>
      <c r="Y115" s="753"/>
      <c r="Z115" s="771"/>
      <c r="AA115" s="771"/>
      <c r="AB115" s="755"/>
      <c r="AC115" s="771"/>
      <c r="AD115" s="771"/>
      <c r="AE115" s="755"/>
    </row>
    <row r="116" spans="1:31" s="7" customFormat="1" ht="12.75">
      <c r="A116" s="385"/>
      <c r="B116" s="44" t="s">
        <v>302</v>
      </c>
      <c r="C116" s="529"/>
      <c r="D116" s="545" t="s">
        <v>329</v>
      </c>
      <c r="E116" s="566">
        <f>E114*0.07</f>
        <v>940.6530000000004</v>
      </c>
      <c r="F116" s="565"/>
      <c r="G116" s="732">
        <f>IF(puntosproljor&gt;600,G124,G121)</f>
        <v>8411.258160747575</v>
      </c>
      <c r="H116" s="566">
        <f>H114*0.07</f>
        <v>870.9750000000003</v>
      </c>
      <c r="I116" s="565"/>
      <c r="J116" s="819">
        <f>IF(puntosproljor&gt;600,J124,J121)</f>
        <v>7787.039588454337</v>
      </c>
      <c r="K116" s="566">
        <f>K114*0.07</f>
        <v>801.2970000000003</v>
      </c>
      <c r="L116" s="565"/>
      <c r="M116" s="837">
        <f>IF(puntosproljor&gt;600,M124,M121)</f>
        <v>7166.308252874708</v>
      </c>
      <c r="N116" s="566">
        <f>N114*0.07</f>
        <v>752.5224000000002</v>
      </c>
      <c r="O116" s="565"/>
      <c r="P116" s="819">
        <f>IF(puntosproljor&gt;600,P124,P121)</f>
        <v>6729.239011045641</v>
      </c>
      <c r="Q116" s="566">
        <f>Q114*0.07</f>
        <v>696.7800000000001</v>
      </c>
      <c r="R116" s="565"/>
      <c r="S116" s="819">
        <f>IF(puntosproljor&gt;600,S124,S121)</f>
        <v>6230.56160055377</v>
      </c>
      <c r="T116" s="566">
        <f>T114*0.07</f>
        <v>696.7800000000001</v>
      </c>
      <c r="U116" s="565"/>
      <c r="V116" s="819">
        <f>IF(puntosproljor&gt;600,V124,V121)</f>
        <v>6230.56160055377</v>
      </c>
      <c r="W116" s="566">
        <f>W114*0.07</f>
        <v>301.56</v>
      </c>
      <c r="X116" s="565"/>
      <c r="Y116" s="819">
        <f>IF(puntosproljor&gt;600,Y124,Y121)</f>
        <v>5227.366309173751</v>
      </c>
      <c r="Z116" s="771"/>
      <c r="AA116" s="771"/>
      <c r="AB116" s="756"/>
      <c r="AC116" s="771"/>
      <c r="AD116" s="771"/>
      <c r="AE116" s="756"/>
    </row>
    <row r="117" spans="1:31" s="7" customFormat="1" ht="12.75">
      <c r="A117" s="385"/>
      <c r="B117" s="508" t="s">
        <v>299</v>
      </c>
      <c r="C117" s="530">
        <v>0.07</v>
      </c>
      <c r="D117" s="546" t="s">
        <v>330</v>
      </c>
      <c r="E117" s="567">
        <f>(E110+E111+E112+E113+E115+E118+E119+E120+E121+E122)*0.07</f>
        <v>2361.376571767331</v>
      </c>
      <c r="F117" s="565"/>
      <c r="G117" s="733"/>
      <c r="H117" s="567">
        <f>(H110+H111+H112+H113+H115+H118+H119+H120+H121+H122)*0.07</f>
        <v>2186.3784198168037</v>
      </c>
      <c r="I117" s="565"/>
      <c r="J117" s="824"/>
      <c r="K117" s="567">
        <f>(K110+K111+K112+K113+K115+K118+K119+K120+K121+K122)*0.07</f>
        <v>2011.6243744362298</v>
      </c>
      <c r="L117" s="565"/>
      <c r="M117" s="838"/>
      <c r="N117" s="567">
        <f>(N110+N111+N112+N113+N115+N118+N119+N120+N121+N122)*0.07</f>
        <v>1889.1175311851953</v>
      </c>
      <c r="O117" s="565"/>
      <c r="P117" s="824"/>
      <c r="Q117" s="567">
        <f>(Q110+Q111+Q112+Q113+Q115+Q118+Q119+Q120+Q121+Q122)*0.07</f>
        <v>1749.1678309387642</v>
      </c>
      <c r="R117" s="565"/>
      <c r="S117" s="824"/>
      <c r="T117" s="567">
        <f>(T110+T111+T112+T113+T115+T118+T119+T120+T121+T122)*0.07</f>
        <v>1749.1678309387642</v>
      </c>
      <c r="U117" s="565"/>
      <c r="V117" s="824"/>
      <c r="W117" s="567">
        <f>(W110+W111+W112+W113+W115+W118+W119+W120+W121+W122)*0.07</f>
        <v>1507.6765276421627</v>
      </c>
      <c r="X117" s="565"/>
      <c r="Y117" s="824"/>
      <c r="Z117" s="777"/>
      <c r="AA117" s="771"/>
      <c r="AB117" s="757"/>
      <c r="AC117" s="777"/>
      <c r="AD117" s="771"/>
      <c r="AE117" s="757"/>
    </row>
    <row r="118" spans="1:31" s="7" customFormat="1" ht="12.75">
      <c r="A118" s="385"/>
      <c r="B118" s="44" t="s">
        <v>295</v>
      </c>
      <c r="C118" s="531"/>
      <c r="D118" s="545" t="s">
        <v>311</v>
      </c>
      <c r="E118" s="566">
        <f>puntosproljor*indiceproljormar21*Aumento4</f>
        <v>0</v>
      </c>
      <c r="F118" s="563"/>
      <c r="G118" s="825">
        <v>38882</v>
      </c>
      <c r="H118" s="566">
        <f>puntosproljor*indiceproljormar21*Aumento3</f>
        <v>0</v>
      </c>
      <c r="I118" s="563"/>
      <c r="J118" s="825">
        <v>36285</v>
      </c>
      <c r="K118" s="566">
        <f>puntosproljor*indiceproljormar21*Aumento2</f>
        <v>0</v>
      </c>
      <c r="L118" s="563"/>
      <c r="M118" s="830">
        <v>32989</v>
      </c>
      <c r="N118" s="566">
        <f>puntosproljor*indiceproljormar21*Aumento1</f>
        <v>0</v>
      </c>
      <c r="O118" s="563"/>
      <c r="P118" s="830">
        <v>31171</v>
      </c>
      <c r="Q118" s="566">
        <f>puntosproljor*indiceproljormar21</f>
        <v>0</v>
      </c>
      <c r="R118" s="563"/>
      <c r="S118" s="818">
        <v>29094.17</v>
      </c>
      <c r="T118" s="566">
        <f>puntosproljor*indiceproljormar21</f>
        <v>0</v>
      </c>
      <c r="U118" s="563"/>
      <c r="V118" s="818">
        <v>28594.17</v>
      </c>
      <c r="W118" s="566">
        <f>puntosproljor*indiceproljorene20</f>
        <v>0</v>
      </c>
      <c r="X118" s="563"/>
      <c r="Y118" s="818">
        <v>20708</v>
      </c>
      <c r="Z118" s="771"/>
      <c r="AA118" s="771"/>
      <c r="AB118" s="758"/>
      <c r="AC118" s="771"/>
      <c r="AD118" s="771"/>
      <c r="AE118" s="758"/>
    </row>
    <row r="119" spans="1:31" s="7" customFormat="1" ht="12.75">
      <c r="A119" s="385"/>
      <c r="B119" s="510" t="s">
        <v>294</v>
      </c>
      <c r="C119" s="526"/>
      <c r="D119" s="546" t="s">
        <v>312</v>
      </c>
      <c r="E119" s="560">
        <f>puntostardif*indicemar21*Aumento4</f>
        <v>0</v>
      </c>
      <c r="F119" s="565"/>
      <c r="G119" s="819">
        <f>IF((totalrem4-E120*1.07)*0.804&lt;G118-E126-E127-E129,(G118-E126-E127-E129-(totalrem4-E120*1.07)*0.804)/0.804,0)/1.07</f>
        <v>1984.280897530949</v>
      </c>
      <c r="H119" s="560">
        <f>puntostardif*indicemar21*Aumento3</f>
        <v>0</v>
      </c>
      <c r="I119" s="565"/>
      <c r="J119" s="819">
        <f>IF((totalrem3-H120*1.07)*0.804&lt;J118-H126-H129,(J118-H126-H127-H129-(totalrem3-H120*1.07)*0.804)/0.804,0)/1.07</f>
        <v>1836.6513427668863</v>
      </c>
      <c r="K119" s="560">
        <f>puntostardif*indicemar21*Aumento2</f>
        <v>0</v>
      </c>
      <c r="L119" s="565"/>
      <c r="M119" s="837">
        <f>IF((totalrem2-K120*1.07)*0.804&lt;M118-K126-K127-K129,(M118-K126-K127-K129-(totalrem2-K120*1.07)*0.804)/0.804,0)/1.07</f>
        <v>1690.1842002406827</v>
      </c>
      <c r="N119" s="560">
        <f>puntostardif*indicemar21*Aumento1</f>
        <v>0</v>
      </c>
      <c r="O119" s="565"/>
      <c r="P119" s="819">
        <f>IF((totalrem1-N120*1.07)*0.804&lt;P118-N126-N127-N129,(P118-N126-N127-N129-(totalrem1-N120*1.07)*0.804)/0.804,0)/1.07</f>
        <v>1586.7272706820386</v>
      </c>
      <c r="Q119" s="560">
        <f>puntostardif*indicemar21</f>
        <v>0</v>
      </c>
      <c r="R119" s="565"/>
      <c r="S119" s="819">
        <f>IF((totalremfeb21-Q120*1.07)*0.804&lt;S118-Q126-Q127-Q129,(S118-Q126-Q127-Q129-(totalremfeb21-Q120*1.07)*0.804)/0.804,0)/1.07</f>
        <v>1469.5186842939468</v>
      </c>
      <c r="T119" s="560">
        <f>puntostardif*indicemar21</f>
        <v>0</v>
      </c>
      <c r="U119" s="565"/>
      <c r="V119" s="819">
        <f>IF((totalremfeb21-T120*1.07)*0.804&lt;V118-T126-T127-T129,(V118-T126-T127-T129-(totalremfeb21-T120*1.07)*0.804)/0.804,0)/1.07</f>
        <v>1469.5186842939468</v>
      </c>
      <c r="W119" s="560">
        <f>puntostardif*indiceene20</f>
        <v>0</v>
      </c>
      <c r="X119" s="565"/>
      <c r="Y119" s="819">
        <f>IF((totalremmar20-W120*1.07)*0.804&lt;Y118-W126-W129,(Y118-W126-W129-(totalremmar20-W120*1.07)*0.804)/0.804,0)/1.07</f>
        <v>1801.73744415306</v>
      </c>
      <c r="Z119" s="771"/>
      <c r="AA119" s="771"/>
      <c r="AB119" s="756"/>
      <c r="AC119" s="771"/>
      <c r="AD119" s="771"/>
      <c r="AE119" s="756"/>
    </row>
    <row r="120" spans="1:31" s="7" customFormat="1" ht="15">
      <c r="A120" s="385"/>
      <c r="B120" s="44" t="s">
        <v>293</v>
      </c>
      <c r="C120" s="532">
        <v>0</v>
      </c>
      <c r="D120" s="547" t="s">
        <v>351</v>
      </c>
      <c r="E120" s="568">
        <f>(E110+E111+E112+E113+E118+E119)*porzonacargo</f>
        <v>0</v>
      </c>
      <c r="F120" s="563"/>
      <c r="G120" s="820">
        <v>44411</v>
      </c>
      <c r="H120" s="568">
        <f>(H110+H111+H112+H113+H118+H119)*porzonacargo</f>
        <v>0</v>
      </c>
      <c r="I120" s="563"/>
      <c r="J120" s="820">
        <v>41404</v>
      </c>
      <c r="K120" s="568">
        <f>(K110+K111+K112+K113+K118+K119)*porzonacargo</f>
        <v>0</v>
      </c>
      <c r="L120" s="563"/>
      <c r="M120" s="830">
        <v>37700</v>
      </c>
      <c r="N120" s="568">
        <f>(N110+N111+N112+N113+N118+N119)*porzonacargo</f>
        <v>0</v>
      </c>
      <c r="O120" s="563"/>
      <c r="P120" s="830">
        <v>35595</v>
      </c>
      <c r="Q120" s="568">
        <f>(Q110+Q111+Q112+Q113+Q118+Q119)*porzonacargo</f>
        <v>0</v>
      </c>
      <c r="R120" s="563"/>
      <c r="S120" s="820">
        <v>33190</v>
      </c>
      <c r="T120" s="568">
        <f>(T110+T111+T112+T113+T118+T119)*porzonacargo</f>
        <v>0</v>
      </c>
      <c r="U120" s="563"/>
      <c r="V120" s="820">
        <v>32690</v>
      </c>
      <c r="W120" s="568">
        <f>(W110+W111+W112+W113+W118+W119)*porzonacargo</f>
        <v>0</v>
      </c>
      <c r="X120" s="563"/>
      <c r="Y120" s="820">
        <v>24865</v>
      </c>
      <c r="Z120" s="777"/>
      <c r="AA120" s="771"/>
      <c r="AB120" s="759"/>
      <c r="AC120" s="777"/>
      <c r="AD120" s="771"/>
      <c r="AE120" s="759"/>
    </row>
    <row r="121" spans="1:31" s="7" customFormat="1" ht="12.75">
      <c r="A121" s="385"/>
      <c r="B121" s="508" t="s">
        <v>300</v>
      </c>
      <c r="C121" s="526"/>
      <c r="D121" s="548" t="s">
        <v>317</v>
      </c>
      <c r="E121" s="569">
        <f>IF(punbascar&lt;913,G119,G116)</f>
        <v>8411.258160747575</v>
      </c>
      <c r="F121" s="565"/>
      <c r="G121" s="819">
        <f>IF((totalrem4-E120*1.07)*0.804&lt;G120-E126-E127-E129,(G120-E126-E127-E129-(totalrem4-E120*1.07)*0.804)/0.804,0)/1.07</f>
        <v>8411.258160747575</v>
      </c>
      <c r="H121" s="569">
        <f>IF(punbascar&lt;913,J119,J116)</f>
        <v>7787.039588454337</v>
      </c>
      <c r="I121" s="565"/>
      <c r="J121" s="819">
        <f>IF((totalrem3-H120*1.07)*0.804&lt;J120-H126-H127-H129,(J120-H126-H127-H129-(totalrem3-H120*1.07)*0.804)/0.804,0)/1.07</f>
        <v>7787.039588454337</v>
      </c>
      <c r="K121" s="569">
        <f>IF(punbascar&lt;913,M119,M116)</f>
        <v>7166.308252874708</v>
      </c>
      <c r="L121" s="565"/>
      <c r="M121" s="837">
        <f>IF((totalrem2-K120*1.07)*0.804&lt;M120-K126-K127-K129,(M120-K126-K127-K129-(totalrem2-K120*1.07)*0.804)/0.804,0)/1.07</f>
        <v>7166.308252874708</v>
      </c>
      <c r="N121" s="569">
        <f>IF(punbascar&lt;913,P119,P116)</f>
        <v>6729.239011045641</v>
      </c>
      <c r="O121" s="565"/>
      <c r="P121" s="819">
        <f>IF((totalrem1-N120*1.07)*0.804&lt;P120-N126-N127-N129,(P120-N126-N127-N129-(totalrem1-N120*1.07)*0.804)/0.804,0)/1.07</f>
        <v>6729.239011045641</v>
      </c>
      <c r="Q121" s="569">
        <f>IF(punbascar&lt;913,S119,S116)</f>
        <v>6230.56160055377</v>
      </c>
      <c r="R121" s="565"/>
      <c r="S121" s="819">
        <f>IF((totalremfeb21-Q120*1.07)*0.804&lt;S120-Q126-Q127-Q129,(S120-Q126-Q127-Q129-(totalremfeb21-Q120*1.07)*0.804)/0.804,0)/1.07</f>
        <v>6230.56160055377</v>
      </c>
      <c r="T121" s="569">
        <f>IF(punbascar&lt;913,V119,V116)</f>
        <v>6230.56160055377</v>
      </c>
      <c r="U121" s="565"/>
      <c r="V121" s="819">
        <f>IF((totalremfeb21-T120*1.07)*0.804&lt;V120-T126-T127-T129,(V120-T126-T127-T129-(totalremfeb21-T120*1.07)*0.804)/0.804,0)/1.07</f>
        <v>6230.56160055377</v>
      </c>
      <c r="W121" s="569">
        <f>IF(punbascar&lt;913,Y119,Y116)</f>
        <v>5227.366309173751</v>
      </c>
      <c r="X121" s="565"/>
      <c r="Y121" s="819">
        <f>IF((totalremmar20-W120*1.07)*0.804&lt;Y120-W126-T127-W129,(Y120-W126-T127-W129-(totalremmar20-W120*1.07)*0.804)/0.804,0)/1.07</f>
        <v>5227.366309173751</v>
      </c>
      <c r="Z121" s="778"/>
      <c r="AA121" s="771"/>
      <c r="AB121" s="756"/>
      <c r="AC121" s="778"/>
      <c r="AD121" s="771"/>
      <c r="AE121" s="756"/>
    </row>
    <row r="122" spans="2:31" s="7" customFormat="1" ht="15.75">
      <c r="B122" s="484" t="s">
        <v>484</v>
      </c>
      <c r="C122" s="533">
        <v>1</v>
      </c>
      <c r="D122" s="545" t="s">
        <v>480</v>
      </c>
      <c r="E122" s="836">
        <f>IF(AND(puntosproljor&lt;620,punbascar&lt;2200),1046.78,2093.56)*C122*Aumento4</f>
        <v>1413.1530000000002</v>
      </c>
      <c r="F122" s="574"/>
      <c r="G122" s="734"/>
      <c r="H122" s="836">
        <f>IF(AND(puntosproljor&lt;620,punbascar&lt;2200),1046.78,2093.56)*C122*Aumento3</f>
        <v>1308.4750000000001</v>
      </c>
      <c r="I122" s="574"/>
      <c r="J122" s="752"/>
      <c r="K122" s="836">
        <f>IF(AND(puntosproljor&lt;620,punbascar&lt;2200),1046.78,2093.56)*C122*Aumento2</f>
        <v>1203.797</v>
      </c>
      <c r="L122" s="574"/>
      <c r="M122" s="839"/>
      <c r="N122" s="836">
        <f>IF(AND(puntosproljor&lt;620,punbascar&lt;2200),1046.78,2093.56)*C122*Aumento1</f>
        <v>1130.5224</v>
      </c>
      <c r="O122" s="574"/>
      <c r="P122" s="752"/>
      <c r="Q122" s="573">
        <f>IF(AND(puntosproljor&lt;620,punbascar&lt;2200),1046.78,2093.56)*C122</f>
        <v>1046.78</v>
      </c>
      <c r="R122" s="574"/>
      <c r="S122" s="752"/>
      <c r="T122" s="573">
        <f>IF(AND(puntosproljor&lt;620,punbascar&lt;2200),1046.78,2093.56)*C122</f>
        <v>1046.78</v>
      </c>
      <c r="U122" s="574"/>
      <c r="V122" s="752"/>
      <c r="W122" s="573">
        <f>IF(AND(puntosproljor&lt;620,punbascar&lt;2200),910.2,1820.4)*C122</f>
        <v>910.2</v>
      </c>
      <c r="X122" s="574"/>
      <c r="Y122" s="752"/>
      <c r="Z122" s="779"/>
      <c r="AA122" s="780"/>
      <c r="AB122" s="757"/>
      <c r="AC122" s="779"/>
      <c r="AD122" s="780"/>
      <c r="AE122" s="757"/>
    </row>
    <row r="123" spans="1:31" s="7" customFormat="1" ht="12.75">
      <c r="A123" s="385"/>
      <c r="B123" s="483" t="s">
        <v>392</v>
      </c>
      <c r="C123" s="529">
        <f>cantkm</f>
        <v>0</v>
      </c>
      <c r="D123" s="549" t="s">
        <v>393</v>
      </c>
      <c r="E123" s="570">
        <f>IF(kmsem&lt;300,kmsem*4.3141666*4,5177)*1.5</f>
        <v>0</v>
      </c>
      <c r="F123" s="852" t="s">
        <v>526</v>
      </c>
      <c r="G123" s="820">
        <v>60060</v>
      </c>
      <c r="H123" s="570">
        <f>IF(kmsem&lt;300,kmsem*4.31416*4,5177)*1.4</f>
        <v>0</v>
      </c>
      <c r="I123" s="852" t="s">
        <v>526</v>
      </c>
      <c r="J123" s="820">
        <v>56179</v>
      </c>
      <c r="K123" s="570">
        <f>IF(kmsem&lt;300,kmsem*4.31416*4,5177)*1.3</f>
        <v>0</v>
      </c>
      <c r="L123" s="852" t="s">
        <v>526</v>
      </c>
      <c r="M123" s="830">
        <v>50897</v>
      </c>
      <c r="N123" s="570">
        <f>IF(kmsem&lt;300,kmsem*4.31416*4,5177)*1.2</f>
        <v>0</v>
      </c>
      <c r="O123" s="852" t="s">
        <v>524</v>
      </c>
      <c r="P123" s="829">
        <v>48140</v>
      </c>
      <c r="Q123" s="570">
        <f>IF(kmsem&lt;300,kmsem*4.31416*4,5177)</f>
        <v>0</v>
      </c>
      <c r="R123" s="563"/>
      <c r="S123" s="820">
        <v>45074.5</v>
      </c>
      <c r="T123" s="570">
        <f>IF(kmsem&lt;300,kmsem*4.31416*4,5177)</f>
        <v>0</v>
      </c>
      <c r="U123" s="852" t="s">
        <v>525</v>
      </c>
      <c r="V123" s="820">
        <v>44074.5</v>
      </c>
      <c r="W123" s="570">
        <f>IF(kmsem&lt;300,kmsem*3.7508*4,4501)</f>
        <v>0</v>
      </c>
      <c r="X123" s="563"/>
      <c r="Y123" s="820">
        <v>33798</v>
      </c>
      <c r="Z123" s="760"/>
      <c r="AA123" s="771"/>
      <c r="AB123" s="759"/>
      <c r="AC123" s="760"/>
      <c r="AD123" s="771"/>
      <c r="AE123" s="759"/>
    </row>
    <row r="124" spans="2:31" s="7" customFormat="1" ht="15">
      <c r="B124" s="509" t="s">
        <v>313</v>
      </c>
      <c r="C124" s="526" t="s">
        <v>314</v>
      </c>
      <c r="D124" s="550"/>
      <c r="E124" s="571">
        <v>0</v>
      </c>
      <c r="F124" s="572"/>
      <c r="G124" s="819">
        <f>IF((totalrem4-E120*1.07)*0.804&lt;G123-E126-E127-E129,(G123-E126-E127-E129-(totalrem4-E120*1.07)*0.804)/0.804,0)/1.07</f>
        <v>26601.84727126973</v>
      </c>
      <c r="H124" s="571">
        <v>0</v>
      </c>
      <c r="I124" s="572"/>
      <c r="J124" s="819">
        <f>IF((totalrem3-H120*1.07)*0.804&lt;J123-H126-H129,(J123-H126-H127-H129-(totalrem3-H120*1.07)*0.804)/0.804,0)/1.07</f>
        <v>24961.68040307283</v>
      </c>
      <c r="K124" s="571">
        <v>0</v>
      </c>
      <c r="L124" s="572"/>
      <c r="M124" s="837">
        <f>IF((totalrem2-K120*1.07)*0.804&lt;M123-K126-K127-K129,(M123-K126-K127-K129-(totalrem2-K120*1.07)*0.804)/0.804,0)/1.07</f>
        <v>22506.66255612481</v>
      </c>
      <c r="N124" s="571">
        <v>0</v>
      </c>
      <c r="O124" s="572"/>
      <c r="P124" s="819">
        <f>IF((totalrem1-N120*1.07)*0.804&lt;P123-N126-N127-N129,(P123-N126-N127-N129-(totalrem1-N120*1.07)*0.804)/0.804,0)/1.07</f>
        <v>21311.700535200565</v>
      </c>
      <c r="Q124" s="571">
        <v>0</v>
      </c>
      <c r="R124" s="572"/>
      <c r="S124" s="819">
        <f>IF((totalremfeb21-Q120*1.07)*0.804&lt;S123-Q126-Q127-Q129,(S123-Q126-Q127-Q129-(totalremfeb21-Q120*1.07)*0.804)/0.804,0)/1.07</f>
        <v>20045.249841591572</v>
      </c>
      <c r="T124" s="571">
        <v>0</v>
      </c>
      <c r="U124" s="572"/>
      <c r="V124" s="819">
        <f>IF((totalremfeb21-T120*1.07)*0.804&lt;V123-T126-T127-T129,(V123-T126-T127-T129-(totalremfeb21-T120*1.07)*0.804)/0.804,0)/1.07</f>
        <v>19464.04372265355</v>
      </c>
      <c r="W124" s="571">
        <v>0</v>
      </c>
      <c r="X124" s="572"/>
      <c r="Y124" s="819">
        <f>IF((totalremmar20-W120*1.07)*0.804&lt;Y123-W126-W129,(Y123-W126-W129-(totalremmar20-W120*1.07)*0.804)/0.804,0)/1.07</f>
        <v>17017.713637950426</v>
      </c>
      <c r="Z124" s="782"/>
      <c r="AA124" s="780"/>
      <c r="AB124" s="756"/>
      <c r="AC124" s="782"/>
      <c r="AD124" s="780"/>
      <c r="AE124" s="756"/>
    </row>
    <row r="125" spans="2:31" s="7" customFormat="1" ht="15.75">
      <c r="B125" s="509"/>
      <c r="C125" s="526"/>
      <c r="D125" s="551" t="s">
        <v>511</v>
      </c>
      <c r="E125" s="575">
        <f>SUM(E110:E122,E123,E124)</f>
        <v>50473.88059701491</v>
      </c>
      <c r="F125" s="576"/>
      <c r="G125" s="698"/>
      <c r="H125" s="575">
        <f>SUM(H110:H122,H123,H124)</f>
        <v>46733.83084577115</v>
      </c>
      <c r="I125" s="576"/>
      <c r="J125" s="821"/>
      <c r="K125" s="575">
        <f>SUM(K110:K122,K123,K124)</f>
        <v>42997.51243781095</v>
      </c>
      <c r="L125" s="576"/>
      <c r="M125" s="821"/>
      <c r="N125" s="575">
        <f>SUM(N110:N122,N123,N124)</f>
        <v>40379.35323383084</v>
      </c>
      <c r="O125" s="576"/>
      <c r="P125" s="821"/>
      <c r="Q125" s="575">
        <f>SUM(Q110:Q124)</f>
        <v>37388.05970149253</v>
      </c>
      <c r="R125" s="576"/>
      <c r="S125" s="821"/>
      <c r="T125" s="575">
        <f>SUM(T110:T124)</f>
        <v>37388.05970149253</v>
      </c>
      <c r="U125" s="576"/>
      <c r="V125" s="821"/>
      <c r="W125" s="575">
        <f>SUM(W110:W122,W123,W124)</f>
        <v>27655.472636815917</v>
      </c>
      <c r="X125" s="576"/>
      <c r="Y125" s="821"/>
      <c r="Z125" s="492"/>
      <c r="AA125" s="781"/>
      <c r="AB125" s="59"/>
      <c r="AC125" s="492"/>
      <c r="AD125" s="781"/>
      <c r="AE125" s="59"/>
    </row>
    <row r="126" spans="2:31" s="7" customFormat="1" ht="15">
      <c r="B126" s="481" t="s">
        <v>303</v>
      </c>
      <c r="C126" s="534">
        <v>1</v>
      </c>
      <c r="D126" s="545" t="s">
        <v>315</v>
      </c>
      <c r="E126" s="573">
        <f>IF(AND(puntosproljor&lt;620,punbascar&lt;2200),1415,2830)*C126</f>
        <v>1415</v>
      </c>
      <c r="F126" s="574"/>
      <c r="G126" s="734"/>
      <c r="H126" s="573">
        <f>IF(AND(puntosproljor&lt;620,punbascar&lt;2200),1415,2830)*C126</f>
        <v>1415</v>
      </c>
      <c r="I126" s="574"/>
      <c r="J126" s="752"/>
      <c r="K126" s="573">
        <f>IF(AND(puntosproljor&lt;620,punbascar&lt;2200),1210,2420)*C126</f>
        <v>1210</v>
      </c>
      <c r="L126" s="574"/>
      <c r="M126" s="752"/>
      <c r="N126" s="573">
        <f>IF(AND(puntosproljor&lt;620,punbascar&lt;2200),1210,2420)*C126</f>
        <v>1210</v>
      </c>
      <c r="O126" s="574"/>
      <c r="P126" s="752"/>
      <c r="Q126" s="573">
        <f>IF(AND(puntosproljor&lt;620,punbascar&lt;2200),1210,2420)*C126</f>
        <v>1210</v>
      </c>
      <c r="R126" s="574"/>
      <c r="S126" s="752"/>
      <c r="T126" s="573">
        <f>IF(AND(puntosproljor&lt;620,punbascar&lt;2200),1210,2420)*C126</f>
        <v>1210</v>
      </c>
      <c r="U126" s="574"/>
      <c r="V126" s="752"/>
      <c r="W126" s="573">
        <f>IF(AND(puntosproljor&lt;620,punbascar&lt;2200),1210,2420)*C126</f>
        <v>1210</v>
      </c>
      <c r="X126" s="574"/>
      <c r="Y126" s="752"/>
      <c r="Z126" s="779"/>
      <c r="AA126" s="780"/>
      <c r="AB126" s="59"/>
      <c r="AC126" s="779"/>
      <c r="AD126" s="780"/>
      <c r="AE126" s="59"/>
    </row>
    <row r="127" spans="2:31" s="7" customFormat="1" ht="15">
      <c r="B127" s="683">
        <v>113</v>
      </c>
      <c r="C127" s="684">
        <v>1</v>
      </c>
      <c r="D127" s="685" t="s">
        <v>503</v>
      </c>
      <c r="E127" s="686">
        <f>IF(AND(puntosproljor&lt;620,punbascar&lt;2200),1415,2830)*C127</f>
        <v>1415</v>
      </c>
      <c r="F127" s="574"/>
      <c r="G127" s="734"/>
      <c r="H127" s="686">
        <f>IF(AND(puntosproljor&lt;620,punbascar&lt;2200),1415,2830)*C127</f>
        <v>1415</v>
      </c>
      <c r="I127" s="574"/>
      <c r="J127" s="752"/>
      <c r="K127" s="686">
        <f>IF(AND(puntosproljor&lt;620,punbascar&lt;2200),1210,2420)*C127</f>
        <v>1210</v>
      </c>
      <c r="L127" s="574"/>
      <c r="M127" s="752"/>
      <c r="N127" s="686">
        <f>IF(AND(puntosproljor&lt;620,punbascar&lt;2200),1210,2420)*C127</f>
        <v>1210</v>
      </c>
      <c r="O127" s="574"/>
      <c r="P127" s="752"/>
      <c r="Q127" s="686">
        <f>IF(AND(puntosproljor&lt;620,punbascar&lt;2200),1210,2420)*C127</f>
        <v>1210</v>
      </c>
      <c r="R127" s="574"/>
      <c r="S127" s="752"/>
      <c r="T127" s="686">
        <f>IF(AND(puntosproljor&lt;620,punbascar&lt;2200),1210,2420)*C127</f>
        <v>1210</v>
      </c>
      <c r="U127" s="574"/>
      <c r="V127" s="752"/>
      <c r="W127" s="686">
        <f>IF(AND(puntosproljor&lt;620,punbascar&lt;2200),1210,2420)*C127</f>
        <v>1210</v>
      </c>
      <c r="X127" s="574"/>
      <c r="Y127" s="752"/>
      <c r="Z127" s="779"/>
      <c r="AA127" s="780"/>
      <c r="AB127" s="59"/>
      <c r="AC127" s="779"/>
      <c r="AD127" s="780"/>
      <c r="AE127" s="59"/>
    </row>
    <row r="128" spans="2:31" s="7" customFormat="1" ht="15.75">
      <c r="B128" s="507" t="s">
        <v>309</v>
      </c>
      <c r="C128" s="535"/>
      <c r="D128" s="550" t="s">
        <v>318</v>
      </c>
      <c r="E128" s="577">
        <v>0</v>
      </c>
      <c r="F128" s="572"/>
      <c r="G128" s="699"/>
      <c r="H128" s="577">
        <v>0</v>
      </c>
      <c r="I128" s="572"/>
      <c r="J128" s="752"/>
      <c r="K128" s="577">
        <v>0</v>
      </c>
      <c r="L128" s="572"/>
      <c r="M128" s="752"/>
      <c r="N128" s="577">
        <v>0</v>
      </c>
      <c r="O128" s="572"/>
      <c r="P128" s="752"/>
      <c r="Q128" s="577">
        <v>0</v>
      </c>
      <c r="R128" s="572"/>
      <c r="S128" s="752"/>
      <c r="T128" s="577">
        <v>0</v>
      </c>
      <c r="U128" s="572"/>
      <c r="V128" s="752"/>
      <c r="W128" s="577">
        <v>0</v>
      </c>
      <c r="X128" s="572"/>
      <c r="Y128" s="752"/>
      <c r="Z128" s="783"/>
      <c r="AA128" s="780"/>
      <c r="AB128" s="59"/>
      <c r="AC128" s="783"/>
      <c r="AD128" s="780"/>
      <c r="AE128" s="59"/>
    </row>
    <row r="129" spans="2:31" s="7" customFormat="1" ht="15.75">
      <c r="B129" s="484" t="s">
        <v>531</v>
      </c>
      <c r="C129" s="533">
        <v>1</v>
      </c>
      <c r="D129" s="545" t="s">
        <v>478</v>
      </c>
      <c r="E129" s="573">
        <f>IF(AND(puntosproljor&lt;620,punbascar&lt;2200),1000,2000)*C129</f>
        <v>1000</v>
      </c>
      <c r="F129" s="574"/>
      <c r="G129" s="697"/>
      <c r="H129" s="573">
        <f>IF(AND(puntosproljor&lt;620,punbascar&lt;2200),1000,2000)*C129</f>
        <v>1000</v>
      </c>
      <c r="I129" s="574"/>
      <c r="J129" s="697"/>
      <c r="K129" s="573">
        <f>IF(AND(puntosproljor&lt;620,punbascar&lt;2200),710,1420)*C129</f>
        <v>710</v>
      </c>
      <c r="L129" s="574"/>
      <c r="M129" s="752"/>
      <c r="N129" s="573">
        <f>IF(AND(puntosproljor&lt;620,punbascar&lt;2200),710,1420)*C129</f>
        <v>710</v>
      </c>
      <c r="O129" s="574"/>
      <c r="P129" s="752"/>
      <c r="Q129" s="573">
        <f>IF(AND(puntosproljor&lt;620,punbascar&lt;2200),710,1420)*C129</f>
        <v>710</v>
      </c>
      <c r="R129" s="574"/>
      <c r="S129" s="752"/>
      <c r="T129" s="573">
        <f>IF(AND(puntosproljor&lt;620,punbascar&lt;2200),210,420)*C129</f>
        <v>210</v>
      </c>
      <c r="U129" s="574"/>
      <c r="V129" s="752"/>
      <c r="W129" s="573">
        <f>IF(AND(puntosproljor&lt;620,punbascar&lt;2200),210,420)*C129</f>
        <v>210</v>
      </c>
      <c r="X129" s="574"/>
      <c r="Y129" s="752"/>
      <c r="Z129" s="779"/>
      <c r="AA129" s="780"/>
      <c r="AB129" s="59"/>
      <c r="AC129" s="779"/>
      <c r="AD129" s="780"/>
      <c r="AE129" s="59"/>
    </row>
    <row r="130" spans="2:31" s="7" customFormat="1" ht="15.75">
      <c r="B130" s="509"/>
      <c r="C130" s="536"/>
      <c r="D130" s="553" t="s">
        <v>1</v>
      </c>
      <c r="E130" s="575">
        <f>SUM(E125:E129)</f>
        <v>54303.88059701491</v>
      </c>
      <c r="F130" s="578"/>
      <c r="G130" s="700"/>
      <c r="H130" s="575">
        <f>SUM(H125:H129)</f>
        <v>50563.83084577115</v>
      </c>
      <c r="I130" s="578"/>
      <c r="J130" s="700"/>
      <c r="K130" s="575">
        <f>SUM(K125:K129)</f>
        <v>46127.51243781095</v>
      </c>
      <c r="L130" s="578"/>
      <c r="M130" s="822"/>
      <c r="N130" s="575">
        <f>SUM(N125:N129)</f>
        <v>43509.35323383084</v>
      </c>
      <c r="O130" s="578"/>
      <c r="P130" s="700"/>
      <c r="Q130" s="575">
        <f>SUM(Q125:Q129)</f>
        <v>40518.05970149253</v>
      </c>
      <c r="R130" s="578"/>
      <c r="S130" s="822"/>
      <c r="T130" s="575">
        <f>SUM(T125:T129)</f>
        <v>40018.05970149253</v>
      </c>
      <c r="U130" s="578"/>
      <c r="V130" s="822"/>
      <c r="W130" s="575">
        <f>W125+W126+W127+W128+W129</f>
        <v>30285.472636815917</v>
      </c>
      <c r="X130" s="578"/>
      <c r="Y130" s="822"/>
      <c r="Z130" s="492"/>
      <c r="AA130" s="777"/>
      <c r="AB130" s="59"/>
      <c r="AC130" s="492"/>
      <c r="AD130" s="777"/>
      <c r="AE130" s="59"/>
    </row>
    <row r="131" spans="2:31" s="7" customFormat="1" ht="15">
      <c r="B131" s="481" t="s">
        <v>335</v>
      </c>
      <c r="C131" s="506"/>
      <c r="D131" s="545" t="s">
        <v>336</v>
      </c>
      <c r="E131" s="579">
        <v>0</v>
      </c>
      <c r="F131" s="580">
        <f>-E131</f>
        <v>0</v>
      </c>
      <c r="G131" s="697"/>
      <c r="H131" s="579">
        <v>0</v>
      </c>
      <c r="I131" s="580">
        <f>-H131</f>
        <v>0</v>
      </c>
      <c r="J131" s="697"/>
      <c r="K131" s="579">
        <v>0</v>
      </c>
      <c r="L131" s="580">
        <f>-K131</f>
        <v>0</v>
      </c>
      <c r="M131" s="752"/>
      <c r="N131" s="579">
        <v>0</v>
      </c>
      <c r="O131" s="580">
        <f>-N131</f>
        <v>0</v>
      </c>
      <c r="P131" s="697"/>
      <c r="Q131" s="579">
        <v>0</v>
      </c>
      <c r="R131" s="580">
        <f>-Q131</f>
        <v>0</v>
      </c>
      <c r="S131" s="752"/>
      <c r="T131" s="579">
        <v>0</v>
      </c>
      <c r="U131" s="580">
        <f>-T131</f>
        <v>0</v>
      </c>
      <c r="V131" s="752"/>
      <c r="W131" s="579">
        <v>0</v>
      </c>
      <c r="X131" s="580">
        <f>-W131</f>
        <v>0</v>
      </c>
      <c r="Y131" s="752"/>
      <c r="Z131" s="783"/>
      <c r="AA131" s="784"/>
      <c r="AB131" s="760"/>
      <c r="AC131" s="783"/>
      <c r="AD131" s="784"/>
      <c r="AE131" s="760"/>
    </row>
    <row r="132" spans="2:31" s="7" customFormat="1" ht="15.75">
      <c r="B132" s="510" t="s">
        <v>305</v>
      </c>
      <c r="C132" s="537">
        <v>0.16</v>
      </c>
      <c r="D132" s="554" t="s">
        <v>326</v>
      </c>
      <c r="E132" s="581"/>
      <c r="F132" s="582">
        <f>-totalrem4*porjub-porjub*1.07*E121</f>
        <v>-8075.820895522387</v>
      </c>
      <c r="G132" s="701"/>
      <c r="H132" s="581"/>
      <c r="I132" s="582">
        <f>-totalrem3*porjub-porjub*1.07*H121</f>
        <v>-7477.412935323383</v>
      </c>
      <c r="J132" s="701"/>
      <c r="K132" s="581"/>
      <c r="L132" s="582">
        <f>-totalrem2*porjub-porjub*1.07*K121</f>
        <v>-6879.60199004975</v>
      </c>
      <c r="M132" s="823"/>
      <c r="N132" s="581"/>
      <c r="O132" s="582">
        <f>-totalrem1*porjub-porjub*1.07*N121</f>
        <v>-6460.696517412935</v>
      </c>
      <c r="P132" s="701"/>
      <c r="Q132" s="581"/>
      <c r="R132" s="582">
        <f>-totalremfeb21*porjub-porjub*1.07*Q121</f>
        <v>-5982.0895522388055</v>
      </c>
      <c r="S132" s="823"/>
      <c r="T132" s="581"/>
      <c r="U132" s="582">
        <f>-totalremfeb21*porjub-porjub*1.07*T121</f>
        <v>-5982.0895522388055</v>
      </c>
      <c r="V132" s="823"/>
      <c r="W132" s="581"/>
      <c r="X132" s="582">
        <f>-totalremmar20*porjub-porjub*1.07*W121</f>
        <v>-4424.875621890547</v>
      </c>
      <c r="Y132" s="823"/>
      <c r="Z132" s="785"/>
      <c r="AA132" s="786"/>
      <c r="AB132" s="761"/>
      <c r="AC132" s="785"/>
      <c r="AD132" s="786"/>
      <c r="AE132" s="761"/>
    </row>
    <row r="133" spans="1:31" s="7" customFormat="1" ht="15.75">
      <c r="A133" s="486"/>
      <c r="B133" s="44" t="s">
        <v>306</v>
      </c>
      <c r="C133" s="538">
        <v>0.006</v>
      </c>
      <c r="D133" s="552" t="s">
        <v>323</v>
      </c>
      <c r="E133" s="583"/>
      <c r="F133" s="584">
        <f>-totalrem4*porley-porley*1.07*E121</f>
        <v>-302.8432835820895</v>
      </c>
      <c r="G133" s="699"/>
      <c r="H133" s="583"/>
      <c r="I133" s="584">
        <f>-totalrem3*porley-porley*1.07*H121</f>
        <v>-280.4029850746269</v>
      </c>
      <c r="J133" s="699"/>
      <c r="K133" s="583"/>
      <c r="L133" s="584">
        <f>-totalrem2*porley-porley*1.07*K121</f>
        <v>-257.98507462686564</v>
      </c>
      <c r="M133" s="752"/>
      <c r="N133" s="583"/>
      <c r="O133" s="584">
        <f>-totalrem1*porley-porley*1.07*N121</f>
        <v>-242.27611940298507</v>
      </c>
      <c r="P133" s="699"/>
      <c r="Q133" s="583"/>
      <c r="R133" s="584">
        <f>-totalremfeb21*porley-porley*1.07*Q121</f>
        <v>-224.3283582089552</v>
      </c>
      <c r="S133" s="752"/>
      <c r="T133" s="583"/>
      <c r="U133" s="584">
        <f>-totalremfeb21*porley-porley*1.07*T121</f>
        <v>-224.3283582089552</v>
      </c>
      <c r="V133" s="752"/>
      <c r="W133" s="583">
        <f>X133*1.15-3750*0.006*1.07</f>
        <v>-214.89776119402984</v>
      </c>
      <c r="X133" s="584">
        <f>-totalremmar20*porley-porley*1.07*W121</f>
        <v>-165.93283582089555</v>
      </c>
      <c r="Y133" s="699"/>
      <c r="Z133" s="785"/>
      <c r="AA133" s="786"/>
      <c r="AB133" s="761"/>
      <c r="AC133" s="785"/>
      <c r="AD133" s="786"/>
      <c r="AE133" s="761"/>
    </row>
    <row r="134" spans="2:31" s="7" customFormat="1" ht="15.75">
      <c r="B134" s="510" t="s">
        <v>307</v>
      </c>
      <c r="C134" s="537">
        <v>0.03</v>
      </c>
      <c r="D134" s="554" t="s">
        <v>325</v>
      </c>
      <c r="E134" s="581"/>
      <c r="F134" s="582">
        <f>-totalrem4*poros-poros*1.07*E121</f>
        <v>-1514.2164179104475</v>
      </c>
      <c r="G134" s="701"/>
      <c r="H134" s="581"/>
      <c r="I134" s="582">
        <f>-totalrem3*poros-poros*1.07*H121</f>
        <v>-1402.0149253731342</v>
      </c>
      <c r="J134" s="701"/>
      <c r="K134" s="581"/>
      <c r="L134" s="582">
        <f>-totalrem2*poros-poros*1.07*K121</f>
        <v>-1289.9253731343283</v>
      </c>
      <c r="M134" s="823"/>
      <c r="N134" s="581"/>
      <c r="O134" s="582">
        <f>-totalrem1*poros-poros*1.07*N121</f>
        <v>-1211.3805970149253</v>
      </c>
      <c r="P134" s="701"/>
      <c r="Q134" s="581"/>
      <c r="R134" s="582">
        <f>-totalremfeb21*poros-poros*1.07*Q121</f>
        <v>-1121.641791044776</v>
      </c>
      <c r="S134" s="701"/>
      <c r="T134" s="581"/>
      <c r="U134" s="582">
        <f>-totalremfeb21*poros-poros*1.07*T121</f>
        <v>-1121.641791044776</v>
      </c>
      <c r="V134" s="701"/>
      <c r="W134" s="583">
        <f>X134*1.15-3750*0.03*1.07</f>
        <v>-1074.488805970149</v>
      </c>
      <c r="X134" s="582">
        <f>-totalremmar20*poros-W121*1.07*poros</f>
        <v>-829.6641791044775</v>
      </c>
      <c r="Y134" s="701"/>
      <c r="Z134" s="785"/>
      <c r="AA134" s="786"/>
      <c r="AB134" s="761"/>
      <c r="AC134" s="785"/>
      <c r="AD134" s="786"/>
      <c r="AE134" s="761"/>
    </row>
    <row r="135" spans="2:31" s="7" customFormat="1" ht="15">
      <c r="B135" s="44" t="s">
        <v>308</v>
      </c>
      <c r="C135" s="539"/>
      <c r="D135" s="555" t="s">
        <v>324</v>
      </c>
      <c r="E135" s="579">
        <v>0</v>
      </c>
      <c r="F135" s="580">
        <f>-E135</f>
        <v>0</v>
      </c>
      <c r="G135" s="701"/>
      <c r="H135" s="579">
        <v>0</v>
      </c>
      <c r="I135" s="580">
        <f>-H135</f>
        <v>0</v>
      </c>
      <c r="J135" s="701"/>
      <c r="K135" s="579">
        <v>0</v>
      </c>
      <c r="L135" s="580">
        <f>-K135</f>
        <v>0</v>
      </c>
      <c r="M135" s="823"/>
      <c r="N135" s="579">
        <v>0</v>
      </c>
      <c r="O135" s="580">
        <f>-N135</f>
        <v>0</v>
      </c>
      <c r="P135" s="701"/>
      <c r="Q135" s="579">
        <v>0</v>
      </c>
      <c r="R135" s="580">
        <f>-Q135</f>
        <v>0</v>
      </c>
      <c r="S135" s="701"/>
      <c r="T135" s="579">
        <v>0</v>
      </c>
      <c r="U135" s="580">
        <f>-T135</f>
        <v>0</v>
      </c>
      <c r="V135" s="701"/>
      <c r="W135" s="579">
        <v>0</v>
      </c>
      <c r="X135" s="580">
        <f>-W135</f>
        <v>0</v>
      </c>
      <c r="Y135" s="701"/>
      <c r="Z135" s="783"/>
      <c r="AA135" s="784"/>
      <c r="AB135" s="761"/>
      <c r="AC135" s="783"/>
      <c r="AD135" s="784"/>
      <c r="AE135" s="761"/>
    </row>
    <row r="136" spans="2:31" s="7" customFormat="1" ht="15">
      <c r="B136" s="510">
        <v>332</v>
      </c>
      <c r="C136" s="540">
        <v>0</v>
      </c>
      <c r="D136" s="556" t="s">
        <v>471</v>
      </c>
      <c r="E136" s="577"/>
      <c r="F136" s="582">
        <f>-totalrem3*C136-E121*C136-(E126+E127+E128)*C136</f>
        <v>0</v>
      </c>
      <c r="G136" s="702"/>
      <c r="H136" s="577"/>
      <c r="I136" s="582">
        <f>-totalrem3*C136-H121*C136-(H126+H127+H128)*C136</f>
        <v>0</v>
      </c>
      <c r="J136" s="702"/>
      <c r="K136" s="577"/>
      <c r="L136" s="582">
        <f>-totalrem2*C136-K121*C136-(K126+K127+K128)*C136</f>
        <v>0</v>
      </c>
      <c r="M136" s="702"/>
      <c r="N136" s="577"/>
      <c r="O136" s="582">
        <f>-totalrem1*C136-N121*C136-(N126+N127+N128)*C136</f>
        <v>0</v>
      </c>
      <c r="P136" s="702"/>
      <c r="Q136" s="577"/>
      <c r="R136" s="582">
        <f>-totalremfeb21*C136-Q121*C136-(Q126+Q127+Q128)*C136</f>
        <v>0</v>
      </c>
      <c r="S136" s="702"/>
      <c r="T136" s="577"/>
      <c r="U136" s="582">
        <f>-totalremfeb21*C136-T121*C136-(T126+T127+T128)*C136</f>
        <v>0</v>
      </c>
      <c r="V136" s="702"/>
      <c r="W136" s="577"/>
      <c r="X136" s="582">
        <f>-totalremmar20*C136-W121*C136-(W126+W127+W128)*C136</f>
        <v>0</v>
      </c>
      <c r="Y136" s="702"/>
      <c r="Z136" s="783"/>
      <c r="AA136" s="786"/>
      <c r="AB136" s="761"/>
      <c r="AC136" s="783"/>
      <c r="AD136" s="786"/>
      <c r="AE136" s="761"/>
    </row>
    <row r="137" spans="2:31" s="7" customFormat="1" ht="15">
      <c r="B137" s="488"/>
      <c r="C137" s="541"/>
      <c r="D137" s="552" t="s">
        <v>2</v>
      </c>
      <c r="E137" s="585">
        <v>0</v>
      </c>
      <c r="F137" s="580">
        <f>-E137</f>
        <v>0</v>
      </c>
      <c r="G137" s="699"/>
      <c r="H137" s="585">
        <v>0</v>
      </c>
      <c r="I137" s="580">
        <f>-H137</f>
        <v>0</v>
      </c>
      <c r="J137" s="699"/>
      <c r="K137" s="585">
        <v>0</v>
      </c>
      <c r="L137" s="580">
        <f>-K137</f>
        <v>0</v>
      </c>
      <c r="M137" s="699"/>
      <c r="N137" s="585">
        <v>0</v>
      </c>
      <c r="O137" s="580">
        <f>-N137</f>
        <v>0</v>
      </c>
      <c r="P137" s="699"/>
      <c r="Q137" s="585">
        <v>0</v>
      </c>
      <c r="R137" s="580">
        <f>-Q137</f>
        <v>0</v>
      </c>
      <c r="S137" s="699"/>
      <c r="T137" s="585">
        <v>0</v>
      </c>
      <c r="U137" s="580">
        <f>-T137</f>
        <v>0</v>
      </c>
      <c r="V137" s="699"/>
      <c r="W137" s="585">
        <v>0</v>
      </c>
      <c r="X137" s="580">
        <f>-W137</f>
        <v>0</v>
      </c>
      <c r="Y137" s="699"/>
      <c r="Z137" s="787"/>
      <c r="AA137" s="784"/>
      <c r="AB137" s="761"/>
      <c r="AC137" s="787"/>
      <c r="AD137" s="784"/>
      <c r="AE137" s="761"/>
    </row>
    <row r="138" spans="2:31" s="7" customFormat="1" ht="16.5" thickBot="1">
      <c r="B138" s="513"/>
      <c r="C138" s="536"/>
      <c r="D138" s="557" t="s">
        <v>3</v>
      </c>
      <c r="E138" s="586"/>
      <c r="F138" s="587">
        <f>SUM(F131:F137)</f>
        <v>-9892.880597014924</v>
      </c>
      <c r="G138" s="703"/>
      <c r="H138" s="586"/>
      <c r="I138" s="587">
        <f>SUM(I131:I137)</f>
        <v>-9159.830845771143</v>
      </c>
      <c r="J138" s="703"/>
      <c r="K138" s="586"/>
      <c r="L138" s="587">
        <f>SUM(L131:L137)</f>
        <v>-8427.512437810945</v>
      </c>
      <c r="M138" s="703"/>
      <c r="N138" s="586"/>
      <c r="O138" s="587">
        <f>SUM(O131:O137)</f>
        <v>-7914.353233830845</v>
      </c>
      <c r="P138" s="703"/>
      <c r="Q138" s="586"/>
      <c r="R138" s="587">
        <f>SUM(R131:R137)</f>
        <v>-7328.059701492537</v>
      </c>
      <c r="S138" s="703"/>
      <c r="T138" s="586"/>
      <c r="U138" s="587">
        <f>SUM(U131:U137)</f>
        <v>-7328.059701492537</v>
      </c>
      <c r="V138" s="703"/>
      <c r="W138" s="586">
        <f>U138/X138</f>
        <v>1.3519226444794241</v>
      </c>
      <c r="X138" s="587">
        <f>SUM(X131:X137)</f>
        <v>-5420.472636815921</v>
      </c>
      <c r="Y138" s="703"/>
      <c r="Z138" s="10"/>
      <c r="AA138" s="788"/>
      <c r="AB138" s="757"/>
      <c r="AC138" s="10"/>
      <c r="AD138" s="788"/>
      <c r="AE138" s="757"/>
    </row>
    <row r="139" spans="2:31" s="7" customFormat="1" ht="13.5" thickBot="1">
      <c r="B139" s="514"/>
      <c r="D139" s="489"/>
      <c r="F139" s="3"/>
      <c r="G139" s="704"/>
      <c r="I139" s="3"/>
      <c r="J139" s="704"/>
      <c r="L139" s="3"/>
      <c r="M139" s="704"/>
      <c r="O139" s="3"/>
      <c r="P139" s="704"/>
      <c r="R139" s="3"/>
      <c r="S139" s="704"/>
      <c r="U139" s="3"/>
      <c r="V139" s="704"/>
      <c r="X139" s="3"/>
      <c r="Y139" s="704"/>
      <c r="Z139" s="3"/>
      <c r="AA139" s="3"/>
      <c r="AB139" s="3"/>
      <c r="AC139" s="3"/>
      <c r="AD139" s="3"/>
      <c r="AE139" s="3"/>
    </row>
    <row r="140" spans="2:31" s="7" customFormat="1" ht="24.75" thickBot="1" thickTop="1">
      <c r="B140" s="367"/>
      <c r="D140" s="433"/>
      <c r="E140" s="490" t="s">
        <v>4</v>
      </c>
      <c r="F140" s="491">
        <f>E130+F138</f>
        <v>44410.999999999985</v>
      </c>
      <c r="G140" s="705"/>
      <c r="H140" s="490" t="s">
        <v>4</v>
      </c>
      <c r="I140" s="491">
        <f>H130+I138</f>
        <v>41404</v>
      </c>
      <c r="J140" s="705"/>
      <c r="K140" s="490" t="s">
        <v>4</v>
      </c>
      <c r="L140" s="491">
        <f>K130+L138</f>
        <v>37700</v>
      </c>
      <c r="M140" s="705"/>
      <c r="N140" s="490" t="s">
        <v>4</v>
      </c>
      <c r="O140" s="491">
        <f>N130+O138</f>
        <v>35595</v>
      </c>
      <c r="P140" s="705"/>
      <c r="Q140" s="490" t="s">
        <v>4</v>
      </c>
      <c r="R140" s="491">
        <f>Q130+R138</f>
        <v>33189.99999999999</v>
      </c>
      <c r="S140" s="705"/>
      <c r="T140" s="490" t="s">
        <v>4</v>
      </c>
      <c r="U140" s="491">
        <f>T130+U138</f>
        <v>32689.999999999993</v>
      </c>
      <c r="V140" s="705"/>
      <c r="W140" s="490" t="s">
        <v>4</v>
      </c>
      <c r="X140" s="491">
        <f>W130+X138</f>
        <v>24864.999999999996</v>
      </c>
      <c r="Y140" s="705"/>
      <c r="Z140" s="176"/>
      <c r="AA140" s="789"/>
      <c r="AB140" s="3"/>
      <c r="AC140" s="176"/>
      <c r="AD140" s="789"/>
      <c r="AE140" s="3"/>
    </row>
    <row r="141" spans="2:31" s="7" customFormat="1" ht="16.5" thickTop="1">
      <c r="B141" s="367"/>
      <c r="C141" s="176"/>
      <c r="D141" s="671"/>
      <c r="E141" s="492"/>
      <c r="F141" s="493">
        <f>F140-2630</f>
        <v>41780.999999999985</v>
      </c>
      <c r="G141" s="706"/>
      <c r="H141" s="492"/>
      <c r="I141" s="493">
        <f>I140-2630</f>
        <v>38774</v>
      </c>
      <c r="J141" s="706"/>
      <c r="K141" s="492"/>
      <c r="L141" s="493">
        <f>L140-2630</f>
        <v>35070</v>
      </c>
      <c r="M141" s="706"/>
      <c r="N141" s="492"/>
      <c r="O141" s="493"/>
      <c r="P141" s="706"/>
      <c r="Q141" s="492"/>
      <c r="R141" s="493">
        <f>R140-2630</f>
        <v>30559.999999999993</v>
      </c>
      <c r="S141" s="706"/>
      <c r="T141" s="492"/>
      <c r="U141" s="493">
        <f>U140-2630</f>
        <v>30059.999999999993</v>
      </c>
      <c r="V141" s="706"/>
      <c r="W141" s="492"/>
      <c r="X141" s="493">
        <f>X140+4000</f>
        <v>28864.999999999996</v>
      </c>
      <c r="Y141" s="706"/>
      <c r="Z141" s="492"/>
      <c r="AA141" s="493"/>
      <c r="AB141" s="3"/>
      <c r="AC141" s="492"/>
      <c r="AD141" s="493"/>
      <c r="AE141" s="3"/>
    </row>
    <row r="142" spans="2:31" ht="15.75">
      <c r="B142" s="117"/>
      <c r="C142" s="116"/>
      <c r="D142" s="667"/>
      <c r="E142" s="4" t="s">
        <v>381</v>
      </c>
      <c r="F142" s="12"/>
      <c r="G142" s="706"/>
      <c r="H142" s="4" t="s">
        <v>381</v>
      </c>
      <c r="I142" s="12"/>
      <c r="J142" s="706"/>
      <c r="K142" s="4" t="s">
        <v>381</v>
      </c>
      <c r="L142" s="12"/>
      <c r="M142" s="706"/>
      <c r="N142" s="4" t="s">
        <v>381</v>
      </c>
      <c r="O142" s="12"/>
      <c r="P142" s="706"/>
      <c r="Q142" s="4" t="s">
        <v>381</v>
      </c>
      <c r="R142" s="12"/>
      <c r="S142" s="706"/>
      <c r="T142" s="4" t="s">
        <v>381</v>
      </c>
      <c r="U142" s="12"/>
      <c r="V142" s="706"/>
      <c r="W142" s="4" t="s">
        <v>381</v>
      </c>
      <c r="X142" s="12"/>
      <c r="Y142" s="706"/>
      <c r="Z142" s="59"/>
      <c r="AA142" s="493"/>
      <c r="AB142" s="3"/>
      <c r="AC142" s="59"/>
      <c r="AD142" s="493"/>
      <c r="AE142" s="3"/>
    </row>
    <row r="143" spans="2:31" ht="15.75">
      <c r="B143" s="117"/>
      <c r="C143" s="116"/>
      <c r="D143" s="667"/>
      <c r="E143" s="11">
        <f>E110+E111+E112+E113+E114+E115+E118+E119+E120+F131+E122+((E110+E111+E112+E113+E114+E115+E118+E119+E120+E131+E122)*0.07)</f>
        <v>41473.83436501501</v>
      </c>
      <c r="F143" s="735" t="s">
        <v>513</v>
      </c>
      <c r="G143" s="706"/>
      <c r="H143" s="11">
        <f>H110+H111+H112+H113+H114+H115+H118+H119+H120+I131+H122+((H110+H111+H112+H113+H114+H115+H118+H119+H120+H131+H122)*0.07)</f>
        <v>38401.698486125</v>
      </c>
      <c r="I143" s="735" t="s">
        <v>513</v>
      </c>
      <c r="J143" s="706"/>
      <c r="K143" s="11">
        <f>K110+K111+K112+K113+K114+K115+K118+K119+K120+L131+K122+((K110+K111+K112+K113+K114+K115+K118+K119+K120+K131+K122)*0.07)</f>
        <v>35329.562607235006</v>
      </c>
      <c r="L143" s="735"/>
      <c r="M143" s="706"/>
      <c r="N143" s="11">
        <f>N110+N111+N112+N113+N114+N115+N118+N119+N120+O131+N122+((N110+N111+N112+N113+N114+N115+N118+N119+N120+O131+N122)*0.07)</f>
        <v>33179.06749201201</v>
      </c>
      <c r="O143" s="735"/>
      <c r="P143" s="706"/>
      <c r="Q143" s="11">
        <f>Q110+Q111+Q112+Q113+Q114+Q115+Q118+Q119+Q120+R131+Q122+((Q110+Q111+Q112+Q113+Q114+Q115+Q118+Q119+Q120+Q131+Q122)*0.07)</f>
        <v>30721.3587889</v>
      </c>
      <c r="R143" s="735"/>
      <c r="S143" s="706"/>
      <c r="T143" s="11">
        <f>T110+T111+T112+T113+T114+T115+T118+T119+T120+U131+T122+((T110+T111+T112+T113+T114+T115+T118+T119+T120+T131+T122)*0.07)</f>
        <v>30721.3587889</v>
      </c>
      <c r="U143" s="735"/>
      <c r="V143" s="706"/>
      <c r="W143" s="11">
        <f>W110+W111+W112+W113+W114+W115+W118+W119+W120+X131+W122+((W110+W111+W112+W113+W114+W115+W118+W119+W120+X131+W122)*0.07)</f>
        <v>22062.190686000005</v>
      </c>
      <c r="X143" s="12"/>
      <c r="Y143" s="706"/>
      <c r="Z143" s="493"/>
      <c r="AA143" s="493"/>
      <c r="AB143" s="3"/>
      <c r="AC143" s="493"/>
      <c r="AD143" s="493"/>
      <c r="AE143" s="3"/>
    </row>
    <row r="144" spans="2:31" ht="16.5" thickBot="1">
      <c r="B144" s="117"/>
      <c r="C144" s="116"/>
      <c r="D144" s="667"/>
      <c r="E144" s="95">
        <f>totalremfeb21*1.07</f>
        <v>32871.853904123</v>
      </c>
      <c r="F144" s="735" t="s">
        <v>514</v>
      </c>
      <c r="G144" s="706"/>
      <c r="H144" s="95">
        <f>totalremfeb21*1.07</f>
        <v>32871.853904123</v>
      </c>
      <c r="I144" s="735" t="s">
        <v>514</v>
      </c>
      <c r="J144" s="706"/>
      <c r="K144" s="95">
        <f>totalremfeb21*1.07</f>
        <v>32871.853904123</v>
      </c>
      <c r="L144" s="735" t="s">
        <v>514</v>
      </c>
      <c r="M144" s="706"/>
      <c r="N144" s="95">
        <f>totalremfeb21*1.07</f>
        <v>32871.853904123</v>
      </c>
      <c r="O144" s="735" t="s">
        <v>514</v>
      </c>
      <c r="P144" s="706"/>
      <c r="Q144" s="95">
        <f>totalremfeb21*1.07</f>
        <v>32871.853904123</v>
      </c>
      <c r="R144" s="735" t="s">
        <v>514</v>
      </c>
      <c r="S144" s="706"/>
      <c r="T144" s="95">
        <f>totalremfeb21*1.07</f>
        <v>32871.853904123</v>
      </c>
      <c r="U144" s="735" t="s">
        <v>514</v>
      </c>
      <c r="V144" s="706"/>
      <c r="W144" s="95">
        <f>totalremmar20*1.07</f>
        <v>23606.544034020008</v>
      </c>
      <c r="X144" s="12"/>
      <c r="Y144" s="706"/>
      <c r="Z144" s="492"/>
      <c r="AA144" s="493"/>
      <c r="AB144" s="3"/>
      <c r="AC144" s="492"/>
      <c r="AD144" s="493"/>
      <c r="AE144" s="3"/>
    </row>
    <row r="145" spans="2:31" ht="18">
      <c r="B145" s="117"/>
      <c r="C145" s="116"/>
      <c r="D145" s="667"/>
      <c r="E145" s="665" t="s">
        <v>519</v>
      </c>
      <c r="F145" s="407">
        <f>F140-I140</f>
        <v>3006.9999999999854</v>
      </c>
      <c r="G145" s="706"/>
      <c r="H145" s="665" t="s">
        <v>519</v>
      </c>
      <c r="I145" s="407">
        <f>I140-L140</f>
        <v>3704</v>
      </c>
      <c r="J145" s="706"/>
      <c r="K145" s="665" t="s">
        <v>519</v>
      </c>
      <c r="L145" s="407">
        <f>L140-O140</f>
        <v>2105</v>
      </c>
      <c r="M145" s="706"/>
      <c r="N145" s="665" t="s">
        <v>519</v>
      </c>
      <c r="O145" s="407">
        <f>O140-R140</f>
        <v>2405.0000000000073</v>
      </c>
      <c r="P145" s="706"/>
      <c r="Q145" s="665" t="s">
        <v>519</v>
      </c>
      <c r="R145" s="407">
        <f>R140-U140</f>
        <v>500</v>
      </c>
      <c r="S145" s="706"/>
      <c r="T145" s="665" t="s">
        <v>519</v>
      </c>
      <c r="U145" s="407">
        <f>U140-X140</f>
        <v>7824.999999999996</v>
      </c>
      <c r="V145" s="706"/>
      <c r="W145" s="400"/>
      <c r="X145" s="401"/>
      <c r="Y145" s="706"/>
      <c r="Z145" s="442"/>
      <c r="AA145" s="790"/>
      <c r="AB145" s="3"/>
      <c r="AC145" s="442"/>
      <c r="AD145" s="790"/>
      <c r="AE145" s="3"/>
    </row>
    <row r="146" spans="4:31" ht="18.75" thickBot="1">
      <c r="D146" s="420"/>
      <c r="E146" s="665" t="s">
        <v>520</v>
      </c>
      <c r="F146" s="408">
        <f>F145/I140</f>
        <v>0.07262583325282546</v>
      </c>
      <c r="G146" s="705"/>
      <c r="H146" s="665" t="s">
        <v>520</v>
      </c>
      <c r="I146" s="408">
        <f>I145/L140</f>
        <v>0.09824933687002653</v>
      </c>
      <c r="J146" s="705"/>
      <c r="K146" s="665" t="s">
        <v>520</v>
      </c>
      <c r="L146" s="408">
        <f>L145/O140</f>
        <v>0.059137519314510466</v>
      </c>
      <c r="M146" s="705"/>
      <c r="N146" s="665" t="s">
        <v>520</v>
      </c>
      <c r="O146" s="408">
        <f>O145/R140</f>
        <v>0.07246158481470345</v>
      </c>
      <c r="P146" s="705"/>
      <c r="Q146" s="665" t="s">
        <v>520</v>
      </c>
      <c r="R146" s="408">
        <f>R145/U140</f>
        <v>0.015295197308045277</v>
      </c>
      <c r="S146" s="705"/>
      <c r="T146" s="665" t="s">
        <v>520</v>
      </c>
      <c r="U146" s="408">
        <f>U145/X140</f>
        <v>0.3146993766338225</v>
      </c>
      <c r="V146" s="705"/>
      <c r="W146" s="402"/>
      <c r="X146" s="403"/>
      <c r="Y146" s="705"/>
      <c r="Z146" s="442"/>
      <c r="AA146" s="443"/>
      <c r="AB146" s="499"/>
      <c r="AC146" s="442"/>
      <c r="AD146" s="443"/>
      <c r="AE146" s="499"/>
    </row>
    <row r="147" spans="2:31" ht="24" customHeight="1" thickBot="1">
      <c r="B147" s="117"/>
      <c r="C147" s="176"/>
      <c r="D147" s="422"/>
      <c r="G147" s="707"/>
      <c r="J147" s="707"/>
      <c r="M147" s="707"/>
      <c r="P147" s="707"/>
      <c r="Q147" s="762"/>
      <c r="R147" s="443"/>
      <c r="S147" s="707"/>
      <c r="T147" s="762"/>
      <c r="U147" s="443"/>
      <c r="V147" s="707"/>
      <c r="Y147" s="707"/>
      <c r="Z147" s="3"/>
      <c r="AA147" s="3"/>
      <c r="AB147" s="492"/>
      <c r="AC147" s="3"/>
      <c r="AD147" s="3"/>
      <c r="AE147" s="492"/>
    </row>
    <row r="148" spans="2:31" ht="21" customHeight="1">
      <c r="B148" s="117"/>
      <c r="C148" s="176"/>
      <c r="D148" s="422"/>
      <c r="E148" s="815" t="s">
        <v>498</v>
      </c>
      <c r="F148" s="816">
        <f>F140-X140</f>
        <v>19545.99999999999</v>
      </c>
      <c r="G148" s="707"/>
      <c r="H148" s="815" t="s">
        <v>498</v>
      </c>
      <c r="I148" s="816">
        <f>I140-X140</f>
        <v>16539.000000000004</v>
      </c>
      <c r="J148" s="707"/>
      <c r="K148" s="815" t="s">
        <v>498</v>
      </c>
      <c r="L148" s="816">
        <f>L140-X140</f>
        <v>12835.000000000004</v>
      </c>
      <c r="M148" s="707"/>
      <c r="N148" s="815" t="s">
        <v>498</v>
      </c>
      <c r="O148" s="816">
        <f>O140-X140</f>
        <v>10730.000000000004</v>
      </c>
      <c r="P148" s="707"/>
      <c r="Q148" s="815" t="s">
        <v>498</v>
      </c>
      <c r="R148" s="816">
        <f>R140-X140</f>
        <v>8324.999999999996</v>
      </c>
      <c r="S148" s="707"/>
      <c r="T148" s="815" t="s">
        <v>498</v>
      </c>
      <c r="U148" s="816">
        <f>U140-X140</f>
        <v>7824.999999999996</v>
      </c>
      <c r="V148" s="707"/>
      <c r="Y148" s="707"/>
      <c r="Z148" s="3"/>
      <c r="AA148" s="3"/>
      <c r="AB148" s="3"/>
      <c r="AC148" s="3"/>
      <c r="AD148" s="3"/>
      <c r="AE148" s="3"/>
    </row>
    <row r="149" spans="2:31" ht="21" customHeight="1" thickBot="1">
      <c r="B149" s="117"/>
      <c r="C149" s="176"/>
      <c r="D149" s="422"/>
      <c r="E149" s="815" t="s">
        <v>499</v>
      </c>
      <c r="F149" s="817">
        <f>F148/X140</f>
        <v>0.7860848582344658</v>
      </c>
      <c r="G149" s="707"/>
      <c r="H149" s="815" t="s">
        <v>499</v>
      </c>
      <c r="I149" s="817">
        <f>I148/X140</f>
        <v>0.6651518198270664</v>
      </c>
      <c r="J149" s="707"/>
      <c r="K149" s="815" t="s">
        <v>499</v>
      </c>
      <c r="L149" s="817">
        <f>L148/X140</f>
        <v>0.5161874120249349</v>
      </c>
      <c r="M149" s="707"/>
      <c r="N149" s="815" t="s">
        <v>499</v>
      </c>
      <c r="O149" s="817">
        <f>O148/X140</f>
        <v>0.43153026342248163</v>
      </c>
      <c r="P149" s="707"/>
      <c r="Q149" s="815" t="s">
        <v>499</v>
      </c>
      <c r="R149" s="817">
        <f>R148/X140</f>
        <v>0.334807963000201</v>
      </c>
      <c r="S149" s="707"/>
      <c r="T149" s="815" t="s">
        <v>499</v>
      </c>
      <c r="U149" s="817">
        <f>U148/X140</f>
        <v>0.3146993766338225</v>
      </c>
      <c r="V149" s="707"/>
      <c r="Y149" s="707"/>
      <c r="Z149" s="3"/>
      <c r="AA149" s="3"/>
      <c r="AB149" s="3"/>
      <c r="AC149" s="3"/>
      <c r="AD149" s="3"/>
      <c r="AE149" s="3"/>
    </row>
    <row r="150" spans="2:31" ht="21" customHeight="1" thickBot="1">
      <c r="B150" s="117"/>
      <c r="C150" s="176"/>
      <c r="D150" s="422"/>
      <c r="G150" s="707"/>
      <c r="J150" s="707"/>
      <c r="M150" s="707"/>
      <c r="P150" s="707"/>
      <c r="Q150" s="762"/>
      <c r="R150" s="443"/>
      <c r="S150" s="707"/>
      <c r="T150" s="762"/>
      <c r="U150" s="443"/>
      <c r="V150" s="707"/>
      <c r="Y150" s="707"/>
      <c r="Z150" s="3"/>
      <c r="AA150" s="3"/>
      <c r="AB150" s="3"/>
      <c r="AC150" s="3"/>
      <c r="AD150" s="3"/>
      <c r="AE150" s="3"/>
    </row>
    <row r="151" spans="2:31" ht="21" customHeight="1" thickBot="1" thickTop="1">
      <c r="B151" s="117"/>
      <c r="C151" s="176"/>
      <c r="D151" s="422"/>
      <c r="E151" s="853" t="s">
        <v>533</v>
      </c>
      <c r="F151" s="854"/>
      <c r="G151" s="707"/>
      <c r="H151" s="853" t="s">
        <v>533</v>
      </c>
      <c r="I151" s="854"/>
      <c r="J151" s="707"/>
      <c r="K151" s="853" t="s">
        <v>533</v>
      </c>
      <c r="L151" s="854"/>
      <c r="M151" s="707"/>
      <c r="N151" s="853" t="s">
        <v>533</v>
      </c>
      <c r="O151" s="854"/>
      <c r="P151" s="707"/>
      <c r="Q151" s="853" t="s">
        <v>533</v>
      </c>
      <c r="R151" s="854"/>
      <c r="S151" s="707"/>
      <c r="T151" s="853" t="s">
        <v>533</v>
      </c>
      <c r="U151" s="854"/>
      <c r="V151" s="707"/>
      <c r="W151" s="853" t="s">
        <v>533</v>
      </c>
      <c r="X151" s="854"/>
      <c r="Y151" s="707"/>
      <c r="Z151" s="3"/>
      <c r="AA151" s="3"/>
      <c r="AB151" s="3"/>
      <c r="AC151" s="3"/>
      <c r="AD151" s="3"/>
      <c r="AE151" s="3"/>
    </row>
    <row r="152" spans="2:31" ht="21" customHeight="1" thickBot="1">
      <c r="B152" s="117"/>
      <c r="C152" s="176"/>
      <c r="D152" s="422"/>
      <c r="E152" s="855" t="s">
        <v>534</v>
      </c>
      <c r="F152" s="856">
        <f>(E110+E111+E112+E113+E114+E115+E116+E117+E118+E119+E120+E121+E122)*0.5</f>
        <v>25236.940298507456</v>
      </c>
      <c r="G152" s="707"/>
      <c r="H152" s="855" t="s">
        <v>534</v>
      </c>
      <c r="I152" s="856">
        <f>(H110+H111+H112+H113+H114+H115+H116+H117+H118+H119+H120+H121+H122)*0.5</f>
        <v>23366.915422885573</v>
      </c>
      <c r="J152" s="707"/>
      <c r="K152" s="855" t="s">
        <v>534</v>
      </c>
      <c r="L152" s="856">
        <f>(K110+K111+K112+K113+K114+K115+K116+K117+K118+K119+K120+K121+K122)*0.5</f>
        <v>21498.756218905473</v>
      </c>
      <c r="M152" s="707"/>
      <c r="N152" s="855" t="s">
        <v>534</v>
      </c>
      <c r="O152" s="856">
        <f>(N110+N111+N112+N113+N114+N115+N116+N117+N118+N119+N120+N121+N122)*0.5</f>
        <v>20189.67661691542</v>
      </c>
      <c r="P152" s="707"/>
      <c r="Q152" s="855" t="s">
        <v>534</v>
      </c>
      <c r="R152" s="856">
        <f>(Q110+Q111+Q112+Q113+Q114+Q115+Q116+Q117+Q118+Q119+Q120+Q121+Q122)*0.5</f>
        <v>18694.029850746265</v>
      </c>
      <c r="S152" s="707"/>
      <c r="T152" s="855" t="s">
        <v>534</v>
      </c>
      <c r="U152" s="856">
        <f>(T110+T111+T112+T113+T114+T115+T116+T117+T118+T119+T120+T121+T122)*0.5</f>
        <v>18694.029850746265</v>
      </c>
      <c r="V152" s="707"/>
      <c r="W152" s="855" t="s">
        <v>534</v>
      </c>
      <c r="X152" s="856">
        <f>(W110+W111+W112+W113+W114+W115+W116+W117+W118+W119+W120+W121+W122)*0.5</f>
        <v>13827.736318407959</v>
      </c>
      <c r="Y152" s="707"/>
      <c r="Z152" s="3"/>
      <c r="AA152" s="3"/>
      <c r="AB152" s="3"/>
      <c r="AC152" s="3"/>
      <c r="AD152" s="3"/>
      <c r="AE152" s="3"/>
    </row>
    <row r="153" spans="2:31" ht="21" customHeight="1" thickBot="1">
      <c r="B153" s="117"/>
      <c r="C153" s="176"/>
      <c r="D153" s="422"/>
      <c r="E153" s="857" t="s">
        <v>535</v>
      </c>
      <c r="F153" s="858"/>
      <c r="G153" s="707"/>
      <c r="H153" s="857" t="s">
        <v>535</v>
      </c>
      <c r="I153" s="858"/>
      <c r="J153" s="707"/>
      <c r="K153" s="857" t="s">
        <v>535</v>
      </c>
      <c r="L153" s="858"/>
      <c r="M153" s="707"/>
      <c r="N153" s="857" t="s">
        <v>535</v>
      </c>
      <c r="O153" s="858"/>
      <c r="P153" s="707"/>
      <c r="Q153" s="857" t="s">
        <v>535</v>
      </c>
      <c r="R153" s="858"/>
      <c r="S153" s="707"/>
      <c r="T153" s="857" t="s">
        <v>535</v>
      </c>
      <c r="U153" s="858"/>
      <c r="V153" s="707"/>
      <c r="W153" s="857" t="s">
        <v>535</v>
      </c>
      <c r="X153" s="858"/>
      <c r="Y153" s="707"/>
      <c r="Z153" s="3"/>
      <c r="AA153" s="3"/>
      <c r="AB153" s="3"/>
      <c r="AC153" s="3"/>
      <c r="AD153" s="3"/>
      <c r="AE153" s="3"/>
    </row>
    <row r="154" spans="2:31" ht="21" customHeight="1">
      <c r="B154" s="117"/>
      <c r="C154" s="176"/>
      <c r="D154" s="422"/>
      <c r="E154" s="859" t="s">
        <v>536</v>
      </c>
      <c r="F154" s="860">
        <f>F152*0.804</f>
        <v>20290.499999999996</v>
      </c>
      <c r="G154" s="707"/>
      <c r="H154" s="859" t="s">
        <v>536</v>
      </c>
      <c r="I154" s="860">
        <f>I152*0.804</f>
        <v>18787.000000000004</v>
      </c>
      <c r="J154" s="707"/>
      <c r="K154" s="859" t="s">
        <v>536</v>
      </c>
      <c r="L154" s="860">
        <f>L152*0.804</f>
        <v>17285</v>
      </c>
      <c r="M154" s="707"/>
      <c r="N154" s="859" t="s">
        <v>536</v>
      </c>
      <c r="O154" s="860">
        <f>O152*0.804</f>
        <v>16232.5</v>
      </c>
      <c r="P154" s="707"/>
      <c r="Q154" s="859" t="s">
        <v>536</v>
      </c>
      <c r="R154" s="860">
        <f>R152*0.804</f>
        <v>15029.999999999998</v>
      </c>
      <c r="S154" s="707"/>
      <c r="T154" s="859" t="s">
        <v>536</v>
      </c>
      <c r="U154" s="860">
        <f>U152*0.804</f>
        <v>15029.999999999998</v>
      </c>
      <c r="V154" s="707"/>
      <c r="W154" s="859" t="s">
        <v>536</v>
      </c>
      <c r="X154" s="860">
        <f>X152*0.804</f>
        <v>11117.5</v>
      </c>
      <c r="Y154" s="707"/>
      <c r="Z154" s="3"/>
      <c r="AA154" s="3"/>
      <c r="AB154" s="3"/>
      <c r="AC154" s="3"/>
      <c r="AD154" s="3"/>
      <c r="AE154" s="3"/>
    </row>
    <row r="155" spans="2:31" ht="21" customHeight="1">
      <c r="B155" s="117"/>
      <c r="C155" s="176"/>
      <c r="D155" s="422"/>
      <c r="E155" s="861" t="s">
        <v>537</v>
      </c>
      <c r="F155" s="862"/>
      <c r="G155" s="707"/>
      <c r="H155" s="861" t="s">
        <v>537</v>
      </c>
      <c r="I155" s="862"/>
      <c r="J155" s="707"/>
      <c r="K155" s="861" t="s">
        <v>537</v>
      </c>
      <c r="L155" s="862"/>
      <c r="M155" s="707"/>
      <c r="N155" s="861" t="s">
        <v>537</v>
      </c>
      <c r="O155" s="862"/>
      <c r="P155" s="707"/>
      <c r="Q155" s="861" t="s">
        <v>537</v>
      </c>
      <c r="R155" s="862"/>
      <c r="S155" s="707"/>
      <c r="T155" s="861" t="s">
        <v>537</v>
      </c>
      <c r="U155" s="862"/>
      <c r="V155" s="707"/>
      <c r="W155" s="861" t="s">
        <v>537</v>
      </c>
      <c r="X155" s="862"/>
      <c r="Y155" s="707"/>
      <c r="Z155" s="3"/>
      <c r="AA155" s="3"/>
      <c r="AB155" s="3"/>
      <c r="AC155" s="3"/>
      <c r="AD155" s="3"/>
      <c r="AE155" s="3"/>
    </row>
    <row r="156" spans="2:31" ht="21" customHeight="1">
      <c r="B156" s="117"/>
      <c r="C156" s="176"/>
      <c r="D156" s="422"/>
      <c r="E156" s="861">
        <v>502</v>
      </c>
      <c r="F156" s="863">
        <f>-(totalrem4+F152+E121*1.07)*0.16</f>
        <v>-12113.731343283578</v>
      </c>
      <c r="G156" s="707"/>
      <c r="H156" s="861">
        <v>502</v>
      </c>
      <c r="I156" s="863">
        <f>-(totalrem3+I152+H121*1.07)*0.16</f>
        <v>-11216.119402985074</v>
      </c>
      <c r="J156" s="707"/>
      <c r="K156" s="861">
        <v>502</v>
      </c>
      <c r="L156" s="863">
        <f>-(totalrem2+L152+K121*1.07)*0.16</f>
        <v>-10319.402985074628</v>
      </c>
      <c r="M156" s="707"/>
      <c r="N156" s="861">
        <v>502</v>
      </c>
      <c r="O156" s="863">
        <f>-(totalrem1+O152+N121*1.07)*0.16</f>
        <v>-9691.044776119403</v>
      </c>
      <c r="P156" s="707"/>
      <c r="Q156" s="861">
        <v>502</v>
      </c>
      <c r="R156" s="863">
        <f>-(totalremfeb21+R152+Q121*1.07)*0.16</f>
        <v>-8973.134328358208</v>
      </c>
      <c r="S156" s="707"/>
      <c r="T156" s="861">
        <v>502</v>
      </c>
      <c r="U156" s="863">
        <f>-(totalremfeb21+U152+T121*1.07)*0.16</f>
        <v>-8973.134328358208</v>
      </c>
      <c r="V156" s="707"/>
      <c r="W156" s="861">
        <v>502</v>
      </c>
      <c r="X156" s="863">
        <f>-(totalremmar20+X152+W121*1.07)*0.16</f>
        <v>-6637.31343283582</v>
      </c>
      <c r="Y156" s="707"/>
      <c r="Z156" s="3"/>
      <c r="AA156" s="3"/>
      <c r="AB156" s="3"/>
      <c r="AC156" s="3"/>
      <c r="AD156" s="3"/>
      <c r="AE156" s="3"/>
    </row>
    <row r="157" spans="2:31" ht="21" customHeight="1">
      <c r="B157" s="117"/>
      <c r="C157" s="176"/>
      <c r="D157" s="422"/>
      <c r="E157" s="861">
        <v>504</v>
      </c>
      <c r="F157" s="863">
        <f>-(totalrem4+F152+E121*1.07)*0.006</f>
        <v>-454.2649253731342</v>
      </c>
      <c r="G157" s="707"/>
      <c r="H157" s="861">
        <v>504</v>
      </c>
      <c r="I157" s="863">
        <f>-(totalrem3+I152+H121*1.07)*0.006</f>
        <v>-420.6044776119403</v>
      </c>
      <c r="J157" s="707"/>
      <c r="K157" s="861">
        <v>504</v>
      </c>
      <c r="L157" s="863">
        <f>-(totalrem2+L152+K121*1.07)*0.006</f>
        <v>-386.9776119402985</v>
      </c>
      <c r="M157" s="707"/>
      <c r="N157" s="861">
        <v>504</v>
      </c>
      <c r="O157" s="863">
        <f>-(totalrem1+O152+N121*1.07)*0.006</f>
        <v>-363.41417910447757</v>
      </c>
      <c r="P157" s="707"/>
      <c r="Q157" s="861">
        <v>504</v>
      </c>
      <c r="R157" s="863">
        <f>-(totalremfeb21+R152+Q121*1.07)*0.006</f>
        <v>-336.49253731343276</v>
      </c>
      <c r="S157" s="707"/>
      <c r="T157" s="861">
        <v>504</v>
      </c>
      <c r="U157" s="863">
        <f>-(totalremfeb21+U152+T121*1.07)*0.006</f>
        <v>-336.49253731343276</v>
      </c>
      <c r="V157" s="707"/>
      <c r="W157" s="861">
        <v>504</v>
      </c>
      <c r="X157" s="863">
        <f>-(totalremmar20+X152+W121*1.07)*0.006</f>
        <v>-248.89925373134326</v>
      </c>
      <c r="Y157" s="707"/>
      <c r="Z157" s="3"/>
      <c r="AA157" s="3"/>
      <c r="AB157" s="3"/>
      <c r="AC157" s="3"/>
      <c r="AD157" s="3"/>
      <c r="AE157" s="3"/>
    </row>
    <row r="158" spans="2:31" ht="21" customHeight="1">
      <c r="B158" s="117"/>
      <c r="C158" s="176"/>
      <c r="D158" s="422"/>
      <c r="E158" s="861">
        <v>505</v>
      </c>
      <c r="F158" s="863">
        <f>-(totalrem4+F152+E121*1.07)*0.03</f>
        <v>-2271.324626865671</v>
      </c>
      <c r="G158" s="707"/>
      <c r="H158" s="861">
        <v>505</v>
      </c>
      <c r="I158" s="863">
        <f>-(totalrem3+I152+H121*1.07)*0.03</f>
        <v>-2103.0223880597014</v>
      </c>
      <c r="J158" s="707"/>
      <c r="K158" s="861">
        <v>505</v>
      </c>
      <c r="L158" s="863">
        <f>-(totalrem2+L152+K121*1.07)*0.03</f>
        <v>-1934.8880597014925</v>
      </c>
      <c r="M158" s="707"/>
      <c r="N158" s="861">
        <v>505</v>
      </c>
      <c r="O158" s="863">
        <f>-(totalrem1+O152+N121*1.07)*0.03</f>
        <v>-1817.070895522388</v>
      </c>
      <c r="P158" s="707"/>
      <c r="Q158" s="861">
        <v>505</v>
      </c>
      <c r="R158" s="863">
        <f>-(totalremfeb21+R152+Q121*1.07)*0.03</f>
        <v>-1682.4626865671637</v>
      </c>
      <c r="S158" s="707"/>
      <c r="T158" s="861">
        <v>505</v>
      </c>
      <c r="U158" s="863">
        <f>-(totalremfeb21+U152+T121*1.07)*0.03</f>
        <v>-1682.4626865671637</v>
      </c>
      <c r="V158" s="707"/>
      <c r="W158" s="861">
        <v>505</v>
      </c>
      <c r="X158" s="863">
        <f>-(totalremmar20+X152+W121*1.07)*0.03</f>
        <v>-1244.4962686567162</v>
      </c>
      <c r="Y158" s="707"/>
      <c r="Z158" s="3"/>
      <c r="AA158" s="3"/>
      <c r="AB158" s="3"/>
      <c r="AC158" s="3"/>
      <c r="AD158" s="3"/>
      <c r="AE158" s="3"/>
    </row>
    <row r="159" spans="2:31" ht="21" customHeight="1">
      <c r="B159" s="117"/>
      <c r="C159" s="176"/>
      <c r="D159" s="422"/>
      <c r="E159" s="864"/>
      <c r="F159" s="862"/>
      <c r="G159" s="707"/>
      <c r="H159" s="864"/>
      <c r="I159" s="862"/>
      <c r="J159" s="707"/>
      <c r="K159" s="864"/>
      <c r="L159" s="862"/>
      <c r="M159" s="707"/>
      <c r="N159" s="864"/>
      <c r="O159" s="862"/>
      <c r="P159" s="707"/>
      <c r="Q159" s="864"/>
      <c r="R159" s="862"/>
      <c r="S159" s="707"/>
      <c r="T159" s="864"/>
      <c r="U159" s="862"/>
      <c r="V159" s="707"/>
      <c r="W159" s="864"/>
      <c r="X159" s="862"/>
      <c r="Y159" s="707"/>
      <c r="Z159" s="3"/>
      <c r="AA159" s="3"/>
      <c r="AB159" s="3"/>
      <c r="AC159" s="3"/>
      <c r="AD159" s="3"/>
      <c r="AE159" s="3"/>
    </row>
    <row r="160" spans="2:31" ht="21" customHeight="1" thickBot="1">
      <c r="B160" s="117"/>
      <c r="C160" s="176"/>
      <c r="D160" s="422"/>
      <c r="E160" s="865" t="s">
        <v>538</v>
      </c>
      <c r="F160" s="866"/>
      <c r="G160" s="707"/>
      <c r="H160" s="865" t="s">
        <v>538</v>
      </c>
      <c r="I160" s="866"/>
      <c r="J160" s="707"/>
      <c r="K160" s="865" t="s">
        <v>538</v>
      </c>
      <c r="L160" s="866"/>
      <c r="M160" s="707"/>
      <c r="N160" s="865" t="s">
        <v>538</v>
      </c>
      <c r="O160" s="866"/>
      <c r="P160" s="707"/>
      <c r="Q160" s="865" t="s">
        <v>538</v>
      </c>
      <c r="R160" s="866"/>
      <c r="S160" s="707"/>
      <c r="T160" s="865" t="s">
        <v>538</v>
      </c>
      <c r="U160" s="866"/>
      <c r="V160" s="707"/>
      <c r="W160" s="865" t="s">
        <v>538</v>
      </c>
      <c r="X160" s="866"/>
      <c r="Y160" s="707"/>
      <c r="Z160" s="3"/>
      <c r="AA160" s="464"/>
      <c r="AB160" s="3"/>
      <c r="AC160" s="3"/>
      <c r="AD160" s="464"/>
      <c r="AE160" s="3"/>
    </row>
    <row r="161" spans="2:31" ht="21" customHeight="1" thickBot="1">
      <c r="B161" s="117"/>
      <c r="C161" s="176"/>
      <c r="D161" s="422"/>
      <c r="E161" s="865"/>
      <c r="F161" s="867">
        <f>E130+F152+F153+F156+F157+F158</f>
        <v>64701.49999999998</v>
      </c>
      <c r="G161" s="707"/>
      <c r="H161" s="865"/>
      <c r="I161" s="867">
        <f>H130+I152+I153+I156+I157+I158</f>
        <v>60191</v>
      </c>
      <c r="J161" s="707"/>
      <c r="K161" s="865"/>
      <c r="L161" s="867">
        <f>K130+L152+L153+L156+L157+L158</f>
        <v>54985</v>
      </c>
      <c r="M161" s="707"/>
      <c r="N161" s="865"/>
      <c r="O161" s="867">
        <f>N130+O152+O153+O156+O157+O158</f>
        <v>51827.5</v>
      </c>
      <c r="P161" s="707"/>
      <c r="Q161" s="865"/>
      <c r="R161" s="867">
        <f>Q130+R152+R153+R156+R157+R158</f>
        <v>48219.999999999985</v>
      </c>
      <c r="S161" s="707"/>
      <c r="T161" s="865"/>
      <c r="U161" s="867">
        <f>T130+U152+U153+U156+U157+U158</f>
        <v>47719.999999999985</v>
      </c>
      <c r="V161" s="707"/>
      <c r="W161" s="865"/>
      <c r="X161" s="867">
        <f>W130+X152+X153+X156+X157+X158</f>
        <v>35982.49999999999</v>
      </c>
      <c r="Y161" s="707"/>
      <c r="Z161" s="3"/>
      <c r="AA161" s="464"/>
      <c r="AB161" s="3"/>
      <c r="AC161" s="3"/>
      <c r="AD161" s="464"/>
      <c r="AE161" s="3"/>
    </row>
    <row r="162" spans="2:31" ht="21" customHeight="1">
      <c r="B162" s="117"/>
      <c r="C162" s="176"/>
      <c r="D162" s="422"/>
      <c r="E162" s="868" t="s">
        <v>539</v>
      </c>
      <c r="F162" s="869"/>
      <c r="G162" s="707"/>
      <c r="H162" s="868" t="s">
        <v>539</v>
      </c>
      <c r="I162" s="869"/>
      <c r="J162" s="707"/>
      <c r="K162" s="868" t="s">
        <v>539</v>
      </c>
      <c r="L162" s="869"/>
      <c r="M162" s="707"/>
      <c r="N162" s="868" t="s">
        <v>539</v>
      </c>
      <c r="O162" s="869"/>
      <c r="P162" s="707"/>
      <c r="Q162" s="868" t="s">
        <v>539</v>
      </c>
      <c r="R162" s="869"/>
      <c r="S162" s="707"/>
      <c r="T162" s="868" t="s">
        <v>539</v>
      </c>
      <c r="U162" s="869"/>
      <c r="V162" s="707"/>
      <c r="W162" s="868" t="s">
        <v>539</v>
      </c>
      <c r="X162" s="869"/>
      <c r="Y162" s="707"/>
      <c r="Z162" s="3"/>
      <c r="AA162" s="464"/>
      <c r="AB162" s="3"/>
      <c r="AC162" s="3"/>
      <c r="AD162" s="464"/>
      <c r="AE162" s="3"/>
    </row>
    <row r="163" spans="2:31" ht="28.5" customHeight="1" thickBot="1">
      <c r="B163" s="117"/>
      <c r="C163" s="176"/>
      <c r="D163" s="422"/>
      <c r="E163" s="870"/>
      <c r="F163" s="871">
        <f>F161-F140+F136</f>
        <v>20290.499999999993</v>
      </c>
      <c r="G163" s="707"/>
      <c r="H163" s="870"/>
      <c r="I163" s="871">
        <f>I161-I140+I136</f>
        <v>18787</v>
      </c>
      <c r="J163" s="707"/>
      <c r="K163" s="870"/>
      <c r="L163" s="871">
        <f>L161-L140+L136</f>
        <v>17285</v>
      </c>
      <c r="M163" s="707"/>
      <c r="N163" s="870"/>
      <c r="O163" s="871">
        <f>O161-O140+O136</f>
        <v>16232.5</v>
      </c>
      <c r="P163" s="707"/>
      <c r="Q163" s="870"/>
      <c r="R163" s="871">
        <f>R161-R140+R136</f>
        <v>15029.999999999993</v>
      </c>
      <c r="S163" s="707"/>
      <c r="T163" s="870"/>
      <c r="U163" s="871">
        <f>U161-U140+U136</f>
        <v>15029.999999999993</v>
      </c>
      <c r="V163" s="707"/>
      <c r="W163" s="870"/>
      <c r="X163" s="871">
        <f>X161-X140+X136</f>
        <v>11117.499999999996</v>
      </c>
      <c r="Y163" s="707"/>
      <c r="Z163" s="3"/>
      <c r="AA163" s="3"/>
      <c r="AB163" s="3"/>
      <c r="AC163" s="3"/>
      <c r="AD163" s="3"/>
      <c r="AE163" s="3"/>
    </row>
    <row r="164" spans="1:31" ht="30.75" thickTop="1">
      <c r="A164" s="3"/>
      <c r="B164" s="3"/>
      <c r="D164" s="420"/>
      <c r="E164" s="832">
        <v>44470</v>
      </c>
      <c r="F164" s="804">
        <v>0.1</v>
      </c>
      <c r="G164" s="806"/>
      <c r="H164" s="805">
        <v>44440</v>
      </c>
      <c r="I164" s="804">
        <v>0.1</v>
      </c>
      <c r="J164" s="806"/>
      <c r="K164" s="805">
        <v>44378</v>
      </c>
      <c r="L164" s="803">
        <v>0.07</v>
      </c>
      <c r="M164" s="676"/>
      <c r="N164" s="805">
        <v>44317</v>
      </c>
      <c r="O164" s="803">
        <v>0.08</v>
      </c>
      <c r="P164" s="676"/>
      <c r="Q164" s="849">
        <v>44256</v>
      </c>
      <c r="R164" s="850"/>
      <c r="S164" s="676"/>
      <c r="T164" s="726" t="s">
        <v>512</v>
      </c>
      <c r="U164" s="727"/>
      <c r="V164" s="676"/>
      <c r="W164" s="681" t="s">
        <v>504</v>
      </c>
      <c r="X164" s="682"/>
      <c r="Y164" s="676"/>
      <c r="Z164" s="767"/>
      <c r="AA164" s="767"/>
      <c r="AB164" s="770"/>
      <c r="AC164" s="769"/>
      <c r="AD164" s="770"/>
      <c r="AE164" s="770"/>
    </row>
    <row r="165" spans="2:31" s="147" customFormat="1" ht="22.5" customHeight="1">
      <c r="B165" s="151"/>
      <c r="C165" s="149"/>
      <c r="D165" s="423"/>
      <c r="G165" s="705"/>
      <c r="J165" s="705"/>
      <c r="M165" s="705"/>
      <c r="P165" s="705"/>
      <c r="S165" s="705"/>
      <c r="V165" s="705"/>
      <c r="Y165" s="705"/>
      <c r="Z165" s="3"/>
      <c r="AA165" s="3"/>
      <c r="AB165" s="3"/>
      <c r="AC165" s="3"/>
      <c r="AD165" s="3"/>
      <c r="AE165" s="3"/>
    </row>
    <row r="166" spans="4:31" ht="12.75">
      <c r="D166" s="420"/>
      <c r="G166" s="705"/>
      <c r="J166" s="705"/>
      <c r="M166" s="705"/>
      <c r="P166" s="705"/>
      <c r="S166" s="705"/>
      <c r="V166" s="705"/>
      <c r="Y166" s="705"/>
      <c r="Z166" s="3"/>
      <c r="AA166" s="3"/>
      <c r="AB166" s="3"/>
      <c r="AC166" s="3"/>
      <c r="AD166" s="3"/>
      <c r="AE166" s="3"/>
    </row>
    <row r="167" spans="3:31" ht="27">
      <c r="C167" s="155" t="s">
        <v>6</v>
      </c>
      <c r="D167" s="420"/>
      <c r="G167" s="705"/>
      <c r="J167" s="705"/>
      <c r="M167" s="705"/>
      <c r="P167" s="705"/>
      <c r="S167" s="705"/>
      <c r="V167" s="705"/>
      <c r="Y167" s="705"/>
      <c r="Z167" s="3"/>
      <c r="AA167" s="3"/>
      <c r="AB167" s="3"/>
      <c r="AC167" s="3"/>
      <c r="AD167" s="3"/>
      <c r="AE167" s="3"/>
    </row>
    <row r="168" spans="4:31" ht="13.5" thickBot="1">
      <c r="D168" s="420"/>
      <c r="G168" s="705"/>
      <c r="J168" s="705"/>
      <c r="M168" s="705"/>
      <c r="P168" s="705"/>
      <c r="S168" s="705"/>
      <c r="V168" s="705"/>
      <c r="Y168" s="705"/>
      <c r="Z168" s="3"/>
      <c r="AA168" s="3"/>
      <c r="AB168" s="3"/>
      <c r="AC168" s="3"/>
      <c r="AD168" s="3"/>
      <c r="AE168" s="3"/>
    </row>
    <row r="169" spans="2:42" ht="16.5" thickBot="1">
      <c r="B169" s="93" t="s">
        <v>7</v>
      </c>
      <c r="C169" s="42"/>
      <c r="D169" s="424">
        <v>36</v>
      </c>
      <c r="G169" s="708"/>
      <c r="J169" s="708"/>
      <c r="M169" s="708"/>
      <c r="P169" s="708"/>
      <c r="S169" s="708"/>
      <c r="V169" s="708"/>
      <c r="Y169" s="708"/>
      <c r="Z169" s="3"/>
      <c r="AA169" s="3"/>
      <c r="AB169" s="3"/>
      <c r="AC169" s="3"/>
      <c r="AD169" s="3"/>
      <c r="AE169" s="3"/>
      <c r="AP169" s="176"/>
    </row>
    <row r="170" spans="2:42" ht="16.5" thickBot="1">
      <c r="B170" s="93" t="s">
        <v>344</v>
      </c>
      <c r="C170" s="42"/>
      <c r="D170" s="425">
        <v>24</v>
      </c>
      <c r="G170" s="708"/>
      <c r="J170" s="708"/>
      <c r="M170" s="708"/>
      <c r="P170" s="708"/>
      <c r="S170" s="708"/>
      <c r="V170" s="708"/>
      <c r="Y170" s="708"/>
      <c r="Z170" s="3"/>
      <c r="AA170" s="3"/>
      <c r="AB170" s="3"/>
      <c r="AC170" s="3"/>
      <c r="AD170" s="3"/>
      <c r="AE170" s="3"/>
      <c r="AP170" s="176"/>
    </row>
    <row r="171" spans="4:42" ht="17.25" thickBot="1" thickTop="1">
      <c r="D171" s="416">
        <f>LOOKUP(D170,D18:D29,E18:E29)</f>
        <v>1.2</v>
      </c>
      <c r="E171" s="679" t="s">
        <v>502</v>
      </c>
      <c r="G171" s="709"/>
      <c r="H171" s="679" t="s">
        <v>502</v>
      </c>
      <c r="J171" s="709"/>
      <c r="K171" s="679" t="s">
        <v>502</v>
      </c>
      <c r="M171" s="709"/>
      <c r="N171" s="679" t="s">
        <v>502</v>
      </c>
      <c r="P171" s="709"/>
      <c r="Q171" s="679" t="s">
        <v>502</v>
      </c>
      <c r="S171" s="709"/>
      <c r="T171" s="679" t="s">
        <v>502</v>
      </c>
      <c r="V171" s="709"/>
      <c r="W171" s="679" t="s">
        <v>502</v>
      </c>
      <c r="Y171" s="709"/>
      <c r="Z171" s="687"/>
      <c r="AA171" s="3"/>
      <c r="AB171" s="3"/>
      <c r="AC171" s="3"/>
      <c r="AD171" s="3"/>
      <c r="AE171" s="3"/>
      <c r="AO171" s="174"/>
      <c r="AP171" s="447"/>
    </row>
    <row r="172" spans="2:43" ht="27.75" thickBot="1">
      <c r="B172" s="494" t="s">
        <v>357</v>
      </c>
      <c r="C172" s="495"/>
      <c r="D172" s="496"/>
      <c r="E172" s="692">
        <f>F210</f>
        <v>104024.33105301265</v>
      </c>
      <c r="G172" s="710"/>
      <c r="H172" s="692">
        <f>I210</f>
        <v>96886.23245649319</v>
      </c>
      <c r="J172" s="710"/>
      <c r="K172" s="692">
        <f>L210</f>
        <v>88348.13385997372</v>
      </c>
      <c r="M172" s="710"/>
      <c r="N172" s="692">
        <f>O210</f>
        <v>83222.4228424101</v>
      </c>
      <c r="P172" s="710"/>
      <c r="Q172" s="692">
        <f>R210</f>
        <v>77640.98596519454</v>
      </c>
      <c r="S172" s="710"/>
      <c r="T172" s="692">
        <f>U210</f>
        <v>76640.98596519454</v>
      </c>
      <c r="V172" s="710"/>
      <c r="W172" s="692">
        <f>X210</f>
        <v>63589.57363550273</v>
      </c>
      <c r="Y172" s="710"/>
      <c r="Z172" s="688"/>
      <c r="AA172" s="3"/>
      <c r="AB172" s="3"/>
      <c r="AC172" s="3"/>
      <c r="AD172" s="3"/>
      <c r="AE172" s="3"/>
      <c r="AO172" s="174"/>
      <c r="AP172" s="450"/>
      <c r="AQ172" s="155"/>
    </row>
    <row r="173" spans="2:42" ht="26.25" customHeight="1" thickBot="1" thickTop="1">
      <c r="B173" s="497" t="s">
        <v>358</v>
      </c>
      <c r="C173" s="3"/>
      <c r="D173" s="498">
        <v>36</v>
      </c>
      <c r="G173" s="708"/>
      <c r="J173" s="708"/>
      <c r="M173" s="708"/>
      <c r="P173" s="708"/>
      <c r="S173" s="708"/>
      <c r="V173" s="708"/>
      <c r="Y173" s="708"/>
      <c r="Z173" s="3"/>
      <c r="AA173" s="3"/>
      <c r="AB173" s="3"/>
      <c r="AC173" s="3"/>
      <c r="AD173" s="3"/>
      <c r="AE173" s="3"/>
      <c r="AO173" s="174"/>
      <c r="AP173" s="451"/>
    </row>
    <row r="174" spans="2:42" ht="16.5" thickBot="1">
      <c r="B174" s="497" t="s">
        <v>359</v>
      </c>
      <c r="C174" s="3"/>
      <c r="D174" s="498">
        <v>36</v>
      </c>
      <c r="G174" s="708"/>
      <c r="J174" s="708"/>
      <c r="M174" s="708"/>
      <c r="P174" s="708"/>
      <c r="S174" s="708"/>
      <c r="V174" s="708"/>
      <c r="Y174" s="708"/>
      <c r="Z174" s="3"/>
      <c r="AA174" s="3"/>
      <c r="AB174" s="3"/>
      <c r="AC174" s="3"/>
      <c r="AD174" s="3"/>
      <c r="AE174" s="3"/>
      <c r="AP174" s="176"/>
    </row>
    <row r="175" spans="2:34" ht="16.5" thickBot="1">
      <c r="B175" s="499" t="s">
        <v>483</v>
      </c>
      <c r="C175" s="3"/>
      <c r="D175" s="659">
        <v>1</v>
      </c>
      <c r="E175" s="1" t="s">
        <v>482</v>
      </c>
      <c r="G175" s="708"/>
      <c r="H175" s="1" t="s">
        <v>482</v>
      </c>
      <c r="J175" s="708"/>
      <c r="K175" s="1" t="s">
        <v>482</v>
      </c>
      <c r="M175" s="708"/>
      <c r="N175" s="1" t="s">
        <v>482</v>
      </c>
      <c r="P175" s="708"/>
      <c r="Q175" s="1" t="s">
        <v>482</v>
      </c>
      <c r="S175" s="708"/>
      <c r="T175" s="1" t="s">
        <v>482</v>
      </c>
      <c r="V175" s="708"/>
      <c r="W175" s="1" t="s">
        <v>482</v>
      </c>
      <c r="Y175" s="708"/>
      <c r="Z175" s="3"/>
      <c r="AA175" s="3"/>
      <c r="AB175" s="3"/>
      <c r="AC175" s="3"/>
      <c r="AD175" s="3"/>
      <c r="AE175" s="3"/>
      <c r="AH175" s="176"/>
    </row>
    <row r="176" spans="2:42" ht="16.5" thickBot="1">
      <c r="B176" s="500" t="s">
        <v>394</v>
      </c>
      <c r="C176" s="501"/>
      <c r="D176" s="658">
        <v>0</v>
      </c>
      <c r="G176" s="680"/>
      <c r="J176" s="680"/>
      <c r="M176" s="680"/>
      <c r="P176" s="680"/>
      <c r="S176" s="680"/>
      <c r="V176" s="680"/>
      <c r="Y176" s="680"/>
      <c r="Z176" s="3"/>
      <c r="AA176" s="3"/>
      <c r="AB176" s="3"/>
      <c r="AC176" s="3"/>
      <c r="AD176" s="3"/>
      <c r="AE176" s="3"/>
      <c r="AP176" s="176"/>
    </row>
    <row r="177" spans="2:42" ht="15.75">
      <c r="B177" s="652"/>
      <c r="C177" s="653"/>
      <c r="D177" s="417"/>
      <c r="G177" s="680"/>
      <c r="J177" s="680"/>
      <c r="M177" s="680"/>
      <c r="P177" s="680"/>
      <c r="S177" s="680"/>
      <c r="V177" s="680"/>
      <c r="Y177" s="680"/>
      <c r="Z177" s="3"/>
      <c r="AA177" s="3"/>
      <c r="AB177" s="3"/>
      <c r="AC177" s="3"/>
      <c r="AD177" s="3"/>
      <c r="AE177" s="3"/>
      <c r="AP177" s="176"/>
    </row>
    <row r="178" spans="2:41" ht="27">
      <c r="B178" s="174"/>
      <c r="C178" s="174"/>
      <c r="D178" s="429"/>
      <c r="G178" s="710"/>
      <c r="J178" s="710"/>
      <c r="M178" s="710"/>
      <c r="P178" s="710"/>
      <c r="S178" s="710"/>
      <c r="V178" s="710"/>
      <c r="Y178" s="710"/>
      <c r="Z178" s="3"/>
      <c r="AA178" s="3"/>
      <c r="AB178" s="3"/>
      <c r="AC178" s="3"/>
      <c r="AD178" s="3"/>
      <c r="AE178" s="3"/>
      <c r="AO178" s="155" t="s">
        <v>6</v>
      </c>
    </row>
    <row r="179" spans="2:43" ht="18.75" thickBot="1">
      <c r="B179" s="67" t="s">
        <v>5</v>
      </c>
      <c r="C179" s="98"/>
      <c r="D179" s="418">
        <f>canthormed*64.73</f>
        <v>2330.28</v>
      </c>
      <c r="G179" s="711"/>
      <c r="J179" s="711"/>
      <c r="M179" s="711"/>
      <c r="P179" s="711"/>
      <c r="S179" s="711"/>
      <c r="V179" s="711"/>
      <c r="Y179" s="711"/>
      <c r="Z179" s="3"/>
      <c r="AA179" s="3"/>
      <c r="AB179" s="3"/>
      <c r="AC179" s="3"/>
      <c r="AD179" s="3"/>
      <c r="AE179" s="3"/>
      <c r="AP179" s="131"/>
      <c r="AQ179" s="131"/>
    </row>
    <row r="180" spans="2:43" ht="18.75" thickBot="1">
      <c r="B180" s="131"/>
      <c r="C180" s="453"/>
      <c r="D180" s="454"/>
      <c r="G180" s="711"/>
      <c r="J180" s="711"/>
      <c r="M180" s="711"/>
      <c r="P180" s="711"/>
      <c r="S180" s="711"/>
      <c r="V180" s="711"/>
      <c r="Y180" s="711"/>
      <c r="Z180" s="3"/>
      <c r="AA180" s="3"/>
      <c r="AB180" s="3"/>
      <c r="AC180" s="3"/>
      <c r="AD180" s="3"/>
      <c r="AE180" s="3"/>
      <c r="AP180" s="131"/>
      <c r="AQ180" s="131"/>
    </row>
    <row r="181" spans="2:43" s="4" customFormat="1" ht="13.5" thickTop="1">
      <c r="B181" s="466"/>
      <c r="C181" s="467"/>
      <c r="D181" s="468"/>
      <c r="G181" s="712"/>
      <c r="J181" s="712"/>
      <c r="M181" s="712"/>
      <c r="P181" s="712"/>
      <c r="S181" s="712"/>
      <c r="V181" s="712"/>
      <c r="Y181" s="712"/>
      <c r="Z181" s="59"/>
      <c r="AA181" s="59"/>
      <c r="AB181" s="59"/>
      <c r="AC181" s="59"/>
      <c r="AD181" s="59"/>
      <c r="AE181" s="59"/>
      <c r="AP181" s="6"/>
      <c r="AQ181" s="6"/>
    </row>
    <row r="182" spans="2:31" ht="30.75" thickBot="1">
      <c r="B182" s="357"/>
      <c r="D182" s="430"/>
      <c r="E182" s="832">
        <v>44470</v>
      </c>
      <c r="F182" s="804">
        <v>0.1</v>
      </c>
      <c r="G182" s="806"/>
      <c r="H182" s="805">
        <v>44440</v>
      </c>
      <c r="I182" s="804">
        <v>0.1</v>
      </c>
      <c r="J182" s="806"/>
      <c r="K182" s="805">
        <v>44378</v>
      </c>
      <c r="L182" s="803">
        <v>0.07</v>
      </c>
      <c r="M182" s="676"/>
      <c r="N182" s="805">
        <v>44317</v>
      </c>
      <c r="O182" s="803">
        <v>0.08</v>
      </c>
      <c r="P182" s="676"/>
      <c r="Q182" s="849">
        <v>44256</v>
      </c>
      <c r="R182" s="850"/>
      <c r="S182" s="676"/>
      <c r="T182" s="726" t="s">
        <v>512</v>
      </c>
      <c r="U182" s="727"/>
      <c r="V182" s="676"/>
      <c r="W182" s="681" t="s">
        <v>504</v>
      </c>
      <c r="X182" s="682"/>
      <c r="Y182" s="676"/>
      <c r="Z182" s="767"/>
      <c r="AA182" s="767"/>
      <c r="AB182" s="770"/>
      <c r="AC182" s="769"/>
      <c r="AD182" s="770"/>
      <c r="AE182" s="770"/>
    </row>
    <row r="183" spans="2:31" s="7" customFormat="1" ht="13.5" thickBot="1">
      <c r="B183" s="477" t="s">
        <v>349</v>
      </c>
      <c r="C183" s="478" t="s">
        <v>348</v>
      </c>
      <c r="D183" s="479" t="s">
        <v>320</v>
      </c>
      <c r="E183" s="478" t="s">
        <v>321</v>
      </c>
      <c r="F183" s="480" t="s">
        <v>322</v>
      </c>
      <c r="G183" s="693"/>
      <c r="H183" s="478" t="s">
        <v>321</v>
      </c>
      <c r="I183" s="480" t="s">
        <v>322</v>
      </c>
      <c r="J183" s="693"/>
      <c r="K183" s="478" t="s">
        <v>321</v>
      </c>
      <c r="L183" s="480" t="s">
        <v>322</v>
      </c>
      <c r="M183" s="693"/>
      <c r="N183" s="478" t="s">
        <v>321</v>
      </c>
      <c r="O183" s="480" t="s">
        <v>322</v>
      </c>
      <c r="P183" s="693"/>
      <c r="Q183" s="478" t="s">
        <v>321</v>
      </c>
      <c r="R183" s="480" t="s">
        <v>322</v>
      </c>
      <c r="S183" s="693"/>
      <c r="T183" s="478" t="s">
        <v>321</v>
      </c>
      <c r="U183" s="480" t="s">
        <v>322</v>
      </c>
      <c r="V183" s="693"/>
      <c r="W183" s="478" t="s">
        <v>321</v>
      </c>
      <c r="X183" s="480" t="s">
        <v>322</v>
      </c>
      <c r="Y183" s="693"/>
      <c r="Z183" s="9"/>
      <c r="AA183" s="9"/>
      <c r="AB183" s="3"/>
      <c r="AC183" s="9"/>
      <c r="AD183" s="9"/>
      <c r="AE183" s="3"/>
    </row>
    <row r="184" spans="2:31" s="7" customFormat="1" ht="15">
      <c r="B184" s="608" t="s">
        <v>331</v>
      </c>
      <c r="C184" s="631">
        <f>canthormed</f>
        <v>36</v>
      </c>
      <c r="D184" s="610" t="s">
        <v>332</v>
      </c>
      <c r="E184" s="609">
        <f>indicemar21*punbashormed*Aumento4</f>
        <v>40207.78130580002</v>
      </c>
      <c r="F184" s="610"/>
      <c r="G184" s="713"/>
      <c r="H184" s="609">
        <f>indicemar21*punbashormed*Aumento3</f>
        <v>37229.42713500001</v>
      </c>
      <c r="I184" s="610"/>
      <c r="J184" s="713"/>
      <c r="K184" s="609">
        <f>indicemar21*punbashormed*Aumento2</f>
        <v>34251.07296420001</v>
      </c>
      <c r="L184" s="610"/>
      <c r="M184" s="713"/>
      <c r="N184" s="609">
        <f>indicemar21*punbashormed*Aumento1</f>
        <v>32166.225044640007</v>
      </c>
      <c r="O184" s="610"/>
      <c r="P184" s="713"/>
      <c r="Q184" s="609">
        <f>indicemar21*punbashormed</f>
        <v>29783.541708000004</v>
      </c>
      <c r="R184" s="610"/>
      <c r="S184" s="713"/>
      <c r="T184" s="609">
        <f>indicemar21*punbashormed</f>
        <v>29783.541708000004</v>
      </c>
      <c r="U184" s="610"/>
      <c r="V184" s="713"/>
      <c r="W184" s="609">
        <f>indiceene20*punbashormed</f>
        <v>25898.731920000006</v>
      </c>
      <c r="X184" s="610"/>
      <c r="Y184" s="713"/>
      <c r="Z184" s="771"/>
      <c r="AA184" s="3"/>
      <c r="AB184" s="792"/>
      <c r="AC184" s="771"/>
      <c r="AD184" s="3"/>
      <c r="AE184" s="792"/>
    </row>
    <row r="185" spans="2:31" s="7" customFormat="1" ht="12.75">
      <c r="B185" s="598" t="s">
        <v>296</v>
      </c>
      <c r="C185" s="505">
        <f>porantighormed</f>
        <v>1.2</v>
      </c>
      <c r="D185" s="589" t="s">
        <v>0</v>
      </c>
      <c r="E185" s="566">
        <f>E184*porantighormed</f>
        <v>48249.33756696002</v>
      </c>
      <c r="F185" s="589"/>
      <c r="G185" s="654"/>
      <c r="H185" s="566">
        <f>H184*porantighormed</f>
        <v>44675.312562000014</v>
      </c>
      <c r="I185" s="589"/>
      <c r="J185" s="654"/>
      <c r="K185" s="566">
        <f>K184*porantighormed</f>
        <v>41101.28755704001</v>
      </c>
      <c r="L185" s="589"/>
      <c r="M185" s="654"/>
      <c r="N185" s="566">
        <f>N184*porantighormed</f>
        <v>38599.47005356801</v>
      </c>
      <c r="O185" s="589"/>
      <c r="P185" s="654"/>
      <c r="Q185" s="566">
        <f>Q184*porantighormed</f>
        <v>35740.25004960001</v>
      </c>
      <c r="R185" s="589"/>
      <c r="S185" s="654"/>
      <c r="T185" s="566">
        <f>T184*porantighormed</f>
        <v>35740.25004960001</v>
      </c>
      <c r="U185" s="589"/>
      <c r="V185" s="654"/>
      <c r="W185" s="566">
        <f>W184*porantighormed</f>
        <v>31078.478304000004</v>
      </c>
      <c r="X185" s="589"/>
      <c r="Y185" s="654"/>
      <c r="Z185" s="771"/>
      <c r="AA185" s="3"/>
      <c r="AB185" s="792"/>
      <c r="AC185" s="771"/>
      <c r="AD185" s="3"/>
      <c r="AE185" s="792"/>
    </row>
    <row r="186" spans="2:31" s="7" customFormat="1" ht="15.75">
      <c r="B186" s="611" t="s">
        <v>301</v>
      </c>
      <c r="C186" s="632">
        <f>W186/178.56</f>
        <v>36</v>
      </c>
      <c r="D186" s="633" t="s">
        <v>328</v>
      </c>
      <c r="E186" s="560">
        <f>IF(canthor06med&gt;36,36*205.355,205.355*canthor06med)*Aumento4</f>
        <v>9980.253000000002</v>
      </c>
      <c r="F186" s="612"/>
      <c r="G186" s="655"/>
      <c r="H186" s="560">
        <f>IF(canthor06med&gt;36,36*205.355,205.355*canthor06med)*Aumento3</f>
        <v>9240.975000000002</v>
      </c>
      <c r="I186" s="612"/>
      <c r="J186" s="655"/>
      <c r="K186" s="560">
        <f>IF(canthor06med&gt;36,36*205.355,205.355*canthor06med)*Aumento2</f>
        <v>8501.697</v>
      </c>
      <c r="L186" s="612"/>
      <c r="M186" s="655"/>
      <c r="N186" s="560">
        <f>IF(canthor06med&gt;36,36*205.355,205.355*canthor06med)*Aumento1</f>
        <v>7984.2024</v>
      </c>
      <c r="O186" s="612"/>
      <c r="P186" s="655"/>
      <c r="Q186" s="560">
        <f>IF(canthor06med&gt;36,36*205.355,205.355*canthor06med)</f>
        <v>7392.78</v>
      </c>
      <c r="R186" s="612"/>
      <c r="S186" s="655"/>
      <c r="T186" s="560">
        <f>IF(canthor06med&gt;36,36*205.355,205.355*canthor06med)</f>
        <v>7392.78</v>
      </c>
      <c r="U186" s="612"/>
      <c r="V186" s="655"/>
      <c r="W186" s="560">
        <f>IF(canthor06med&gt;36,36*178.56,178.56*canthor06med)</f>
        <v>6428.16</v>
      </c>
      <c r="X186" s="612"/>
      <c r="Y186" s="655"/>
      <c r="Z186" s="771"/>
      <c r="AA186" s="3"/>
      <c r="AB186" s="792"/>
      <c r="AC186" s="771"/>
      <c r="AD186" s="3"/>
      <c r="AE186" s="792"/>
    </row>
    <row r="187" spans="2:31" s="7" customFormat="1" ht="12.75">
      <c r="B187" s="598" t="s">
        <v>302</v>
      </c>
      <c r="C187" s="505">
        <v>0.07</v>
      </c>
      <c r="D187" s="621" t="s">
        <v>333</v>
      </c>
      <c r="E187" s="566">
        <f>E186*0.07</f>
        <v>698.6177100000002</v>
      </c>
      <c r="F187" s="589"/>
      <c r="G187" s="655"/>
      <c r="H187" s="566">
        <f>H186*0.07</f>
        <v>646.8682500000002</v>
      </c>
      <c r="I187" s="589"/>
      <c r="J187" s="655"/>
      <c r="K187" s="566">
        <f>K186*0.07</f>
        <v>595.1187900000001</v>
      </c>
      <c r="L187" s="589"/>
      <c r="M187" s="655"/>
      <c r="N187" s="566">
        <f>N186*0.07</f>
        <v>558.894168</v>
      </c>
      <c r="O187" s="589"/>
      <c r="P187" s="655"/>
      <c r="Q187" s="566">
        <f>Q186*0.07</f>
        <v>517.4946</v>
      </c>
      <c r="R187" s="589"/>
      <c r="S187" s="655"/>
      <c r="T187" s="566">
        <f>T186*0.07</f>
        <v>517.4946</v>
      </c>
      <c r="U187" s="589"/>
      <c r="V187" s="655"/>
      <c r="W187" s="566">
        <f>W186*0.07</f>
        <v>449.9712</v>
      </c>
      <c r="X187" s="589"/>
      <c r="Y187" s="655"/>
      <c r="Z187" s="771"/>
      <c r="AA187" s="3"/>
      <c r="AB187" s="792"/>
      <c r="AC187" s="771"/>
      <c r="AD187" s="3"/>
      <c r="AE187" s="792"/>
    </row>
    <row r="188" spans="2:31" s="7" customFormat="1" ht="15.75">
      <c r="B188" s="611" t="s">
        <v>435</v>
      </c>
      <c r="C188" s="632">
        <f>W188/143.18</f>
        <v>18</v>
      </c>
      <c r="D188" s="634" t="s">
        <v>434</v>
      </c>
      <c r="E188" s="560">
        <f>IF(canthormed&gt;18,18*164.66666,164.66666*canthormed)*adichsmedia*Aumento4</f>
        <v>4001.399838000001</v>
      </c>
      <c r="F188" s="612"/>
      <c r="G188" s="714"/>
      <c r="H188" s="560">
        <f>IF(canthormed&gt;18,18*164.66666,164.66666*canthormed)*adichsmedia*Aumento3</f>
        <v>3704.999850000001</v>
      </c>
      <c r="I188" s="612"/>
      <c r="J188" s="714"/>
      <c r="K188" s="560">
        <f>IF(canthormed&gt;18,18*164.66666,164.66666*canthormed)*adichsmedia*Aumento2</f>
        <v>3408.599862000001</v>
      </c>
      <c r="L188" s="612"/>
      <c r="M188" s="714"/>
      <c r="N188" s="560">
        <f>IF(canthormed&gt;18,18*164.66666,164.66666*canthormed)*adichsmedia*Aumento1</f>
        <v>3201.1198704000008</v>
      </c>
      <c r="O188" s="612"/>
      <c r="P188" s="714"/>
      <c r="Q188" s="560">
        <f>IF(canthormed&gt;18,18*164.66666,164.66666*canthormed)*adichsmedia</f>
        <v>2963.9998800000003</v>
      </c>
      <c r="R188" s="612"/>
      <c r="S188" s="714"/>
      <c r="T188" s="560">
        <f>IF(canthormed&gt;18,18*164.66666,164.66666*canthormed)*adichsmedia</f>
        <v>2963.9998800000003</v>
      </c>
      <c r="U188" s="612"/>
      <c r="V188" s="714"/>
      <c r="W188" s="560">
        <f>IF(canthormed&gt;18,18*143.18,143.18*canthormed)*adichsmedia</f>
        <v>2577.2400000000002</v>
      </c>
      <c r="X188" s="612"/>
      <c r="Y188" s="714"/>
      <c r="Z188" s="771"/>
      <c r="AA188" s="3"/>
      <c r="AB188" s="792"/>
      <c r="AC188" s="771"/>
      <c r="AD188" s="3"/>
      <c r="AE188" s="792"/>
    </row>
    <row r="189" spans="2:31" s="7" customFormat="1" ht="12.75">
      <c r="B189" s="611" t="s">
        <v>299</v>
      </c>
      <c r="C189" s="518">
        <v>0.07</v>
      </c>
      <c r="D189" s="613" t="s">
        <v>330</v>
      </c>
      <c r="E189" s="560">
        <f>(E184+E185+E188+E190+E192+E193)*0.07</f>
        <v>7142.437729753203</v>
      </c>
      <c r="F189" s="612"/>
      <c r="G189" s="715"/>
      <c r="H189" s="560">
        <f>(H184+H185+H188+H190+H192+H193)*0.07</f>
        <v>6613.368268290003</v>
      </c>
      <c r="I189" s="612"/>
      <c r="J189" s="715"/>
      <c r="K189" s="560">
        <f>(K184+K185+K188+K190+K192+K193)*0.07</f>
        <v>6084.298806826801</v>
      </c>
      <c r="L189" s="612"/>
      <c r="M189" s="715"/>
      <c r="N189" s="560">
        <f>(N184+N185+N188+N190+N192+N193)*0.07</f>
        <v>5703.450183802562</v>
      </c>
      <c r="O189" s="612"/>
      <c r="P189" s="715"/>
      <c r="Q189" s="560">
        <f>(Q184+Q185+Q188+Q190+Q192+Q193)*0.07</f>
        <v>5290.694614632001</v>
      </c>
      <c r="R189" s="612"/>
      <c r="S189" s="715"/>
      <c r="T189" s="560">
        <f>(T184+T185+T188+T190+T192+T193)*0.07</f>
        <v>5290.694614632001</v>
      </c>
      <c r="U189" s="612"/>
      <c r="V189" s="715"/>
      <c r="W189" s="560">
        <f>(W184+W185+W188+W190+W192)*0.07</f>
        <v>4296.239515680001</v>
      </c>
      <c r="X189" s="612"/>
      <c r="Y189" s="715"/>
      <c r="Z189" s="771"/>
      <c r="AA189" s="3"/>
      <c r="AB189" s="792"/>
      <c r="AC189" s="771"/>
      <c r="AD189" s="3"/>
      <c r="AE189" s="792"/>
    </row>
    <row r="190" spans="2:31" s="7" customFormat="1" ht="15">
      <c r="B190" s="598" t="s">
        <v>293</v>
      </c>
      <c r="C190" s="635">
        <v>0</v>
      </c>
      <c r="D190" s="599" t="s">
        <v>351</v>
      </c>
      <c r="E190" s="570">
        <f>E184*porzonahsmed</f>
        <v>0</v>
      </c>
      <c r="G190" s="715"/>
      <c r="H190" s="570">
        <f>H184*porzonahsmed</f>
        <v>0</v>
      </c>
      <c r="I190" s="589"/>
      <c r="J190" s="715"/>
      <c r="K190" s="570">
        <f>K184*porzonahsmed</f>
        <v>0</v>
      </c>
      <c r="L190" s="589"/>
      <c r="M190" s="715"/>
      <c r="N190" s="570">
        <f>N184*porzonahsmed</f>
        <v>0</v>
      </c>
      <c r="O190" s="589"/>
      <c r="P190" s="715"/>
      <c r="Q190" s="570">
        <f>Q184*porzonahsmed</f>
        <v>0</v>
      </c>
      <c r="R190" s="589"/>
      <c r="S190" s="715"/>
      <c r="T190" s="570">
        <f>T184*porzonahsmed</f>
        <v>0</v>
      </c>
      <c r="U190" s="589"/>
      <c r="V190" s="715"/>
      <c r="W190" s="570">
        <f>W184*porzonahsmed</f>
        <v>0</v>
      </c>
      <c r="X190" s="589"/>
      <c r="Y190" s="715"/>
      <c r="Z190" s="760"/>
      <c r="AA190" s="3"/>
      <c r="AB190" s="792"/>
      <c r="AC190" s="760"/>
      <c r="AD190" s="3"/>
      <c r="AE190" s="792"/>
    </row>
    <row r="191" spans="2:31" s="7" customFormat="1" ht="14.25">
      <c r="B191" s="614" t="s">
        <v>392</v>
      </c>
      <c r="C191" s="636">
        <f>cantkmhm</f>
        <v>0</v>
      </c>
      <c r="D191" s="637" t="s">
        <v>393</v>
      </c>
      <c r="E191" s="564">
        <f>IF(kmsemhsmed&lt;300,kmsemhsmed*4.3141666*4,5177)*1.5</f>
        <v>0</v>
      </c>
      <c r="F191" s="852" t="s">
        <v>526</v>
      </c>
      <c r="G191" s="716"/>
      <c r="H191" s="564">
        <f>IF(kmsemhsmed&lt;300,kmsemhsmed*4.3141666*4,5177)*1.4</f>
        <v>0</v>
      </c>
      <c r="I191" s="852" t="s">
        <v>526</v>
      </c>
      <c r="J191" s="716"/>
      <c r="K191" s="564">
        <f>IF(kmsemhsmed&lt;300,kmsemhsmed*4.3141666*4,5177)*1.3</f>
        <v>0</v>
      </c>
      <c r="L191" s="852" t="s">
        <v>526</v>
      </c>
      <c r="M191" s="716"/>
      <c r="N191" s="564">
        <f>IF(kmsemhsmed&lt;300,kmsemhsmed*4.3141666*4,5177)*1.2</f>
        <v>0</v>
      </c>
      <c r="O191" s="852" t="s">
        <v>524</v>
      </c>
      <c r="P191" s="716"/>
      <c r="Q191" s="564">
        <f>IF(kmsemhsmed&lt;300,kmsemhsmed*4.3141666*4,5177)</f>
        <v>0</v>
      </c>
      <c r="R191" s="612"/>
      <c r="S191" s="716"/>
      <c r="T191" s="564">
        <f>IF(kmsemhsmed&lt;300,kmsemhsmed*4.3141666*4,5177)</f>
        <v>0</v>
      </c>
      <c r="U191" s="852" t="s">
        <v>527</v>
      </c>
      <c r="V191" s="716"/>
      <c r="W191" s="564">
        <f>IF(kmsemhsmed&lt;300,kmsemhsmed*3.7508*4,4501)</f>
        <v>0</v>
      </c>
      <c r="X191" s="612"/>
      <c r="Y191" s="716"/>
      <c r="Z191" s="760"/>
      <c r="AA191" s="3"/>
      <c r="AB191" s="792"/>
      <c r="AC191" s="760"/>
      <c r="AD191" s="3"/>
      <c r="AE191" s="792"/>
    </row>
    <row r="192" spans="2:31" s="7" customFormat="1" ht="15.75">
      <c r="B192" s="615">
        <v>117</v>
      </c>
      <c r="C192" s="638"/>
      <c r="D192" s="633" t="s">
        <v>480</v>
      </c>
      <c r="E192" s="560">
        <f>IF(canthormed*69.78533&gt;2093.56,2093.56,canthormed*69.78533)*Aumento4</f>
        <v>2826.3060000000005</v>
      </c>
      <c r="F192" s="612"/>
      <c r="G192" s="655"/>
      <c r="H192" s="560">
        <f>IF(canthormed*69.78533&gt;2093.56,2093.56,canthormed*69.78533)*Aumento3</f>
        <v>2616.9500000000003</v>
      </c>
      <c r="I192" s="612"/>
      <c r="J192" s="655"/>
      <c r="K192" s="560">
        <f>IF(canthormed*69.78533&gt;2093.56,2093.56,canthormed*69.78533)*Aumento2</f>
        <v>2407.594</v>
      </c>
      <c r="L192" s="612"/>
      <c r="M192" s="655"/>
      <c r="N192" s="560">
        <f>IF(canthormed*69.78533&gt;2093.56,2093.56,canthormed*69.78533)*Aumento1</f>
        <v>2261.0448</v>
      </c>
      <c r="O192" s="612"/>
      <c r="P192" s="655"/>
      <c r="Q192" s="560">
        <f>IF(canthormed*69.78533&gt;2093.56,2093.56,canthormed*69.78533)</f>
        <v>2093.56</v>
      </c>
      <c r="R192" s="612"/>
      <c r="S192" s="655"/>
      <c r="T192" s="560">
        <f>IF(canthormed*69.78533&gt;2093.56,2093.56,canthormed*69.78533)</f>
        <v>2093.56</v>
      </c>
      <c r="U192" s="612"/>
      <c r="V192" s="655"/>
      <c r="W192" s="560">
        <f>IF(canthormed*60.68&gt;1820.4,1820.4,canthormed*60.68)</f>
        <v>1820.4</v>
      </c>
      <c r="X192" s="612"/>
      <c r="Y192" s="655"/>
      <c r="Z192" s="771"/>
      <c r="AA192" s="3"/>
      <c r="AB192" s="792"/>
      <c r="AC192" s="771"/>
      <c r="AD192" s="3"/>
      <c r="AE192" s="792"/>
    </row>
    <row r="193" spans="2:31" s="7" customFormat="1" ht="15.75">
      <c r="B193" s="743">
        <v>38</v>
      </c>
      <c r="C193" s="744"/>
      <c r="D193" s="745" t="s">
        <v>510</v>
      </c>
      <c r="E193" s="747">
        <f>IF(C193="",IF(canthormed&lt;15,6750/15*canthormed,6750),IF(C193&lt;15,6750/15*C193,6750))</f>
        <v>6750</v>
      </c>
      <c r="F193" s="589"/>
      <c r="G193" s="654"/>
      <c r="H193" s="747">
        <f>IF(C193="",IF(canthormed&lt;15,6250/15*canthormed,6250),IF(C193&lt;15,6250/15*C193,6250))</f>
        <v>6250</v>
      </c>
      <c r="I193" s="589"/>
      <c r="J193" s="654"/>
      <c r="K193" s="747">
        <f>IF(C193="",IF(canthormed&lt;15,5750/15*canthormed,5750),IF(C193&lt;15,5750/15*C193,5750))</f>
        <v>5750</v>
      </c>
      <c r="L193" s="589"/>
      <c r="M193" s="654"/>
      <c r="N193" s="747">
        <f>IF(C193="",IF(canthormed&lt;15,5250/15*canthormed,5250),IF(C193&lt;15,5250/15*C193,5250))</f>
        <v>5250</v>
      </c>
      <c r="O193" s="589"/>
      <c r="P193" s="654"/>
      <c r="Q193" s="747">
        <f>IF(C193="",IF(canthormed&lt;15,5000/15*canthormed,5000),IF(C193&lt;15,5000/15*C193,5000))</f>
        <v>5000</v>
      </c>
      <c r="R193" s="589"/>
      <c r="S193" s="654"/>
      <c r="T193" s="747">
        <f>IF(C193="",IF(canthormed&lt;15,5000/15*canthormed,5000),IF(C193&lt;15,5000/15*C193,5000))</f>
        <v>5000</v>
      </c>
      <c r="U193" s="589"/>
      <c r="V193" s="654"/>
      <c r="W193" s="579"/>
      <c r="X193" s="589"/>
      <c r="Y193" s="654"/>
      <c r="Z193" s="783"/>
      <c r="AA193" s="3"/>
      <c r="AB193" s="792"/>
      <c r="AC193" s="783"/>
      <c r="AD193" s="3"/>
      <c r="AE193" s="792"/>
    </row>
    <row r="194" spans="2:31" s="7" customFormat="1" ht="15.75">
      <c r="B194" s="602"/>
      <c r="C194" s="827"/>
      <c r="D194" s="811" t="s">
        <v>508</v>
      </c>
      <c r="E194" s="742">
        <f>SUM(E184:E193)</f>
        <v>119856.13315051324</v>
      </c>
      <c r="F194" s="589"/>
      <c r="G194" s="80"/>
      <c r="H194" s="742">
        <f>SUM(H184:H193)</f>
        <v>110977.90106529003</v>
      </c>
      <c r="I194" s="589"/>
      <c r="J194" s="80"/>
      <c r="K194" s="742">
        <f>SUM(K184:K193)</f>
        <v>102099.66898006681</v>
      </c>
      <c r="L194" s="589"/>
      <c r="M194" s="80"/>
      <c r="N194" s="742">
        <f>SUM(N184:N193)</f>
        <v>95724.40652041057</v>
      </c>
      <c r="O194" s="589"/>
      <c r="P194" s="80"/>
      <c r="Q194" s="742">
        <f>SUM(Q184:Q193)</f>
        <v>88782.32085223202</v>
      </c>
      <c r="R194" s="589"/>
      <c r="S194" s="80"/>
      <c r="T194" s="742">
        <f>SUM(T184:T193)</f>
        <v>88782.32085223202</v>
      </c>
      <c r="U194" s="589"/>
      <c r="V194" s="80"/>
      <c r="W194" s="742">
        <f>SUM(W184:W193)</f>
        <v>72549.22093968002</v>
      </c>
      <c r="X194" s="589"/>
      <c r="Y194" s="80"/>
      <c r="Z194" s="783"/>
      <c r="AA194" s="3"/>
      <c r="AB194" s="792"/>
      <c r="AC194" s="783"/>
      <c r="AD194" s="3"/>
      <c r="AE194" s="792"/>
    </row>
    <row r="195" spans="2:31" s="7" customFormat="1" ht="15">
      <c r="B195" s="603" t="s">
        <v>340</v>
      </c>
      <c r="C195" s="267"/>
      <c r="D195" s="589"/>
      <c r="E195" s="579">
        <v>0</v>
      </c>
      <c r="F195" s="589"/>
      <c r="G195" s="654"/>
      <c r="H195" s="579">
        <v>0</v>
      </c>
      <c r="I195" s="589"/>
      <c r="J195" s="654"/>
      <c r="K195" s="579">
        <v>0</v>
      </c>
      <c r="L195" s="589"/>
      <c r="M195" s="654"/>
      <c r="N195" s="579">
        <v>0</v>
      </c>
      <c r="O195" s="589"/>
      <c r="P195" s="654"/>
      <c r="Q195" s="579">
        <v>0</v>
      </c>
      <c r="R195" s="589"/>
      <c r="S195" s="654"/>
      <c r="T195" s="579">
        <v>0</v>
      </c>
      <c r="U195" s="589"/>
      <c r="V195" s="654"/>
      <c r="W195" s="579">
        <v>0</v>
      </c>
      <c r="X195" s="589"/>
      <c r="Y195" s="654"/>
      <c r="Z195" s="783"/>
      <c r="AA195" s="3"/>
      <c r="AB195" s="792"/>
      <c r="AC195" s="783"/>
      <c r="AD195" s="3"/>
      <c r="AE195" s="792"/>
    </row>
    <row r="196" spans="2:31" s="7" customFormat="1" ht="15.75">
      <c r="B196" s="600" t="s">
        <v>303</v>
      </c>
      <c r="C196" s="624">
        <f>W196/80.6666</f>
        <v>30.00002479340892</v>
      </c>
      <c r="D196" s="589" t="s">
        <v>315</v>
      </c>
      <c r="E196" s="566">
        <f>IF(canthorincmed*94.3333&gt;2830,2830,canthorincmed*94.3333)</f>
        <v>2830</v>
      </c>
      <c r="F196" s="589"/>
      <c r="G196" s="654"/>
      <c r="H196" s="566">
        <f>IF(canthorincmed*94.3333&gt;2830,2830,canthorincmed*94.3333)</f>
        <v>2830</v>
      </c>
      <c r="I196" s="589"/>
      <c r="J196" s="654"/>
      <c r="K196" s="566">
        <f>IF(canthorincmed*80.6666&gt;2420,2420,canthorincmed*80.6666)</f>
        <v>2420</v>
      </c>
      <c r="L196" s="589"/>
      <c r="M196" s="654"/>
      <c r="N196" s="566">
        <f>IF(canthorincmed*80.6666&gt;2420,2420,canthorincmed*80.6666)</f>
        <v>2420</v>
      </c>
      <c r="O196" s="589">
        <f>710/15</f>
        <v>47.333333333333336</v>
      </c>
      <c r="P196" s="654"/>
      <c r="Q196" s="566">
        <f>IF(canthorincmed*80.6666&gt;2420,2420,canthorincmed*80.6666)</f>
        <v>2420</v>
      </c>
      <c r="R196" s="589"/>
      <c r="S196" s="654"/>
      <c r="T196" s="566">
        <f>IF(canthorincmed*80.6666&gt;2420,2420,canthorincmed*80.6666)</f>
        <v>2420</v>
      </c>
      <c r="U196" s="589"/>
      <c r="V196" s="654"/>
      <c r="W196" s="566">
        <f>IF(canthorincmed*80.6666&gt;2420,2420,canthorincmed*80.6666)</f>
        <v>2420</v>
      </c>
      <c r="X196" s="589"/>
      <c r="Y196" s="654"/>
      <c r="Z196" s="771"/>
      <c r="AA196" s="3"/>
      <c r="AB196" s="792"/>
      <c r="AC196" s="771"/>
      <c r="AD196" s="3"/>
      <c r="AE196" s="792"/>
    </row>
    <row r="197" spans="2:31" s="7" customFormat="1" ht="15.75">
      <c r="B197" s="689">
        <v>113</v>
      </c>
      <c r="C197" s="624">
        <f>W197/80.6666</f>
        <v>30.00002479340892</v>
      </c>
      <c r="D197" s="685" t="s">
        <v>503</v>
      </c>
      <c r="E197" s="566">
        <f>IF(canthorincmed*94.3333&gt;2830,2830,canthorincmed*94.3333)</f>
        <v>2830</v>
      </c>
      <c r="F197" s="589"/>
      <c r="G197" s="654"/>
      <c r="H197" s="566">
        <f>IF(canthorincmed*94.3333&gt;2830,2830,canthorincmed*94.3333)</f>
        <v>2830</v>
      </c>
      <c r="I197" s="589"/>
      <c r="J197" s="654"/>
      <c r="K197" s="566">
        <f>IF(canthorincmed*80.6666&gt;2420,2420,canthorincmed*80.6666)</f>
        <v>2420</v>
      </c>
      <c r="L197" s="589"/>
      <c r="M197" s="654"/>
      <c r="N197" s="566">
        <f>IF(canthorincmed*80.6666&gt;2420,2420,canthorincmed*80.6666)</f>
        <v>2420</v>
      </c>
      <c r="O197" s="589"/>
      <c r="P197" s="654"/>
      <c r="Q197" s="566">
        <f>IF(canthorincmed*80.6666&gt;2420,2420,canthorincmed*80.6666)</f>
        <v>2420</v>
      </c>
      <c r="R197" s="589"/>
      <c r="S197" s="654"/>
      <c r="T197" s="566">
        <f>IF(canthorincmed*80.6666&gt;2420,2420,canthorincmed*80.6666)</f>
        <v>2420</v>
      </c>
      <c r="U197" s="589"/>
      <c r="V197" s="654"/>
      <c r="W197" s="566">
        <f>IF(canthorincmed*80.6666&gt;2420,2420,canthorincmed*80.6666)</f>
        <v>2420</v>
      </c>
      <c r="X197" s="589"/>
      <c r="Y197" s="654"/>
      <c r="Z197" s="771"/>
      <c r="AA197" s="3"/>
      <c r="AB197" s="792"/>
      <c r="AC197" s="771"/>
      <c r="AD197" s="3"/>
      <c r="AE197" s="792"/>
    </row>
    <row r="198" spans="2:31" s="7" customFormat="1" ht="15.75">
      <c r="B198" s="602">
        <v>54</v>
      </c>
      <c r="C198" s="624">
        <f>W198/14</f>
        <v>30</v>
      </c>
      <c r="D198" s="625" t="s">
        <v>478</v>
      </c>
      <c r="E198" s="566">
        <f>IF(canthorincmed*66.666666&gt;2000,2000,canthorincmed*66.6666)</f>
        <v>2000</v>
      </c>
      <c r="F198" s="589"/>
      <c r="G198" s="716"/>
      <c r="H198" s="566">
        <f>IF(canthorincmed*66.666666&gt;2000,2000,canthorincmed*66.6666)</f>
        <v>2000</v>
      </c>
      <c r="I198" s="589"/>
      <c r="J198" s="716"/>
      <c r="K198" s="566">
        <f>IF(canthorincmed*47.3333&gt;1420,1420,canthorincmed*47.3333)</f>
        <v>1420</v>
      </c>
      <c r="L198" s="589"/>
      <c r="M198" s="716"/>
      <c r="N198" s="566">
        <f>IF(canthorincmed*47.3333&gt;1420,1420,canthorincmed*47.3333)</f>
        <v>1420</v>
      </c>
      <c r="O198" s="589"/>
      <c r="P198" s="716"/>
      <c r="Q198" s="566">
        <f>IF(canthorincmed*47.3333&gt;1420,1420,canthorincmed*47.3333)</f>
        <v>1420</v>
      </c>
      <c r="R198" s="589"/>
      <c r="S198" s="716"/>
      <c r="T198" s="566">
        <f>IF(canthorincmed*14&gt;420,420,canthorincmed*14)</f>
        <v>420</v>
      </c>
      <c r="U198" s="589"/>
      <c r="V198" s="716"/>
      <c r="W198" s="566">
        <f>IF(canthorincmed*14&gt;420,420,canthorincmed*14)</f>
        <v>420</v>
      </c>
      <c r="X198" s="589"/>
      <c r="Y198" s="716"/>
      <c r="Z198" s="771"/>
      <c r="AA198" s="3"/>
      <c r="AB198" s="792"/>
      <c r="AC198" s="771"/>
      <c r="AD198" s="3"/>
      <c r="AE198" s="792"/>
    </row>
    <row r="199" spans="2:31" s="7" customFormat="1" ht="15">
      <c r="B199" s="603"/>
      <c r="C199" s="267"/>
      <c r="D199" s="589"/>
      <c r="E199" s="579"/>
      <c r="F199" s="589"/>
      <c r="G199" s="654"/>
      <c r="H199" s="579"/>
      <c r="I199" s="589"/>
      <c r="J199" s="654"/>
      <c r="K199" s="579"/>
      <c r="L199" s="589"/>
      <c r="M199" s="654"/>
      <c r="N199" s="579"/>
      <c r="O199" s="589"/>
      <c r="P199" s="654"/>
      <c r="Q199" s="579"/>
      <c r="R199" s="589"/>
      <c r="S199" s="654"/>
      <c r="T199" s="579"/>
      <c r="U199" s="589"/>
      <c r="V199" s="654"/>
      <c r="W199" s="579"/>
      <c r="X199" s="589"/>
      <c r="Y199" s="654"/>
      <c r="Z199" s="783"/>
      <c r="AA199" s="3"/>
      <c r="AB199" s="792"/>
      <c r="AC199" s="783"/>
      <c r="AD199" s="3"/>
      <c r="AE199" s="792"/>
    </row>
    <row r="200" spans="2:31" s="7" customFormat="1" ht="15">
      <c r="B200" s="603"/>
      <c r="C200" s="267"/>
      <c r="D200" s="589"/>
      <c r="E200" s="579"/>
      <c r="F200" s="589"/>
      <c r="G200" s="654"/>
      <c r="H200" s="579"/>
      <c r="I200" s="589"/>
      <c r="J200" s="654"/>
      <c r="K200" s="579"/>
      <c r="L200" s="589"/>
      <c r="M200" s="654"/>
      <c r="N200" s="579"/>
      <c r="O200" s="589"/>
      <c r="P200" s="654"/>
      <c r="Q200" s="579"/>
      <c r="R200" s="589"/>
      <c r="S200" s="654"/>
      <c r="T200" s="579"/>
      <c r="U200" s="589"/>
      <c r="V200" s="654"/>
      <c r="W200" s="579"/>
      <c r="X200" s="589"/>
      <c r="Y200" s="654"/>
      <c r="Z200" s="783"/>
      <c r="AA200" s="3"/>
      <c r="AB200" s="792"/>
      <c r="AC200" s="783"/>
      <c r="AD200" s="3"/>
      <c r="AE200" s="792"/>
    </row>
    <row r="201" spans="2:31" s="7" customFormat="1" ht="15.75">
      <c r="B201" s="616"/>
      <c r="C201" s="520" t="s">
        <v>8</v>
      </c>
      <c r="D201" s="639"/>
      <c r="E201" s="575">
        <f>SUM(E194:E199)</f>
        <v>127516.13315051324</v>
      </c>
      <c r="F201" s="612"/>
      <c r="G201" s="717"/>
      <c r="H201" s="575">
        <f>SUM(H194:H199)</f>
        <v>118637.90106529003</v>
      </c>
      <c r="I201" s="612"/>
      <c r="J201" s="717"/>
      <c r="K201" s="575">
        <f>SUM(K194:K199)</f>
        <v>108359.66898006681</v>
      </c>
      <c r="L201" s="612"/>
      <c r="M201" s="717"/>
      <c r="N201" s="575">
        <f>SUM(N194:N199)</f>
        <v>101984.40652041057</v>
      </c>
      <c r="O201" s="612"/>
      <c r="P201" s="717"/>
      <c r="Q201" s="575">
        <f>SUM(Q194:Q199)</f>
        <v>95042.32085223202</v>
      </c>
      <c r="R201" s="612"/>
      <c r="S201" s="717"/>
      <c r="T201" s="575">
        <f>SUM(T194:T199)</f>
        <v>94042.32085223202</v>
      </c>
      <c r="U201" s="612"/>
      <c r="V201" s="717"/>
      <c r="W201" s="575">
        <f>SUM(W194:W199)</f>
        <v>77809.22093968002</v>
      </c>
      <c r="X201" s="612"/>
      <c r="Y201" s="717"/>
      <c r="Z201" s="492"/>
      <c r="AA201" s="3"/>
      <c r="AB201" s="3"/>
      <c r="AC201" s="492"/>
      <c r="AD201" s="3"/>
      <c r="AE201" s="3"/>
    </row>
    <row r="202" spans="2:31" s="7" customFormat="1" ht="15">
      <c r="B202" s="605" t="s">
        <v>335</v>
      </c>
      <c r="C202" s="146"/>
      <c r="D202" s="621" t="s">
        <v>336</v>
      </c>
      <c r="E202" s="579">
        <v>0</v>
      </c>
      <c r="F202" s="580">
        <f>-E202</f>
        <v>0</v>
      </c>
      <c r="G202" s="655"/>
      <c r="H202" s="579">
        <v>0</v>
      </c>
      <c r="I202" s="580">
        <f>-H202</f>
        <v>0</v>
      </c>
      <c r="J202" s="655"/>
      <c r="K202" s="579">
        <v>0</v>
      </c>
      <c r="L202" s="580">
        <f>-K202</f>
        <v>0</v>
      </c>
      <c r="M202" s="655"/>
      <c r="N202" s="579">
        <v>0</v>
      </c>
      <c r="O202" s="580">
        <f>-N202</f>
        <v>0</v>
      </c>
      <c r="P202" s="655"/>
      <c r="Q202" s="579">
        <v>0</v>
      </c>
      <c r="R202" s="580">
        <f>-Q202</f>
        <v>0</v>
      </c>
      <c r="S202" s="655"/>
      <c r="T202" s="579">
        <v>0</v>
      </c>
      <c r="U202" s="580">
        <f>-T202</f>
        <v>0</v>
      </c>
      <c r="V202" s="655"/>
      <c r="W202" s="579">
        <v>0</v>
      </c>
      <c r="X202" s="580">
        <f>-W202</f>
        <v>0</v>
      </c>
      <c r="Y202" s="655"/>
      <c r="Z202" s="783"/>
      <c r="AA202" s="784"/>
      <c r="AB202" s="3"/>
      <c r="AC202" s="783"/>
      <c r="AD202" s="784"/>
      <c r="AE202" s="3"/>
    </row>
    <row r="203" spans="2:31" s="7" customFormat="1" ht="12.75">
      <c r="B203" s="617">
        <v>502</v>
      </c>
      <c r="C203" s="640">
        <v>0.16</v>
      </c>
      <c r="D203" s="634" t="s">
        <v>339</v>
      </c>
      <c r="E203" s="618"/>
      <c r="F203" s="619">
        <f>-(E184+E185+E189+E190+E186+E187+E188+F202+E192+E193)*porjub</f>
        <v>-19176.981304082117</v>
      </c>
      <c r="G203" s="714"/>
      <c r="H203" s="618"/>
      <c r="I203" s="619">
        <f>-(H184+H185+H189+H190+H186+H187+H188+I202+H192+H193)*porjub</f>
        <v>-17756.464170446405</v>
      </c>
      <c r="J203" s="714"/>
      <c r="K203" s="618"/>
      <c r="L203" s="619">
        <f>-(K184+K185+K189+K190+K186+K187+K188+L202+K192+K193)*porjub</f>
        <v>-16335.94703681069</v>
      </c>
      <c r="M203" s="714"/>
      <c r="N203" s="618"/>
      <c r="O203" s="619">
        <f>-(N184+N185+N189+N190+N186+N187+N188+O202+N192+N193)*porjub</f>
        <v>-15315.905043265691</v>
      </c>
      <c r="P203" s="714"/>
      <c r="Q203" s="618"/>
      <c r="R203" s="619">
        <f>-(Q184+Q185+Q189+Q190+Q186+Q187+Q188+R202+Q192+Q193)*porjub</f>
        <v>-14205.171336357123</v>
      </c>
      <c r="S203" s="714"/>
      <c r="T203" s="618"/>
      <c r="U203" s="619">
        <f>-(T184+T185+T189+T190+T186+T187+T188+U202+T192+T193)*porjub</f>
        <v>-14205.171336357123</v>
      </c>
      <c r="V203" s="714"/>
      <c r="W203" s="618"/>
      <c r="X203" s="619">
        <f>-(W184+W185+W189+W190+W186+W187+W188+X202+W192)*porjub</f>
        <v>-11607.875350348802</v>
      </c>
      <c r="Y203" s="714"/>
      <c r="Z203" s="793"/>
      <c r="AA203" s="794"/>
      <c r="AB203" s="3"/>
      <c r="AC203" s="793"/>
      <c r="AD203" s="794"/>
      <c r="AE203" s="3"/>
    </row>
    <row r="204" spans="2:31" s="7" customFormat="1" ht="12.75">
      <c r="B204" s="593">
        <v>504</v>
      </c>
      <c r="C204" s="485">
        <v>0.006</v>
      </c>
      <c r="D204" s="589" t="s">
        <v>338</v>
      </c>
      <c r="E204" s="593"/>
      <c r="F204" s="592">
        <f>-(E184+E185+E189+E190+E186+E187+E188+F202+E192+E193)*porley</f>
        <v>-719.1367989030795</v>
      </c>
      <c r="G204" s="654"/>
      <c r="H204" s="593"/>
      <c r="I204" s="592">
        <f>-(H184+H185+H189+H190+H186+H187+H188+I202+H192+H193)*porley</f>
        <v>-665.8674063917402</v>
      </c>
      <c r="J204" s="654"/>
      <c r="K204" s="593"/>
      <c r="L204" s="592">
        <f>-(K184+K185+K189+K190+K186+K187+K188+L202+K192+K193)*porley</f>
        <v>-612.5980138804009</v>
      </c>
      <c r="M204" s="654"/>
      <c r="N204" s="593"/>
      <c r="O204" s="592">
        <f>-(N184+N185+N189+N190+N186+N187+N188+O202+N192+N193)*porley</f>
        <v>-574.3464391224635</v>
      </c>
      <c r="P204" s="654"/>
      <c r="Q204" s="593"/>
      <c r="R204" s="592">
        <f>-(Q184+Q185+Q189+Q190+Q186+Q187+Q188+R202+Q192+Q193)*porley</f>
        <v>-532.6939251133921</v>
      </c>
      <c r="S204" s="654"/>
      <c r="T204" s="593"/>
      <c r="U204" s="592">
        <f>-(T184+T185+T189+T190+T186+T187+T188+U202+T192+T193)*porley</f>
        <v>-532.6939251133921</v>
      </c>
      <c r="V204" s="654"/>
      <c r="W204" s="593"/>
      <c r="X204" s="592">
        <f>-(W184+W185+W189+W190+W186+W187+W188+X202+W192)*porley</f>
        <v>-435.2953256380801</v>
      </c>
      <c r="Y204" s="654"/>
      <c r="Z204" s="3"/>
      <c r="AA204" s="794"/>
      <c r="AB204" s="3"/>
      <c r="AC204" s="3"/>
      <c r="AD204" s="794"/>
      <c r="AE204" s="3"/>
    </row>
    <row r="205" spans="2:31" s="7" customFormat="1" ht="12.75">
      <c r="B205" s="617">
        <v>505</v>
      </c>
      <c r="C205" s="518">
        <v>0.03</v>
      </c>
      <c r="D205" s="634" t="s">
        <v>337</v>
      </c>
      <c r="E205" s="618"/>
      <c r="F205" s="619">
        <f>-(E184+E185+E189+E190+E186+E187+E188+F202+E192+E193)*poros</f>
        <v>-3595.683994515397</v>
      </c>
      <c r="G205" s="714"/>
      <c r="H205" s="618"/>
      <c r="I205" s="619">
        <f>-(H184+H185+H189+H190+H186+H187+H188+I202+H192+H193)*poros</f>
        <v>-3329.3370319587007</v>
      </c>
      <c r="J205" s="714"/>
      <c r="K205" s="618"/>
      <c r="L205" s="619">
        <f>-(K184+K185+K189+K190+K186+K187+K188+L202+K192+K193)*poros</f>
        <v>-3062.9900694020043</v>
      </c>
      <c r="M205" s="714"/>
      <c r="N205" s="618"/>
      <c r="O205" s="619">
        <f>-(N184+N185+N189+N190+N186+N187+N188+O202+N192+N193)*poros</f>
        <v>-2871.732195612317</v>
      </c>
      <c r="P205" s="714"/>
      <c r="Q205" s="618"/>
      <c r="R205" s="619">
        <f>-(Q184+Q185+Q189+Q190+Q186+Q187+Q188+R202+Q192+Q193)*poros</f>
        <v>-2663.4696255669605</v>
      </c>
      <c r="S205" s="714"/>
      <c r="T205" s="618"/>
      <c r="U205" s="619">
        <f>-(T184+T185+T189+T190+T186+T187+T188+U202+T192+T193)*poros</f>
        <v>-2663.4696255669605</v>
      </c>
      <c r="V205" s="714"/>
      <c r="W205" s="618"/>
      <c r="X205" s="619">
        <f>-(W184+W185+W189+W190+W186+W187+W188+X202+W192)*poros</f>
        <v>-2176.4766281904003</v>
      </c>
      <c r="Y205" s="714"/>
      <c r="Z205" s="793"/>
      <c r="AA205" s="794"/>
      <c r="AB205" s="3"/>
      <c r="AC205" s="793"/>
      <c r="AD205" s="794"/>
      <c r="AE205" s="3"/>
    </row>
    <row r="206" spans="2:31" s="7" customFormat="1" ht="12.75">
      <c r="B206" s="606">
        <v>332</v>
      </c>
      <c r="C206" s="487">
        <v>0</v>
      </c>
      <c r="D206" s="628" t="s">
        <v>471</v>
      </c>
      <c r="E206" s="591"/>
      <c r="F206" s="592">
        <f>-(E184+E185+E189+E186+E190+E188+E187+E188+F202+E192+E193)*C206</f>
        <v>0</v>
      </c>
      <c r="G206" s="718"/>
      <c r="H206" s="591"/>
      <c r="I206" s="592">
        <f>-(H184+H185+H189+H186+H190+H188+H187+H188+I202+H192+H193)*C206</f>
        <v>0</v>
      </c>
      <c r="J206" s="718"/>
      <c r="K206" s="591"/>
      <c r="L206" s="592">
        <f>-(K184+K185+K189+K186+K190+K188+K187+K188+L202+K192+K193)*C206</f>
        <v>0</v>
      </c>
      <c r="M206" s="718"/>
      <c r="N206" s="591"/>
      <c r="O206" s="592">
        <f>-(N184+N185+N189+N186+N190+N188+N187+N188+O202+N192+N193)*C206</f>
        <v>0</v>
      </c>
      <c r="P206" s="718"/>
      <c r="Q206" s="591"/>
      <c r="R206" s="592">
        <f>-(Q184+Q185+Q189+Q186+Q190+Q188+Q187+Q188+R202+Q192+Q193)*C206</f>
        <v>0</v>
      </c>
      <c r="S206" s="718"/>
      <c r="T206" s="591"/>
      <c r="U206" s="592">
        <f>-(T184+T185+T189+T186+T190+T188+T187+T188+U202+T192+T193)*C206</f>
        <v>0</v>
      </c>
      <c r="V206" s="718"/>
      <c r="W206" s="591"/>
      <c r="X206" s="592">
        <f>-(W184+W185+W189+W190+W188+W187+W188+X202+W192)*C206</f>
        <v>0</v>
      </c>
      <c r="Y206" s="718"/>
      <c r="Z206" s="793"/>
      <c r="AA206" s="794"/>
      <c r="AB206" s="3"/>
      <c r="AC206" s="793"/>
      <c r="AD206" s="794"/>
      <c r="AE206" s="3"/>
    </row>
    <row r="207" spans="2:31" s="7" customFormat="1" ht="15">
      <c r="B207" s="620" t="s">
        <v>2</v>
      </c>
      <c r="C207" s="641">
        <v>0</v>
      </c>
      <c r="D207" s="612"/>
      <c r="E207" s="617"/>
      <c r="F207" s="619">
        <f>-(E184+E185+E189+E190+E186+E187+E188+F202+E192)*C207</f>
        <v>0</v>
      </c>
      <c r="G207" s="654"/>
      <c r="H207" s="617"/>
      <c r="I207" s="619">
        <f>-(H184+H185+H189+H190+H186+H187+H188+I202+H192)*C207</f>
        <v>0</v>
      </c>
      <c r="J207" s="654"/>
      <c r="K207" s="617"/>
      <c r="L207" s="619">
        <f>-(K184+K185+K189+K190+K186+K187+K188+L202+K192)*C207</f>
        <v>0</v>
      </c>
      <c r="M207" s="654"/>
      <c r="N207" s="617"/>
      <c r="O207" s="619">
        <f>-(N184+N185+N189+N190+N186+N187+N188+O202+N192)*C207</f>
        <v>0</v>
      </c>
      <c r="P207" s="654"/>
      <c r="Q207" s="617"/>
      <c r="R207" s="619">
        <f>-(Q184+Q185+Q189+Q190+Q186+Q187+Q188+R202+Q192)*C207</f>
        <v>0</v>
      </c>
      <c r="S207" s="654"/>
      <c r="T207" s="617"/>
      <c r="U207" s="619">
        <f>-(T184+T185+T189+T190+T186+T187+T188+U202+T192)*C207</f>
        <v>0</v>
      </c>
      <c r="V207" s="654"/>
      <c r="W207" s="617"/>
      <c r="X207" s="619">
        <f>-(W184+W185+W189+W190+W186+W187+W188+X202+W192)*C207</f>
        <v>0</v>
      </c>
      <c r="Y207" s="654"/>
      <c r="Z207" s="3"/>
      <c r="AA207" s="794"/>
      <c r="AB207" s="3"/>
      <c r="AC207" s="3"/>
      <c r="AD207" s="794"/>
      <c r="AE207" s="3"/>
    </row>
    <row r="208" spans="2:31" s="7" customFormat="1" ht="16.5" thickBot="1">
      <c r="B208" s="594"/>
      <c r="C208" s="629"/>
      <c r="D208" s="630" t="s">
        <v>3</v>
      </c>
      <c r="E208" s="594"/>
      <c r="F208" s="595">
        <f>SUM(F203:F207)</f>
        <v>-23491.802097500593</v>
      </c>
      <c r="G208" s="719"/>
      <c r="H208" s="594"/>
      <c r="I208" s="595">
        <f>SUM(I203:I207)</f>
        <v>-21751.668608796845</v>
      </c>
      <c r="J208" s="719"/>
      <c r="K208" s="594"/>
      <c r="L208" s="595">
        <f>SUM(L203:L207)</f>
        <v>-20011.535120093096</v>
      </c>
      <c r="M208" s="719"/>
      <c r="N208" s="594"/>
      <c r="O208" s="595">
        <f>SUM(O203:O207)</f>
        <v>-18761.983678000473</v>
      </c>
      <c r="P208" s="719"/>
      <c r="Q208" s="594"/>
      <c r="R208" s="595">
        <f>SUM(R203:R207)</f>
        <v>-17401.334887037476</v>
      </c>
      <c r="S208" s="719"/>
      <c r="T208" s="594"/>
      <c r="U208" s="595">
        <f>SUM(U203:U207)</f>
        <v>-17401.334887037476</v>
      </c>
      <c r="V208" s="719"/>
      <c r="W208" s="594"/>
      <c r="X208" s="595">
        <f>SUM(X203:X207)</f>
        <v>-14219.647304177284</v>
      </c>
      <c r="Y208" s="719"/>
      <c r="Z208" s="9"/>
      <c r="AA208" s="795"/>
      <c r="AB208" s="3"/>
      <c r="AC208" s="9"/>
      <c r="AD208" s="795"/>
      <c r="AE208" s="3"/>
    </row>
    <row r="209" spans="2:31" ht="13.5" thickBot="1">
      <c r="B209" s="596"/>
      <c r="C209" s="100"/>
      <c r="D209" s="431"/>
      <c r="E209" s="100"/>
      <c r="G209" s="720"/>
      <c r="H209" s="100"/>
      <c r="J209" s="720"/>
      <c r="K209" s="100"/>
      <c r="M209" s="720"/>
      <c r="N209" s="100"/>
      <c r="P209" s="720"/>
      <c r="Q209" s="100"/>
      <c r="S209" s="720"/>
      <c r="T209" s="100"/>
      <c r="V209" s="720"/>
      <c r="W209" s="100"/>
      <c r="Y209" s="720"/>
      <c r="Z209" s="3"/>
      <c r="AA209" s="3"/>
      <c r="AB209" s="3"/>
      <c r="AC209" s="3"/>
      <c r="AD209" s="3"/>
      <c r="AE209" s="3"/>
    </row>
    <row r="210" spans="2:31" ht="24.75" thickBot="1" thickTop="1">
      <c r="B210" s="14"/>
      <c r="D210" s="432"/>
      <c r="E210" s="372" t="s">
        <v>4</v>
      </c>
      <c r="F210" s="373">
        <f>E201+F208</f>
        <v>104024.33105301265</v>
      </c>
      <c r="G210" s="707"/>
      <c r="H210" s="372" t="s">
        <v>4</v>
      </c>
      <c r="I210" s="373">
        <f>H201+I208</f>
        <v>96886.23245649319</v>
      </c>
      <c r="J210" s="707"/>
      <c r="K210" s="372" t="s">
        <v>4</v>
      </c>
      <c r="L210" s="373">
        <f>K201+L208</f>
        <v>88348.13385997372</v>
      </c>
      <c r="M210" s="707"/>
      <c r="N210" s="372" t="s">
        <v>4</v>
      </c>
      <c r="O210" s="373">
        <f>N201+O208</f>
        <v>83222.4228424101</v>
      </c>
      <c r="P210" s="707"/>
      <c r="Q210" s="372" t="s">
        <v>4</v>
      </c>
      <c r="R210" s="373">
        <f>Q201+R208</f>
        <v>77640.98596519454</v>
      </c>
      <c r="S210" s="707"/>
      <c r="T210" s="372" t="s">
        <v>4</v>
      </c>
      <c r="U210" s="373">
        <f>T201+U208</f>
        <v>76640.98596519454</v>
      </c>
      <c r="V210" s="707"/>
      <c r="W210" s="372" t="s">
        <v>4</v>
      </c>
      <c r="X210" s="373">
        <f>W201+X208</f>
        <v>63589.57363550273</v>
      </c>
      <c r="Y210" s="707"/>
      <c r="Z210" s="176"/>
      <c r="AA210" s="763"/>
      <c r="AB210" s="3"/>
      <c r="AC210" s="176"/>
      <c r="AD210" s="763"/>
      <c r="AE210" s="3"/>
    </row>
    <row r="211" spans="2:31" ht="24.75" thickBot="1" thickTop="1">
      <c r="B211" s="14"/>
      <c r="D211" s="421"/>
      <c r="E211" s="116"/>
      <c r="F211" s="404"/>
      <c r="G211" s="707"/>
      <c r="H211" s="116"/>
      <c r="I211" s="404"/>
      <c r="J211" s="707"/>
      <c r="K211" s="116"/>
      <c r="L211" s="404"/>
      <c r="M211" s="707"/>
      <c r="N211" s="116"/>
      <c r="O211" s="404"/>
      <c r="P211" s="707"/>
      <c r="Q211" s="116"/>
      <c r="R211" s="404"/>
      <c r="S211" s="707"/>
      <c r="T211" s="116"/>
      <c r="U211" s="404"/>
      <c r="V211" s="707"/>
      <c r="W211" s="116"/>
      <c r="X211" s="404"/>
      <c r="Y211" s="707"/>
      <c r="Z211" s="176"/>
      <c r="AA211" s="763"/>
      <c r="AB211" s="3"/>
      <c r="AC211" s="176"/>
      <c r="AD211" s="763"/>
      <c r="AE211" s="3"/>
    </row>
    <row r="212" spans="2:31" ht="28.5" customHeight="1">
      <c r="B212" s="117"/>
      <c r="C212" s="176"/>
      <c r="D212" s="434"/>
      <c r="E212" s="665" t="s">
        <v>498</v>
      </c>
      <c r="F212" s="407">
        <f>F210-I210</f>
        <v>7138.098596519456</v>
      </c>
      <c r="G212" s="721"/>
      <c r="H212" s="665" t="s">
        <v>498</v>
      </c>
      <c r="I212" s="407">
        <f>I210-L210</f>
        <v>8538.09859651947</v>
      </c>
      <c r="J212" s="721"/>
      <c r="K212" s="665" t="s">
        <v>498</v>
      </c>
      <c r="L212" s="407">
        <f>L210-O210</f>
        <v>5125.711017563619</v>
      </c>
      <c r="M212" s="721"/>
      <c r="N212" s="665" t="s">
        <v>498</v>
      </c>
      <c r="O212" s="407">
        <f>O210-U210</f>
        <v>6581.436877215558</v>
      </c>
      <c r="P212" s="721"/>
      <c r="Q212" s="665" t="s">
        <v>519</v>
      </c>
      <c r="R212" s="407">
        <f>R210-U210</f>
        <v>1000</v>
      </c>
      <c r="S212" s="721"/>
      <c r="T212" s="665" t="s">
        <v>519</v>
      </c>
      <c r="U212" s="407">
        <f>U210-X210</f>
        <v>13051.412329691811</v>
      </c>
      <c r="V212" s="721"/>
      <c r="W212" s="665"/>
      <c r="X212" s="407"/>
      <c r="Y212" s="721"/>
      <c r="Z212" s="499"/>
      <c r="AA212" s="790"/>
      <c r="AB212" s="764"/>
      <c r="AC212" s="499"/>
      <c r="AD212" s="790"/>
      <c r="AE212" s="764"/>
    </row>
    <row r="213" spans="2:31" ht="28.5" customHeight="1" thickBot="1">
      <c r="B213" s="117"/>
      <c r="C213" s="176"/>
      <c r="D213" s="434"/>
      <c r="E213" s="665" t="s">
        <v>499</v>
      </c>
      <c r="F213" s="408">
        <f>F212/I210</f>
        <v>0.07367505594486629</v>
      </c>
      <c r="G213" s="721"/>
      <c r="H213" s="665" t="s">
        <v>499</v>
      </c>
      <c r="I213" s="408">
        <f>I212/L210</f>
        <v>0.09664152737002712</v>
      </c>
      <c r="J213" s="721"/>
      <c r="K213" s="665" t="s">
        <v>499</v>
      </c>
      <c r="L213" s="408">
        <f>L212/O210</f>
        <v>0.06159050460799081</v>
      </c>
      <c r="M213" s="721"/>
      <c r="N213" s="665" t="s">
        <v>499</v>
      </c>
      <c r="O213" s="408">
        <f>O212/U210</f>
        <v>0.08587359353915967</v>
      </c>
      <c r="P213" s="721"/>
      <c r="Q213" s="665" t="s">
        <v>520</v>
      </c>
      <c r="R213" s="408">
        <f>R212/U210</f>
        <v>0.013047848842317038</v>
      </c>
      <c r="S213" s="721"/>
      <c r="T213" s="665" t="s">
        <v>520</v>
      </c>
      <c r="U213" s="408">
        <f>U212/X210</f>
        <v>0.2052445327673194</v>
      </c>
      <c r="V213" s="721"/>
      <c r="W213" s="665"/>
      <c r="X213" s="408"/>
      <c r="Y213" s="721"/>
      <c r="Z213" s="499"/>
      <c r="AA213" s="443"/>
      <c r="AB213" s="764"/>
      <c r="AC213" s="499"/>
      <c r="AD213" s="443"/>
      <c r="AE213" s="764"/>
    </row>
    <row r="214" spans="2:31" s="7" customFormat="1" ht="28.5" customHeight="1" thickBot="1">
      <c r="B214" s="367"/>
      <c r="C214" s="176"/>
      <c r="D214" s="434"/>
      <c r="E214" s="762"/>
      <c r="F214" s="443"/>
      <c r="G214" s="721"/>
      <c r="H214" s="762"/>
      <c r="I214" s="443"/>
      <c r="J214" s="721"/>
      <c r="K214" s="762"/>
      <c r="L214" s="443"/>
      <c r="M214" s="721"/>
      <c r="N214" s="762"/>
      <c r="O214" s="443"/>
      <c r="P214" s="721"/>
      <c r="Q214" s="762"/>
      <c r="R214" s="443"/>
      <c r="S214" s="721"/>
      <c r="T214" s="762"/>
      <c r="U214" s="443"/>
      <c r="V214" s="721"/>
      <c r="W214" s="762"/>
      <c r="X214" s="443"/>
      <c r="Y214" s="721"/>
      <c r="Z214" s="499"/>
      <c r="AA214" s="443"/>
      <c r="AB214" s="764"/>
      <c r="AC214" s="499"/>
      <c r="AD214" s="443"/>
      <c r="AE214" s="764"/>
    </row>
    <row r="215" spans="2:31" s="7" customFormat="1" ht="28.5" customHeight="1">
      <c r="B215" s="367"/>
      <c r="C215" s="176"/>
      <c r="D215" s="434"/>
      <c r="E215" s="815" t="s">
        <v>498</v>
      </c>
      <c r="F215" s="816">
        <f>F210-X210</f>
        <v>40434.757417509914</v>
      </c>
      <c r="G215" s="721"/>
      <c r="H215" s="815" t="s">
        <v>498</v>
      </c>
      <c r="I215" s="816">
        <f>I210-X210</f>
        <v>33296.65882099046</v>
      </c>
      <c r="J215" s="721"/>
      <c r="K215" s="815" t="s">
        <v>498</v>
      </c>
      <c r="L215" s="816">
        <f>L210-X210</f>
        <v>24758.560224470988</v>
      </c>
      <c r="M215" s="721"/>
      <c r="N215" s="815" t="s">
        <v>498</v>
      </c>
      <c r="O215" s="816">
        <f>O210-X210</f>
        <v>19632.84920690737</v>
      </c>
      <c r="P215" s="721"/>
      <c r="Q215" s="815" t="s">
        <v>498</v>
      </c>
      <c r="R215" s="816">
        <f>R210-X210</f>
        <v>14051.412329691811</v>
      </c>
      <c r="S215" s="721"/>
      <c r="T215" s="815" t="s">
        <v>498</v>
      </c>
      <c r="U215" s="816">
        <f>U210-X210</f>
        <v>13051.412329691811</v>
      </c>
      <c r="V215" s="721"/>
      <c r="W215" s="762"/>
      <c r="X215" s="443"/>
      <c r="Y215" s="721"/>
      <c r="Z215" s="499"/>
      <c r="AA215" s="443"/>
      <c r="AB215" s="764"/>
      <c r="AC215" s="499"/>
      <c r="AD215" s="443"/>
      <c r="AE215" s="764"/>
    </row>
    <row r="216" spans="2:31" s="7" customFormat="1" ht="28.5" customHeight="1" thickBot="1">
      <c r="B216" s="367"/>
      <c r="C216" s="176"/>
      <c r="D216" s="434"/>
      <c r="E216" s="815" t="s">
        <v>499</v>
      </c>
      <c r="F216" s="817">
        <f>F215/X210</f>
        <v>0.635870868537083</v>
      </c>
      <c r="G216" s="721"/>
      <c r="H216" s="815" t="s">
        <v>499</v>
      </c>
      <c r="I216" s="817">
        <f>I215/X210</f>
        <v>0.5236182115616604</v>
      </c>
      <c r="J216" s="721"/>
      <c r="K216" s="815" t="s">
        <v>499</v>
      </c>
      <c r="L216" s="817">
        <f>L215/X210</f>
        <v>0.38934936671203</v>
      </c>
      <c r="M216" s="721"/>
      <c r="N216" s="815" t="s">
        <v>499</v>
      </c>
      <c r="O216" s="817">
        <f>O215/X210</f>
        <v>0.3087432118894746</v>
      </c>
      <c r="P216" s="721"/>
      <c r="Q216" s="815" t="s">
        <v>499</v>
      </c>
      <c r="R216" s="817">
        <f>R215/X210</f>
        <v>0.22097038124889642</v>
      </c>
      <c r="S216" s="721"/>
      <c r="T216" s="815" t="s">
        <v>499</v>
      </c>
      <c r="U216" s="817">
        <f>U215/X210</f>
        <v>0.2052445327673194</v>
      </c>
      <c r="V216" s="721"/>
      <c r="W216" s="762"/>
      <c r="X216" s="443"/>
      <c r="Y216" s="721"/>
      <c r="Z216" s="499"/>
      <c r="AA216" s="443"/>
      <c r="AB216" s="764"/>
      <c r="AC216" s="499"/>
      <c r="AD216" s="443"/>
      <c r="AE216" s="764"/>
    </row>
    <row r="217" spans="2:31" s="7" customFormat="1" ht="28.5" customHeight="1" thickBot="1">
      <c r="B217" s="367"/>
      <c r="C217" s="176"/>
      <c r="D217" s="434"/>
      <c r="E217" s="762"/>
      <c r="F217" s="443"/>
      <c r="G217" s="721"/>
      <c r="H217" s="762"/>
      <c r="I217" s="443"/>
      <c r="J217" s="721"/>
      <c r="K217" s="762"/>
      <c r="L217" s="443"/>
      <c r="M217" s="721"/>
      <c r="N217" s="762"/>
      <c r="O217" s="443"/>
      <c r="P217" s="721"/>
      <c r="Q217" s="762"/>
      <c r="R217" s="443"/>
      <c r="S217" s="721"/>
      <c r="T217" s="762"/>
      <c r="U217" s="443"/>
      <c r="V217" s="721"/>
      <c r="W217" s="762"/>
      <c r="X217" s="443"/>
      <c r="Y217" s="721"/>
      <c r="Z217" s="499"/>
      <c r="AA217" s="443"/>
      <c r="AB217" s="764"/>
      <c r="AC217" s="499"/>
      <c r="AD217" s="443"/>
      <c r="AE217" s="764"/>
    </row>
    <row r="218" spans="2:31" s="7" customFormat="1" ht="19.5" thickBot="1" thickTop="1">
      <c r="B218" s="367"/>
      <c r="C218" s="176"/>
      <c r="D218" s="434"/>
      <c r="E218" s="853" t="s">
        <v>533</v>
      </c>
      <c r="F218" s="854"/>
      <c r="G218" s="721"/>
      <c r="H218" s="853" t="s">
        <v>533</v>
      </c>
      <c r="I218" s="854"/>
      <c r="J218" s="721"/>
      <c r="K218" s="853" t="s">
        <v>533</v>
      </c>
      <c r="L218" s="854"/>
      <c r="M218" s="721"/>
      <c r="N218" s="853" t="s">
        <v>533</v>
      </c>
      <c r="O218" s="854"/>
      <c r="P218" s="721"/>
      <c r="Q218" s="853" t="s">
        <v>533</v>
      </c>
      <c r="R218" s="854"/>
      <c r="S218" s="721"/>
      <c r="T218" s="853" t="s">
        <v>533</v>
      </c>
      <c r="U218" s="854"/>
      <c r="V218" s="721"/>
      <c r="W218" s="853" t="s">
        <v>533</v>
      </c>
      <c r="X218" s="854"/>
      <c r="Y218" s="721"/>
      <c r="Z218" s="499"/>
      <c r="AA218" s="443"/>
      <c r="AB218" s="764"/>
      <c r="AC218" s="499"/>
      <c r="AD218" s="443"/>
      <c r="AE218" s="764"/>
    </row>
    <row r="219" spans="2:31" s="7" customFormat="1" ht="18.75" thickBot="1">
      <c r="B219" s="367"/>
      <c r="C219" s="176"/>
      <c r="D219" s="434"/>
      <c r="E219" s="855" t="s">
        <v>534</v>
      </c>
      <c r="F219" s="856">
        <f>(E184+E185+E186+E187+E188+E189+E190+E192+E193)*0.5</f>
        <v>59928.06657525662</v>
      </c>
      <c r="G219" s="721"/>
      <c r="H219" s="855" t="s">
        <v>534</v>
      </c>
      <c r="I219" s="856">
        <f>(H184+H185+H186+H187+H188+H189+H190+H192+H193)*0.5</f>
        <v>55488.950532645016</v>
      </c>
      <c r="J219" s="721"/>
      <c r="K219" s="855" t="s">
        <v>534</v>
      </c>
      <c r="L219" s="856">
        <f>(K184+K185+K186+K187+K188+K189+K190+K192+K193)*0.5</f>
        <v>51049.834490033405</v>
      </c>
      <c r="M219" s="721"/>
      <c r="N219" s="855" t="s">
        <v>534</v>
      </c>
      <c r="O219" s="856">
        <f>(N184+N185+N186+N187+N188+N189+N190+N192+N193)*0.5</f>
        <v>47862.203260205286</v>
      </c>
      <c r="P219" s="721"/>
      <c r="Q219" s="855" t="s">
        <v>534</v>
      </c>
      <c r="R219" s="856">
        <f>(Q184+Q185+Q186+Q187+Q188+Q189+Q190+Q192+Q193)*0.5</f>
        <v>44391.16042611601</v>
      </c>
      <c r="S219" s="721"/>
      <c r="T219" s="855" t="s">
        <v>534</v>
      </c>
      <c r="U219" s="856">
        <f>(T184+T185+T186+T187+T188+T189+T190+T192+T193)*0.5</f>
        <v>44391.16042611601</v>
      </c>
      <c r="V219" s="721"/>
      <c r="W219" s="855" t="s">
        <v>534</v>
      </c>
      <c r="X219" s="856">
        <f>(W184+W185+W186+W187+W188+W189+W190+W192+W193)*0.5</f>
        <v>36274.61046984001</v>
      </c>
      <c r="Y219" s="721"/>
      <c r="Z219" s="499"/>
      <c r="AA219" s="443"/>
      <c r="AB219" s="764"/>
      <c r="AC219" s="499"/>
      <c r="AD219" s="443"/>
      <c r="AE219" s="764"/>
    </row>
    <row r="220" spans="2:31" s="7" customFormat="1" ht="18.75" thickBot="1">
      <c r="B220" s="367"/>
      <c r="C220" s="176"/>
      <c r="D220" s="434"/>
      <c r="E220" s="857" t="s">
        <v>535</v>
      </c>
      <c r="F220" s="858"/>
      <c r="G220" s="721"/>
      <c r="H220" s="857" t="s">
        <v>535</v>
      </c>
      <c r="I220" s="858"/>
      <c r="J220" s="721"/>
      <c r="K220" s="857" t="s">
        <v>535</v>
      </c>
      <c r="L220" s="858"/>
      <c r="M220" s="721"/>
      <c r="N220" s="857" t="s">
        <v>535</v>
      </c>
      <c r="O220" s="858"/>
      <c r="P220" s="721"/>
      <c r="Q220" s="857" t="s">
        <v>535</v>
      </c>
      <c r="R220" s="858"/>
      <c r="S220" s="721"/>
      <c r="T220" s="857" t="s">
        <v>535</v>
      </c>
      <c r="U220" s="858"/>
      <c r="V220" s="721"/>
      <c r="W220" s="857" t="s">
        <v>535</v>
      </c>
      <c r="X220" s="858"/>
      <c r="Y220" s="721"/>
      <c r="Z220" s="499"/>
      <c r="AA220" s="443"/>
      <c r="AB220" s="764"/>
      <c r="AC220" s="499"/>
      <c r="AD220" s="443"/>
      <c r="AE220" s="764"/>
    </row>
    <row r="221" spans="2:31" s="7" customFormat="1" ht="18">
      <c r="B221" s="367"/>
      <c r="C221" s="176"/>
      <c r="D221" s="434"/>
      <c r="E221" s="859" t="s">
        <v>536</v>
      </c>
      <c r="F221" s="860">
        <f>F219*0.804</f>
        <v>48182.165526506324</v>
      </c>
      <c r="G221" s="721"/>
      <c r="H221" s="859" t="s">
        <v>536</v>
      </c>
      <c r="I221" s="860">
        <f>I219*0.804</f>
        <v>44613.116228246596</v>
      </c>
      <c r="J221" s="721"/>
      <c r="K221" s="859" t="s">
        <v>536</v>
      </c>
      <c r="L221" s="860">
        <f>L219*0.804</f>
        <v>41044.06692998686</v>
      </c>
      <c r="M221" s="721"/>
      <c r="N221" s="859" t="s">
        <v>536</v>
      </c>
      <c r="O221" s="860">
        <f>O219*0.804</f>
        <v>38481.21142120505</v>
      </c>
      <c r="P221" s="721"/>
      <c r="Q221" s="859" t="s">
        <v>536</v>
      </c>
      <c r="R221" s="860">
        <f>R219*0.804</f>
        <v>35690.49298259727</v>
      </c>
      <c r="S221" s="721"/>
      <c r="T221" s="859" t="s">
        <v>536</v>
      </c>
      <c r="U221" s="860">
        <f>U219*0.804</f>
        <v>35690.49298259727</v>
      </c>
      <c r="V221" s="721"/>
      <c r="W221" s="859" t="s">
        <v>536</v>
      </c>
      <c r="X221" s="860">
        <f>X219*0.804</f>
        <v>29164.78681775137</v>
      </c>
      <c r="Y221" s="721"/>
      <c r="Z221" s="499"/>
      <c r="AA221" s="443"/>
      <c r="AB221" s="764"/>
      <c r="AC221" s="499"/>
      <c r="AD221" s="443"/>
      <c r="AE221" s="764"/>
    </row>
    <row r="222" spans="2:31" s="7" customFormat="1" ht="18">
      <c r="B222" s="367"/>
      <c r="C222" s="176"/>
      <c r="D222" s="434"/>
      <c r="E222" s="861" t="s">
        <v>537</v>
      </c>
      <c r="F222" s="862"/>
      <c r="G222" s="721"/>
      <c r="H222" s="861" t="s">
        <v>537</v>
      </c>
      <c r="I222" s="862"/>
      <c r="J222" s="721"/>
      <c r="K222" s="861" t="s">
        <v>537</v>
      </c>
      <c r="L222" s="862"/>
      <c r="M222" s="721"/>
      <c r="N222" s="861" t="s">
        <v>537</v>
      </c>
      <c r="O222" s="862"/>
      <c r="P222" s="721"/>
      <c r="Q222" s="861" t="s">
        <v>537</v>
      </c>
      <c r="R222" s="862"/>
      <c r="S222" s="721"/>
      <c r="T222" s="861" t="s">
        <v>537</v>
      </c>
      <c r="U222" s="862"/>
      <c r="V222" s="721"/>
      <c r="W222" s="861" t="s">
        <v>537</v>
      </c>
      <c r="X222" s="862"/>
      <c r="Y222" s="721"/>
      <c r="Z222" s="499"/>
      <c r="AA222" s="443"/>
      <c r="AB222" s="764"/>
      <c r="AC222" s="499"/>
      <c r="AD222" s="443"/>
      <c r="AE222" s="764"/>
    </row>
    <row r="223" spans="2:31" s="7" customFormat="1" ht="18">
      <c r="B223" s="367"/>
      <c r="C223" s="176"/>
      <c r="D223" s="434"/>
      <c r="E223" s="861">
        <v>502</v>
      </c>
      <c r="F223" s="863">
        <f>-(E184+E185+E189+E190+E186+E187+E188+F202+E192+E193+F219)*0.16</f>
        <v>-28765.47195612318</v>
      </c>
      <c r="G223" s="721"/>
      <c r="H223" s="861">
        <v>502</v>
      </c>
      <c r="I223" s="863">
        <f>-(H184+H185+H189+H190+H186+H187+H188+I202+H192+H193+I219)*0.16</f>
        <v>-26634.69625566961</v>
      </c>
      <c r="J223" s="721"/>
      <c r="K223" s="861">
        <v>502</v>
      </c>
      <c r="L223" s="863">
        <f>-(K184+K185+K189+K190+K186+K187+K188+L202+K192+K193+L219)*0.16</f>
        <v>-24503.92055521604</v>
      </c>
      <c r="M223" s="721"/>
      <c r="N223" s="861">
        <v>502</v>
      </c>
      <c r="O223" s="863">
        <f>-(N184+N185+N189+N190+N186+N187+N188+O202+N192+N193+O219)*0.16</f>
        <v>-22973.85756489854</v>
      </c>
      <c r="P223" s="721"/>
      <c r="Q223" s="861">
        <v>502</v>
      </c>
      <c r="R223" s="863">
        <f>-(Q184+Q185+Q189+Q190+Q186+Q187+Q188+R202+Q192+Q193+R219)*0.16</f>
        <v>-21307.757004535684</v>
      </c>
      <c r="S223" s="721"/>
      <c r="T223" s="861">
        <v>502</v>
      </c>
      <c r="U223" s="863">
        <f>-(T184+T185+T189+T190+T186+T187+T188+U202+T192+T193+U219)*0.16</f>
        <v>-21307.757004535684</v>
      </c>
      <c r="V223" s="721"/>
      <c r="W223" s="861">
        <v>502</v>
      </c>
      <c r="X223" s="863">
        <f>-(W184+W185+W189+W190+W186+W187+W188+X202+W192+W193+X219)*0.16</f>
        <v>-17411.813025523206</v>
      </c>
      <c r="Y223" s="721"/>
      <c r="Z223" s="499"/>
      <c r="AA223" s="443"/>
      <c r="AB223" s="764"/>
      <c r="AC223" s="499"/>
      <c r="AD223" s="443"/>
      <c r="AE223" s="764"/>
    </row>
    <row r="224" spans="2:31" s="7" customFormat="1" ht="18">
      <c r="B224" s="367"/>
      <c r="C224" s="176"/>
      <c r="D224" s="434"/>
      <c r="E224" s="861">
        <v>504</v>
      </c>
      <c r="F224" s="863">
        <f>-(E184+E185+E189+E190+E186+E187+E188+F202+E192+E193+F219)*0.006</f>
        <v>-1078.7051983546191</v>
      </c>
      <c r="G224" s="721"/>
      <c r="H224" s="861">
        <v>504</v>
      </c>
      <c r="I224" s="863">
        <f>-(H184+H185+H189+H190+H186+H187+H188+I202+H192+H193+I219)*0.006</f>
        <v>-998.8011095876103</v>
      </c>
      <c r="J224" s="721"/>
      <c r="K224" s="861">
        <v>504</v>
      </c>
      <c r="L224" s="863">
        <f>-(K184+K185+K189+K190+K186+K187+K188+L202+K192+K193+L219)*0.006</f>
        <v>-918.8970208206014</v>
      </c>
      <c r="M224" s="721"/>
      <c r="N224" s="861">
        <v>504</v>
      </c>
      <c r="O224" s="863">
        <f>-(N184+N185+N189+N190+N186+N187+N188+O202+N192+N193+O219)*0.006</f>
        <v>-861.5196586836952</v>
      </c>
      <c r="P224" s="721"/>
      <c r="Q224" s="861">
        <v>504</v>
      </c>
      <c r="R224" s="863">
        <f>-(Q184+Q185+Q189+Q190+Q186+Q187+Q188+R202+Q192+Q193+R219)*0.006</f>
        <v>-799.0408876700881</v>
      </c>
      <c r="S224" s="721"/>
      <c r="T224" s="861">
        <v>504</v>
      </c>
      <c r="U224" s="863">
        <f>-(T184+T185+T189+T190+T186+T187+T188+U202+T192+T193+U219)*0.006</f>
        <v>-799.0408876700881</v>
      </c>
      <c r="V224" s="721"/>
      <c r="W224" s="861">
        <v>504</v>
      </c>
      <c r="X224" s="863">
        <f>-(W184+W185+W189+W190+W186+W187+W188+X202+W192+W193+X219)*0.006</f>
        <v>-652.9429884571202</v>
      </c>
      <c r="Y224" s="721"/>
      <c r="Z224" s="499"/>
      <c r="AA224" s="443"/>
      <c r="AB224" s="764"/>
      <c r="AC224" s="499"/>
      <c r="AD224" s="443"/>
      <c r="AE224" s="764"/>
    </row>
    <row r="225" spans="2:31" s="7" customFormat="1" ht="18">
      <c r="B225" s="367"/>
      <c r="C225" s="176"/>
      <c r="D225" s="434"/>
      <c r="E225" s="861">
        <v>505</v>
      </c>
      <c r="F225" s="863">
        <f>-(E184+E185+E189+E190+E186+E187+E188+F202+E192+E193+F219)*0.03</f>
        <v>-5393.5259917730955</v>
      </c>
      <c r="G225" s="721"/>
      <c r="H225" s="861">
        <v>505</v>
      </c>
      <c r="I225" s="863">
        <f>-(H184+H185+H189+H190+H186+H187+H188+I202+H192+H193+I219)*0.03</f>
        <v>-4994.005547938052</v>
      </c>
      <c r="J225" s="721"/>
      <c r="K225" s="861">
        <v>505</v>
      </c>
      <c r="L225" s="863">
        <f>-(K184+K185+K189+K190+K186+K187+K188+L202+K192+K193+L219)*0.03</f>
        <v>-4594.485104103007</v>
      </c>
      <c r="M225" s="721"/>
      <c r="N225" s="861">
        <v>505</v>
      </c>
      <c r="O225" s="863">
        <f>-(N184+N185+N189+N190+N186+N187+N188+O202+N192+N193+O219)*0.03</f>
        <v>-4307.598293418476</v>
      </c>
      <c r="P225" s="721"/>
      <c r="Q225" s="861">
        <v>505</v>
      </c>
      <c r="R225" s="863">
        <f>-(Q184+Q185+Q189+Q190+Q186+Q187+Q188+R202+Q192+Q193+R219)*0.03</f>
        <v>-3995.2044383504403</v>
      </c>
      <c r="S225" s="721"/>
      <c r="T225" s="861">
        <v>505</v>
      </c>
      <c r="U225" s="863">
        <f>-(T184+T185+T189+T190+T186+T187+T188+U202+T192+T193+U219)*0.03</f>
        <v>-3995.2044383504403</v>
      </c>
      <c r="V225" s="721"/>
      <c r="W225" s="861">
        <v>505</v>
      </c>
      <c r="X225" s="863">
        <f>-(W184+W185+W189+W190+W186+W187+W188+X202+W192+W193+X219)*0.03</f>
        <v>-3264.714942285601</v>
      </c>
      <c r="Y225" s="721"/>
      <c r="Z225" s="499"/>
      <c r="AA225" s="443"/>
      <c r="AB225" s="764"/>
      <c r="AC225" s="499"/>
      <c r="AD225" s="443"/>
      <c r="AE225" s="764"/>
    </row>
    <row r="226" spans="2:31" s="7" customFormat="1" ht="18">
      <c r="B226" s="367"/>
      <c r="C226" s="176"/>
      <c r="D226" s="434"/>
      <c r="E226" s="864"/>
      <c r="F226" s="862"/>
      <c r="G226" s="721"/>
      <c r="H226" s="864"/>
      <c r="I226" s="862"/>
      <c r="J226" s="721"/>
      <c r="K226" s="864"/>
      <c r="L226" s="862"/>
      <c r="M226" s="721"/>
      <c r="N226" s="864"/>
      <c r="O226" s="862"/>
      <c r="P226" s="721"/>
      <c r="Q226" s="864"/>
      <c r="R226" s="862"/>
      <c r="S226" s="721"/>
      <c r="T226" s="864"/>
      <c r="U226" s="862"/>
      <c r="V226" s="721"/>
      <c r="W226" s="864"/>
      <c r="X226" s="862"/>
      <c r="Y226" s="721"/>
      <c r="Z226" s="499"/>
      <c r="AA226" s="443"/>
      <c r="AB226" s="764"/>
      <c r="AC226" s="499"/>
      <c r="AD226" s="443"/>
      <c r="AE226" s="764"/>
    </row>
    <row r="227" spans="2:31" s="7" customFormat="1" ht="18.75" thickBot="1">
      <c r="B227" s="367"/>
      <c r="C227" s="176"/>
      <c r="D227" s="434"/>
      <c r="E227" s="865" t="s">
        <v>538</v>
      </c>
      <c r="F227" s="866"/>
      <c r="G227" s="721"/>
      <c r="H227" s="865" t="s">
        <v>538</v>
      </c>
      <c r="I227" s="866"/>
      <c r="J227" s="721"/>
      <c r="K227" s="865" t="s">
        <v>538</v>
      </c>
      <c r="L227" s="866"/>
      <c r="M227" s="721"/>
      <c r="N227" s="865" t="s">
        <v>538</v>
      </c>
      <c r="O227" s="866"/>
      <c r="P227" s="721"/>
      <c r="Q227" s="865" t="s">
        <v>538</v>
      </c>
      <c r="R227" s="866"/>
      <c r="S227" s="721"/>
      <c r="T227" s="865" t="s">
        <v>538</v>
      </c>
      <c r="U227" s="866"/>
      <c r="V227" s="721"/>
      <c r="W227" s="865" t="s">
        <v>538</v>
      </c>
      <c r="X227" s="866"/>
      <c r="Y227" s="721"/>
      <c r="Z227" s="499"/>
      <c r="AA227" s="443"/>
      <c r="AB227" s="764"/>
      <c r="AC227" s="499"/>
      <c r="AD227" s="443"/>
      <c r="AE227" s="764"/>
    </row>
    <row r="228" spans="2:31" s="7" customFormat="1" ht="18.75" thickBot="1">
      <c r="B228" s="367"/>
      <c r="C228" s="176"/>
      <c r="D228" s="434"/>
      <c r="E228" s="865"/>
      <c r="F228" s="867">
        <f>E201+F219+F220+F223+F224+F225</f>
        <v>152206.49657951898</v>
      </c>
      <c r="G228" s="721"/>
      <c r="H228" s="865"/>
      <c r="I228" s="867">
        <f>H201+I219+I220+I223+I224+I225</f>
        <v>141499.3486847398</v>
      </c>
      <c r="J228" s="721"/>
      <c r="K228" s="865"/>
      <c r="L228" s="867">
        <f>K201+L219+L220+L223+L224+L225</f>
        <v>129392.20078996058</v>
      </c>
      <c r="M228" s="721"/>
      <c r="N228" s="865"/>
      <c r="O228" s="867">
        <f>N201+O219+O220+O223+O224+O225</f>
        <v>121703.63426361515</v>
      </c>
      <c r="P228" s="721"/>
      <c r="Q228" s="865"/>
      <c r="R228" s="867">
        <f>Q201+R219+R220+R223+R224+R225</f>
        <v>113331.47894779181</v>
      </c>
      <c r="S228" s="721"/>
      <c r="T228" s="865"/>
      <c r="U228" s="867">
        <f>T201+U219+U220+U223+U224+U225</f>
        <v>112331.47894779181</v>
      </c>
      <c r="V228" s="721"/>
      <c r="W228" s="865"/>
      <c r="X228" s="867">
        <f>W201+X219+X220+X223+X224+X225</f>
        <v>92754.3604532541</v>
      </c>
      <c r="Y228" s="721"/>
      <c r="Z228" s="499"/>
      <c r="AA228" s="443"/>
      <c r="AB228" s="764"/>
      <c r="AC228" s="499"/>
      <c r="AD228" s="443"/>
      <c r="AE228" s="764"/>
    </row>
    <row r="229" spans="2:31" s="7" customFormat="1" ht="18">
      <c r="B229" s="367"/>
      <c r="C229" s="176"/>
      <c r="D229" s="434"/>
      <c r="E229" s="868" t="s">
        <v>539</v>
      </c>
      <c r="F229" s="869"/>
      <c r="G229" s="721"/>
      <c r="H229" s="868" t="s">
        <v>539</v>
      </c>
      <c r="I229" s="869"/>
      <c r="J229" s="721"/>
      <c r="K229" s="868" t="s">
        <v>539</v>
      </c>
      <c r="L229" s="869"/>
      <c r="M229" s="721"/>
      <c r="N229" s="868" t="s">
        <v>539</v>
      </c>
      <c r="O229" s="869"/>
      <c r="P229" s="721"/>
      <c r="Q229" s="868" t="s">
        <v>539</v>
      </c>
      <c r="R229" s="869"/>
      <c r="S229" s="721"/>
      <c r="T229" s="868" t="s">
        <v>539</v>
      </c>
      <c r="U229" s="869"/>
      <c r="V229" s="721"/>
      <c r="W229" s="868" t="s">
        <v>539</v>
      </c>
      <c r="X229" s="869"/>
      <c r="Y229" s="721"/>
      <c r="Z229" s="499"/>
      <c r="AA229" s="443"/>
      <c r="AB229" s="764"/>
      <c r="AC229" s="499"/>
      <c r="AD229" s="443"/>
      <c r="AE229" s="764"/>
    </row>
    <row r="230" spans="2:31" s="7" customFormat="1" ht="21" thickBot="1">
      <c r="B230" s="367"/>
      <c r="C230" s="176"/>
      <c r="D230" s="434"/>
      <c r="E230" s="870"/>
      <c r="F230" s="872">
        <f>F228-F210+F206</f>
        <v>48182.16552650633</v>
      </c>
      <c r="G230" s="721"/>
      <c r="H230" s="870"/>
      <c r="I230" s="872">
        <f>I228-I210+I206</f>
        <v>44613.116228246596</v>
      </c>
      <c r="J230" s="721"/>
      <c r="K230" s="870"/>
      <c r="L230" s="872">
        <f>L228-L210+L206</f>
        <v>41044.06692998686</v>
      </c>
      <c r="M230" s="721"/>
      <c r="N230" s="870"/>
      <c r="O230" s="872">
        <f>O228-O210+O206</f>
        <v>38481.21142120505</v>
      </c>
      <c r="P230" s="721"/>
      <c r="Q230" s="870"/>
      <c r="R230" s="872">
        <f>R228-R210+R206</f>
        <v>35690.492982597265</v>
      </c>
      <c r="S230" s="721"/>
      <c r="T230" s="870"/>
      <c r="U230" s="872">
        <f>U228-U210+U206</f>
        <v>35690.492982597265</v>
      </c>
      <c r="V230" s="721"/>
      <c r="W230" s="870"/>
      <c r="X230" s="872">
        <f>X228-X210+X206</f>
        <v>29164.786817751374</v>
      </c>
      <c r="Y230" s="721"/>
      <c r="Z230" s="499"/>
      <c r="AA230" s="443"/>
      <c r="AB230" s="764"/>
      <c r="AC230" s="499"/>
      <c r="AD230" s="443"/>
      <c r="AE230" s="764"/>
    </row>
    <row r="231" spans="2:31" ht="18.75" thickTop="1">
      <c r="B231" s="117"/>
      <c r="C231" s="176"/>
      <c r="D231" s="434"/>
      <c r="E231" s="442"/>
      <c r="F231" s="443"/>
      <c r="G231" s="721"/>
      <c r="H231" s="442"/>
      <c r="I231" s="443"/>
      <c r="J231" s="721"/>
      <c r="K231" s="442"/>
      <c r="L231" s="443"/>
      <c r="M231" s="721"/>
      <c r="N231" s="442"/>
      <c r="O231" s="443"/>
      <c r="P231" s="721"/>
      <c r="Q231" s="442"/>
      <c r="R231" s="443"/>
      <c r="S231" s="721"/>
      <c r="T231" s="442"/>
      <c r="U231" s="443"/>
      <c r="V231" s="721"/>
      <c r="W231" s="442"/>
      <c r="X231" s="443"/>
      <c r="Y231" s="721"/>
      <c r="Z231" s="442"/>
      <c r="AA231" s="443"/>
      <c r="AB231" s="764"/>
      <c r="AC231" s="442"/>
      <c r="AD231" s="443"/>
      <c r="AE231" s="764"/>
    </row>
    <row r="232" spans="4:31" ht="30">
      <c r="D232" s="420"/>
      <c r="E232" s="832">
        <v>44470</v>
      </c>
      <c r="F232" s="804">
        <v>0.1</v>
      </c>
      <c r="G232" s="806"/>
      <c r="H232" s="805">
        <v>44440</v>
      </c>
      <c r="I232" s="804">
        <v>0.1</v>
      </c>
      <c r="J232" s="806"/>
      <c r="K232" s="805">
        <v>44378</v>
      </c>
      <c r="L232" s="803">
        <v>0.07</v>
      </c>
      <c r="M232" s="676"/>
      <c r="N232" s="805">
        <v>44317</v>
      </c>
      <c r="O232" s="803">
        <v>0.08</v>
      </c>
      <c r="P232" s="676"/>
      <c r="Q232" s="849">
        <v>44256</v>
      </c>
      <c r="R232" s="850"/>
      <c r="S232" s="676"/>
      <c r="T232" s="726" t="s">
        <v>512</v>
      </c>
      <c r="U232" s="727"/>
      <c r="V232" s="676"/>
      <c r="W232" s="681" t="s">
        <v>504</v>
      </c>
      <c r="X232" s="682"/>
      <c r="Y232" s="676"/>
      <c r="Z232" s="767"/>
      <c r="AA232" s="767"/>
      <c r="AB232" s="770"/>
      <c r="AC232" s="769"/>
      <c r="AD232" s="770"/>
      <c r="AE232" s="770"/>
    </row>
    <row r="233" spans="3:31" s="147" customFormat="1" ht="22.5" customHeight="1">
      <c r="C233" s="150"/>
      <c r="D233" s="435"/>
      <c r="G233" s="705"/>
      <c r="J233" s="705"/>
      <c r="M233" s="705"/>
      <c r="P233" s="705"/>
      <c r="S233" s="705"/>
      <c r="V233" s="705"/>
      <c r="Y233" s="705"/>
      <c r="Z233" s="3"/>
      <c r="AA233" s="3"/>
      <c r="AB233" s="3"/>
      <c r="AC233" s="3"/>
      <c r="AD233" s="3"/>
      <c r="AE233" s="3"/>
    </row>
    <row r="234" spans="4:31" ht="12.75">
      <c r="D234" s="420"/>
      <c r="G234" s="705"/>
      <c r="J234" s="705"/>
      <c r="M234" s="705"/>
      <c r="P234" s="705"/>
      <c r="S234" s="705"/>
      <c r="V234" s="705"/>
      <c r="Y234" s="705"/>
      <c r="Z234" s="3"/>
      <c r="AA234" s="3"/>
      <c r="AB234" s="3"/>
      <c r="AC234" s="3"/>
      <c r="AD234" s="3"/>
      <c r="AE234" s="3"/>
    </row>
    <row r="235" spans="3:31" ht="27.75" thickBot="1">
      <c r="C235" s="155" t="s">
        <v>9</v>
      </c>
      <c r="D235" s="420"/>
      <c r="F235" s="3"/>
      <c r="G235" s="705"/>
      <c r="I235" s="3"/>
      <c r="J235" s="705"/>
      <c r="L235" s="3"/>
      <c r="M235" s="705"/>
      <c r="O235" s="3"/>
      <c r="P235" s="705"/>
      <c r="R235" s="3"/>
      <c r="S235" s="705"/>
      <c r="U235" s="3"/>
      <c r="V235" s="705"/>
      <c r="X235" s="3"/>
      <c r="Y235" s="705"/>
      <c r="Z235" s="3"/>
      <c r="AA235" s="3"/>
      <c r="AB235" s="3"/>
      <c r="AC235" s="3"/>
      <c r="AD235" s="3"/>
      <c r="AE235" s="3"/>
    </row>
    <row r="236" spans="2:31" ht="16.5" thickBot="1">
      <c r="B236" s="93" t="s">
        <v>7</v>
      </c>
      <c r="C236" s="42"/>
      <c r="D236" s="424">
        <v>36</v>
      </c>
      <c r="F236" s="176"/>
      <c r="G236" s="708"/>
      <c r="I236" s="176"/>
      <c r="J236" s="708"/>
      <c r="L236" s="176"/>
      <c r="M236" s="708"/>
      <c r="O236" s="176"/>
      <c r="P236" s="708"/>
      <c r="R236" s="176"/>
      <c r="S236" s="708"/>
      <c r="U236" s="176"/>
      <c r="V236" s="708"/>
      <c r="X236" s="176"/>
      <c r="Y236" s="708"/>
      <c r="Z236" s="3"/>
      <c r="AA236" s="176"/>
      <c r="AB236" s="3"/>
      <c r="AC236" s="3"/>
      <c r="AD236" s="176"/>
      <c r="AE236" s="3"/>
    </row>
    <row r="237" spans="2:31" ht="16.5" thickBot="1">
      <c r="B237" s="93" t="s">
        <v>344</v>
      </c>
      <c r="C237" s="42"/>
      <c r="D237" s="425">
        <v>24</v>
      </c>
      <c r="F237" s="176"/>
      <c r="G237" s="708"/>
      <c r="I237" s="176"/>
      <c r="J237" s="708"/>
      <c r="L237" s="176"/>
      <c r="M237" s="708"/>
      <c r="O237" s="176"/>
      <c r="P237" s="708"/>
      <c r="R237" s="176"/>
      <c r="S237" s="708"/>
      <c r="U237" s="176"/>
      <c r="V237" s="708"/>
      <c r="X237" s="176"/>
      <c r="Y237" s="708"/>
      <c r="Z237" s="3"/>
      <c r="AA237" s="176"/>
      <c r="AB237" s="3"/>
      <c r="AC237" s="3"/>
      <c r="AD237" s="176"/>
      <c r="AE237" s="3"/>
    </row>
    <row r="238" spans="2:31" ht="17.25" thickBot="1" thickTop="1">
      <c r="B238" s="174"/>
      <c r="C238" s="174"/>
      <c r="D238" s="436">
        <f>LOOKUP(D237,D18:D29,E18:E29)</f>
        <v>1.2</v>
      </c>
      <c r="E238" s="679" t="s">
        <v>502</v>
      </c>
      <c r="F238" s="3"/>
      <c r="G238" s="709"/>
      <c r="H238" s="679" t="s">
        <v>502</v>
      </c>
      <c r="I238" s="3"/>
      <c r="J238" s="709"/>
      <c r="K238" s="679" t="s">
        <v>502</v>
      </c>
      <c r="L238" s="3"/>
      <c r="M238" s="709"/>
      <c r="N238" s="679" t="s">
        <v>502</v>
      </c>
      <c r="O238" s="3"/>
      <c r="P238" s="709"/>
      <c r="Q238" s="679" t="s">
        <v>502</v>
      </c>
      <c r="R238" s="3"/>
      <c r="S238" s="709"/>
      <c r="T238" s="679" t="s">
        <v>502</v>
      </c>
      <c r="U238" s="3"/>
      <c r="V238" s="709"/>
      <c r="W238" s="679" t="s">
        <v>502</v>
      </c>
      <c r="X238" s="3"/>
      <c r="Y238" s="709"/>
      <c r="Z238" s="687"/>
      <c r="AA238" s="3"/>
      <c r="AB238" s="3"/>
      <c r="AC238" s="3"/>
      <c r="AD238" s="3"/>
      <c r="AE238" s="3"/>
    </row>
    <row r="239" spans="2:31" s="465" customFormat="1" ht="21" thickBot="1">
      <c r="B239" s="502" t="s">
        <v>357</v>
      </c>
      <c r="C239" s="503"/>
      <c r="D239" s="426"/>
      <c r="E239" s="692">
        <f>F272</f>
        <v>122114.1040069364</v>
      </c>
      <c r="F239" s="470"/>
      <c r="G239" s="710"/>
      <c r="H239" s="692">
        <f>I272</f>
        <v>113636.02222864483</v>
      </c>
      <c r="I239" s="470"/>
      <c r="J239" s="710"/>
      <c r="K239" s="692">
        <f>L272</f>
        <v>103757.94045035324</v>
      </c>
      <c r="L239" s="470"/>
      <c r="M239" s="710"/>
      <c r="N239" s="692">
        <f>O272</f>
        <v>97694.24120554911</v>
      </c>
      <c r="O239" s="470"/>
      <c r="P239" s="710"/>
      <c r="Q239" s="692">
        <f>R272</f>
        <v>91040.81778291585</v>
      </c>
      <c r="R239" s="470"/>
      <c r="S239" s="710"/>
      <c r="T239" s="692">
        <f>U272</f>
        <v>90040.81778291585</v>
      </c>
      <c r="U239" s="470"/>
      <c r="V239" s="710"/>
      <c r="W239" s="692">
        <f>X272</f>
        <v>75241.88772396161</v>
      </c>
      <c r="X239" s="470"/>
      <c r="Y239" s="710"/>
      <c r="Z239" s="688"/>
      <c r="AA239" s="796"/>
      <c r="AB239" s="10"/>
      <c r="AC239" s="10"/>
      <c r="AD239" s="796"/>
      <c r="AE239" s="10"/>
    </row>
    <row r="240" spans="2:31" ht="17.25" thickBot="1" thickTop="1">
      <c r="B240" s="391" t="s">
        <v>358</v>
      </c>
      <c r="C240" s="137"/>
      <c r="D240" s="427">
        <v>36</v>
      </c>
      <c r="F240" s="176"/>
      <c r="G240" s="708"/>
      <c r="I240" s="176"/>
      <c r="J240" s="708"/>
      <c r="L240" s="176"/>
      <c r="M240" s="708"/>
      <c r="O240" s="176"/>
      <c r="P240" s="708"/>
      <c r="R240" s="176"/>
      <c r="S240" s="708"/>
      <c r="U240" s="176"/>
      <c r="V240" s="708"/>
      <c r="X240" s="176"/>
      <c r="Y240" s="708"/>
      <c r="Z240" s="3"/>
      <c r="AA240" s="176"/>
      <c r="AB240" s="3"/>
      <c r="AC240" s="3"/>
      <c r="AD240" s="176"/>
      <c r="AE240" s="3"/>
    </row>
    <row r="241" spans="2:31" ht="16.5" thickBot="1">
      <c r="B241" s="391" t="s">
        <v>359</v>
      </c>
      <c r="C241" s="137"/>
      <c r="D241" s="427">
        <v>36</v>
      </c>
      <c r="F241" s="176"/>
      <c r="G241" s="708"/>
      <c r="I241" s="176"/>
      <c r="J241" s="708"/>
      <c r="L241" s="176"/>
      <c r="M241" s="708"/>
      <c r="O241" s="176"/>
      <c r="P241" s="708"/>
      <c r="R241" s="176"/>
      <c r="S241" s="708"/>
      <c r="U241" s="176"/>
      <c r="V241" s="708"/>
      <c r="X241" s="176"/>
      <c r="Y241" s="708"/>
      <c r="Z241" s="3"/>
      <c r="AA241" s="176"/>
      <c r="AB241" s="3"/>
      <c r="AC241" s="3"/>
      <c r="AD241" s="176"/>
      <c r="AE241" s="3"/>
    </row>
    <row r="242" spans="2:31" ht="16.5" thickBot="1">
      <c r="B242" s="395" t="s">
        <v>394</v>
      </c>
      <c r="C242" s="279"/>
      <c r="D242" s="428">
        <v>0</v>
      </c>
      <c r="F242" s="791">
        <f>238/0.07</f>
        <v>3399.9999999999995</v>
      </c>
      <c r="G242" s="680"/>
      <c r="I242" s="3"/>
      <c r="J242" s="680"/>
      <c r="L242" s="3"/>
      <c r="M242" s="680"/>
      <c r="O242" s="3"/>
      <c r="P242" s="680"/>
      <c r="R242" s="3"/>
      <c r="S242" s="680"/>
      <c r="U242" s="3"/>
      <c r="V242" s="680"/>
      <c r="X242" s="3"/>
      <c r="Y242" s="680"/>
      <c r="Z242" s="3"/>
      <c r="AA242" s="3"/>
      <c r="AB242" s="3"/>
      <c r="AC242" s="3"/>
      <c r="AD242" s="3"/>
      <c r="AE242" s="3"/>
    </row>
    <row r="243" spans="2:31" ht="27">
      <c r="B243" s="131" t="s">
        <v>5</v>
      </c>
      <c r="C243" s="453"/>
      <c r="D243" s="454">
        <f>canthorsup*86.9</f>
        <v>3128.4</v>
      </c>
      <c r="E243" s="174"/>
      <c r="F243" s="178"/>
      <c r="G243" s="711"/>
      <c r="H243" s="174"/>
      <c r="I243" s="178"/>
      <c r="J243" s="711"/>
      <c r="K243" s="174"/>
      <c r="L243" s="178"/>
      <c r="M243" s="711"/>
      <c r="N243" s="174"/>
      <c r="O243" s="178"/>
      <c r="P243" s="711"/>
      <c r="Q243" s="174"/>
      <c r="R243" s="178"/>
      <c r="S243" s="711"/>
      <c r="T243" s="174"/>
      <c r="U243" s="178"/>
      <c r="V243" s="711"/>
      <c r="W243" s="174"/>
      <c r="X243" s="178"/>
      <c r="Y243" s="711"/>
      <c r="Z243" s="447"/>
      <c r="AA243" s="178"/>
      <c r="AB243" s="797"/>
      <c r="AC243" s="447"/>
      <c r="AD243" s="178"/>
      <c r="AE243" s="797"/>
    </row>
    <row r="244" spans="2:31" s="465" customFormat="1" ht="27.75" customHeight="1">
      <c r="B244" s="521"/>
      <c r="C244" s="522"/>
      <c r="D244" s="670"/>
      <c r="E244" s="469"/>
      <c r="F244" s="176"/>
      <c r="G244" s="722"/>
      <c r="H244" s="469"/>
      <c r="I244" s="176"/>
      <c r="J244" s="722"/>
      <c r="K244" s="469"/>
      <c r="L244" s="176"/>
      <c r="M244" s="722"/>
      <c r="N244" s="469"/>
      <c r="O244" s="176"/>
      <c r="P244" s="722"/>
      <c r="Q244" s="469"/>
      <c r="R244" s="176"/>
      <c r="S244" s="722"/>
      <c r="T244" s="469"/>
      <c r="U244" s="176"/>
      <c r="V244" s="722"/>
      <c r="W244" s="469"/>
      <c r="X244" s="176"/>
      <c r="Y244" s="722"/>
      <c r="Z244" s="798"/>
      <c r="AA244" s="176"/>
      <c r="AB244" s="796"/>
      <c r="AC244" s="798"/>
      <c r="AD244" s="176"/>
      <c r="AE244" s="796"/>
    </row>
    <row r="245" spans="2:31" ht="36" thickBot="1">
      <c r="B245" s="358"/>
      <c r="C245" s="371"/>
      <c r="D245" s="430"/>
      <c r="E245" s="832">
        <v>44470</v>
      </c>
      <c r="F245" s="804">
        <v>0.1</v>
      </c>
      <c r="G245" s="806"/>
      <c r="H245" s="805">
        <v>44440</v>
      </c>
      <c r="I245" s="804">
        <v>0.1</v>
      </c>
      <c r="J245" s="806"/>
      <c r="K245" s="805">
        <v>44378</v>
      </c>
      <c r="L245" s="803">
        <v>0.07</v>
      </c>
      <c r="M245" s="676"/>
      <c r="N245" s="805">
        <v>44317</v>
      </c>
      <c r="O245" s="803">
        <v>0.08</v>
      </c>
      <c r="P245" s="676"/>
      <c r="Q245" s="849">
        <v>44256</v>
      </c>
      <c r="R245" s="850"/>
      <c r="S245" s="676"/>
      <c r="T245" s="726" t="s">
        <v>512</v>
      </c>
      <c r="U245" s="727"/>
      <c r="V245" s="676"/>
      <c r="W245" s="681" t="s">
        <v>504</v>
      </c>
      <c r="X245" s="682"/>
      <c r="Y245" s="676"/>
      <c r="Z245" s="767"/>
      <c r="AA245" s="767"/>
      <c r="AB245" s="770"/>
      <c r="AC245" s="769"/>
      <c r="AD245" s="770"/>
      <c r="AE245" s="770"/>
    </row>
    <row r="246" spans="2:31" ht="13.5" thickBot="1">
      <c r="B246" s="81" t="s">
        <v>349</v>
      </c>
      <c r="C246" s="124" t="s">
        <v>348</v>
      </c>
      <c r="D246" s="419" t="s">
        <v>320</v>
      </c>
      <c r="E246" s="124" t="s">
        <v>321</v>
      </c>
      <c r="F246" s="125" t="s">
        <v>322</v>
      </c>
      <c r="G246" s="693"/>
      <c r="H246" s="124" t="s">
        <v>321</v>
      </c>
      <c r="I246" s="125" t="s">
        <v>322</v>
      </c>
      <c r="J246" s="693"/>
      <c r="K246" s="124" t="s">
        <v>321</v>
      </c>
      <c r="L246" s="125" t="s">
        <v>322</v>
      </c>
      <c r="M246" s="693"/>
      <c r="N246" s="124" t="s">
        <v>321</v>
      </c>
      <c r="O246" s="125" t="s">
        <v>322</v>
      </c>
      <c r="P246" s="693"/>
      <c r="Q246" s="124" t="s">
        <v>321</v>
      </c>
      <c r="R246" s="125" t="s">
        <v>322</v>
      </c>
      <c r="S246" s="693"/>
      <c r="T246" s="124" t="s">
        <v>321</v>
      </c>
      <c r="U246" s="125" t="s">
        <v>322</v>
      </c>
      <c r="V246" s="693"/>
      <c r="W246" s="124" t="s">
        <v>321</v>
      </c>
      <c r="X246" s="125" t="s">
        <v>322</v>
      </c>
      <c r="Y246" s="693"/>
      <c r="Z246" s="9"/>
      <c r="AA246" s="9"/>
      <c r="AB246" s="3"/>
      <c r="AC246" s="9"/>
      <c r="AD246" s="9"/>
      <c r="AE246" s="3"/>
    </row>
    <row r="247" spans="2:31" s="7" customFormat="1" ht="15">
      <c r="B247" s="597" t="s">
        <v>331</v>
      </c>
      <c r="C247" s="622">
        <f>canthorsup</f>
        <v>36</v>
      </c>
      <c r="D247" s="588" t="s">
        <v>332</v>
      </c>
      <c r="E247" s="558">
        <f>indicemar21*punbashorsup*Aumento4</f>
        <v>53978.93087400002</v>
      </c>
      <c r="F247" s="588"/>
      <c r="G247" s="713"/>
      <c r="H247" s="558">
        <f>indicemar21*punbashorsup*Aumento3</f>
        <v>49980.49155000001</v>
      </c>
      <c r="I247" s="588"/>
      <c r="J247" s="713"/>
      <c r="K247" s="558">
        <f>indicemar21*punbashorsup*Aumento2</f>
        <v>45982.052226000014</v>
      </c>
      <c r="L247" s="588"/>
      <c r="M247" s="713"/>
      <c r="N247" s="558">
        <f>indicemar21*punbashorsup*Aumento1</f>
        <v>43183.144699200006</v>
      </c>
      <c r="O247" s="588"/>
      <c r="P247" s="713"/>
      <c r="Q247" s="558">
        <f>indicemar21*punbashorsup</f>
        <v>39984.393240000005</v>
      </c>
      <c r="R247" s="588"/>
      <c r="S247" s="713"/>
      <c r="T247" s="558">
        <f>indicemar21*punbashorsup</f>
        <v>39984.393240000005</v>
      </c>
      <c r="U247" s="588"/>
      <c r="V247" s="713"/>
      <c r="W247" s="558">
        <f>indiceene20*punbashorsup</f>
        <v>34769.0376</v>
      </c>
      <c r="X247" s="588"/>
      <c r="Y247" s="713"/>
      <c r="Z247" s="771"/>
      <c r="AA247" s="3"/>
      <c r="AB247" s="799"/>
      <c r="AC247" s="771"/>
      <c r="AD247" s="3"/>
      <c r="AE247" s="799"/>
    </row>
    <row r="248" spans="2:31" s="7" customFormat="1" ht="12.75">
      <c r="B248" s="611" t="s">
        <v>296</v>
      </c>
      <c r="C248" s="518">
        <f>porantighorsup</f>
        <v>1.2</v>
      </c>
      <c r="D248" s="612" t="s">
        <v>0</v>
      </c>
      <c r="E248" s="560">
        <f>E247*porantighorsup</f>
        <v>64774.71704880002</v>
      </c>
      <c r="F248" s="612"/>
      <c r="G248" s="654"/>
      <c r="H248" s="560">
        <f>H247*porantighorsup</f>
        <v>59976.589860000015</v>
      </c>
      <c r="I248" s="612"/>
      <c r="J248" s="654"/>
      <c r="K248" s="560">
        <f>K247*porantighorsup</f>
        <v>55178.46267120002</v>
      </c>
      <c r="L248" s="612"/>
      <c r="M248" s="654"/>
      <c r="N248" s="560">
        <f>N247*porantighorsup</f>
        <v>51819.77363904</v>
      </c>
      <c r="O248" s="612"/>
      <c r="P248" s="654"/>
      <c r="Q248" s="560">
        <f>Q247*porantighorsup</f>
        <v>47981.271888</v>
      </c>
      <c r="R248" s="612"/>
      <c r="S248" s="654"/>
      <c r="T248" s="560">
        <f>T247*porantighorsup</f>
        <v>47981.271888</v>
      </c>
      <c r="U248" s="612"/>
      <c r="V248" s="654"/>
      <c r="W248" s="560">
        <f>W247*porantighorsup</f>
        <v>41722.845120000005</v>
      </c>
      <c r="X248" s="612"/>
      <c r="Y248" s="654"/>
      <c r="Z248" s="771"/>
      <c r="AA248" s="3"/>
      <c r="AB248" s="799"/>
      <c r="AC248" s="771"/>
      <c r="AD248" s="3"/>
      <c r="AE248" s="799"/>
    </row>
    <row r="249" spans="2:31" s="7" customFormat="1" ht="15.75">
      <c r="B249" s="598" t="s">
        <v>301</v>
      </c>
      <c r="C249" s="623">
        <f>W249/178.56</f>
        <v>17</v>
      </c>
      <c r="D249" s="621" t="s">
        <v>328</v>
      </c>
      <c r="E249" s="566">
        <f>IF(canthor06sup&gt;17,17*205.355,205.355*canthor06sup)*Aumento4</f>
        <v>4712.897250000001</v>
      </c>
      <c r="F249" s="589"/>
      <c r="G249" s="655"/>
      <c r="H249" s="566">
        <f>IF(canthor06sup&gt;17,17*205.355,205.355*canthor06sup)*Aumento3</f>
        <v>4363.793750000001</v>
      </c>
      <c r="I249" s="589"/>
      <c r="J249" s="655"/>
      <c r="K249" s="566">
        <f>IF(canthor06sup&gt;17,17*205.355,205.355*canthor06sup)*Aumento2</f>
        <v>4014.69025</v>
      </c>
      <c r="L249" s="589"/>
      <c r="M249" s="655"/>
      <c r="N249" s="566">
        <f>IF(canthor06sup&gt;17,17*205.355,205.355*canthor06sup)*Aumento1</f>
        <v>3770.3178000000003</v>
      </c>
      <c r="O249" s="589"/>
      <c r="P249" s="655"/>
      <c r="Q249" s="566">
        <f>IF(canthor06sup&gt;17,17*205.355,205.355*canthor06sup)</f>
        <v>3491.035</v>
      </c>
      <c r="R249" s="589"/>
      <c r="S249" s="655"/>
      <c r="T249" s="566">
        <f>IF(canthor06sup&gt;17,17*205.355,205.355*canthor06sup)</f>
        <v>3491.035</v>
      </c>
      <c r="U249" s="589"/>
      <c r="V249" s="655"/>
      <c r="W249" s="566">
        <f>IF(canthor06sup&gt;17,17*178.56,178.56*canthor06sup)</f>
        <v>3035.52</v>
      </c>
      <c r="X249" s="589"/>
      <c r="Y249" s="655"/>
      <c r="Z249" s="771"/>
      <c r="AA249" s="3"/>
      <c r="AB249" s="799"/>
      <c r="AC249" s="771"/>
      <c r="AD249" s="3"/>
      <c r="AE249" s="799"/>
    </row>
    <row r="250" spans="2:31" s="7" customFormat="1" ht="12.75">
      <c r="B250" s="611" t="s">
        <v>302</v>
      </c>
      <c r="C250" s="518">
        <v>0.07</v>
      </c>
      <c r="D250" s="633" t="s">
        <v>333</v>
      </c>
      <c r="E250" s="560">
        <f>E249*0.07</f>
        <v>329.9028075000001</v>
      </c>
      <c r="F250" s="612"/>
      <c r="G250" s="655"/>
      <c r="H250" s="560">
        <f>H249*0.07</f>
        <v>305.4655625000001</v>
      </c>
      <c r="I250" s="612"/>
      <c r="J250" s="655"/>
      <c r="K250" s="560">
        <f>K249*0.07</f>
        <v>281.0283175</v>
      </c>
      <c r="L250" s="612"/>
      <c r="M250" s="655"/>
      <c r="N250" s="560">
        <f>N249*0.07</f>
        <v>263.92224600000003</v>
      </c>
      <c r="O250" s="612"/>
      <c r="P250" s="655"/>
      <c r="Q250" s="560">
        <f>Q249*0.07</f>
        <v>244.37245000000001</v>
      </c>
      <c r="R250" s="612"/>
      <c r="S250" s="655"/>
      <c r="T250" s="560">
        <f>T249*0.07</f>
        <v>244.37245000000001</v>
      </c>
      <c r="U250" s="612"/>
      <c r="V250" s="655"/>
      <c r="W250" s="560">
        <f>W249*0.07</f>
        <v>212.48640000000003</v>
      </c>
      <c r="X250" s="612"/>
      <c r="Y250" s="655"/>
      <c r="Z250" s="771"/>
      <c r="AA250" s="3"/>
      <c r="AB250" s="799"/>
      <c r="AC250" s="771"/>
      <c r="AD250" s="3"/>
      <c r="AE250" s="799"/>
    </row>
    <row r="251" spans="2:31" s="7" customFormat="1" ht="12.75">
      <c r="B251" s="611" t="s">
        <v>299</v>
      </c>
      <c r="C251" s="518">
        <v>0.07</v>
      </c>
      <c r="D251" s="613" t="s">
        <v>330</v>
      </c>
      <c r="E251" s="560">
        <f>(E247+E248+E252+E254)*0.07</f>
        <v>8983.096774596004</v>
      </c>
      <c r="F251" s="612"/>
      <c r="G251" s="715"/>
      <c r="H251" s="560">
        <f>(H247+H248+H252+H254)*0.07</f>
        <v>8317.682198700002</v>
      </c>
      <c r="I251" s="612"/>
      <c r="J251" s="715"/>
      <c r="K251" s="560">
        <f>(K247+K248+K252+K254)*0.07</f>
        <v>7652.267622804003</v>
      </c>
      <c r="L251" s="612"/>
      <c r="M251" s="715"/>
      <c r="N251" s="560">
        <f>(N247+N248+N252+N254)*0.07</f>
        <v>7175.977419676801</v>
      </c>
      <c r="O251" s="612"/>
      <c r="P251" s="715"/>
      <c r="Q251" s="560">
        <f>(Q247+Q248+Q252+Q254)*0.07</f>
        <v>6654.145758960001</v>
      </c>
      <c r="R251" s="612"/>
      <c r="S251" s="715"/>
      <c r="T251" s="560">
        <f>(T247+T248+T252+T254)*0.07</f>
        <v>6654.145758960001</v>
      </c>
      <c r="U251" s="612"/>
      <c r="V251" s="715"/>
      <c r="W251" s="560">
        <f>(W247+W248+W252)*0.07</f>
        <v>5481.859790400001</v>
      </c>
      <c r="X251" s="612"/>
      <c r="Y251" s="715"/>
      <c r="Z251" s="771"/>
      <c r="AA251" s="3"/>
      <c r="AB251" s="799"/>
      <c r="AC251" s="771"/>
      <c r="AD251" s="3"/>
      <c r="AE251" s="799"/>
    </row>
    <row r="252" spans="2:31" s="7" customFormat="1" ht="15.75">
      <c r="B252" s="602">
        <v>117</v>
      </c>
      <c r="C252" s="624"/>
      <c r="D252" s="621" t="s">
        <v>480</v>
      </c>
      <c r="E252" s="566">
        <f>IF(canthorsup*69.78533&gt;2093.56,2093.56,canthorsup*69.78533)*Aumento4</f>
        <v>2826.3060000000005</v>
      </c>
      <c r="F252" s="589">
        <f>E252*0.196</f>
        <v>553.9559760000001</v>
      </c>
      <c r="G252" s="655"/>
      <c r="H252" s="566">
        <f>IF(canthorsup*69.78533&gt;2093.56,2093.56,canthorsup*69.78533)*Aumento3</f>
        <v>2616.9500000000003</v>
      </c>
      <c r="I252" s="589"/>
      <c r="J252" s="655"/>
      <c r="K252" s="566">
        <f>IF(canthorsup*69.78533&gt;2093.56,2093.56,canthorsup*69.78533)*Aumento2</f>
        <v>2407.594</v>
      </c>
      <c r="L252" s="589"/>
      <c r="M252" s="655"/>
      <c r="N252" s="566">
        <f>IF(canthorsup*69.78533&gt;2093.56,2093.56,canthorsup*69.78533)*Aumento1</f>
        <v>2261.0448</v>
      </c>
      <c r="O252" s="589"/>
      <c r="P252" s="655"/>
      <c r="Q252" s="566">
        <f>IF(canthorsup*69.78533&gt;2093.56,2093.56,canthorsup*69.78533)</f>
        <v>2093.56</v>
      </c>
      <c r="R252" s="589"/>
      <c r="S252" s="655"/>
      <c r="T252" s="566">
        <f>IF(canthorsup*69.78533&gt;2093.56,2093.56,canthorsup*69.78533)</f>
        <v>2093.56</v>
      </c>
      <c r="U252" s="589"/>
      <c r="V252" s="655"/>
      <c r="W252" s="566">
        <f>IF(canthorsup*60.68&gt;1820.4,1820.4,canthorsup*60.68)</f>
        <v>1820.4</v>
      </c>
      <c r="X252" s="589"/>
      <c r="Y252" s="655"/>
      <c r="Z252" s="771"/>
      <c r="AA252" s="3"/>
      <c r="AB252" s="799"/>
      <c r="AC252" s="771"/>
      <c r="AD252" s="3"/>
      <c r="AE252" s="799"/>
    </row>
    <row r="253" spans="2:31" s="7" customFormat="1" ht="12.75">
      <c r="B253" s="601" t="s">
        <v>392</v>
      </c>
      <c r="C253" s="240">
        <f>cantkmhs</f>
        <v>0</v>
      </c>
      <c r="D253" s="625" t="s">
        <v>393</v>
      </c>
      <c r="E253" s="570">
        <f>IF(kmsemhssup&lt;300,kmsemhssup*4.3141666*4,5177)*1.5</f>
        <v>0</v>
      </c>
      <c r="F253" s="852" t="s">
        <v>530</v>
      </c>
      <c r="G253" s="716"/>
      <c r="H253" s="570">
        <f>IF(kmsemhssup&lt;300,kmsemhssup*4.3141666*4,5177)*1.4</f>
        <v>0</v>
      </c>
      <c r="I253" s="852" t="s">
        <v>530</v>
      </c>
      <c r="J253" s="716"/>
      <c r="K253" s="570">
        <f>IF(kmsemhssup&lt;300,kmsemhssup*4.3141666*4,5177)*1.3</f>
        <v>0</v>
      </c>
      <c r="L253" s="852" t="s">
        <v>530</v>
      </c>
      <c r="M253" s="716"/>
      <c r="N253" s="570">
        <f>IF(kmsemhssup&lt;300,kmsemhssup*4.3141666*4,5177)*1.2</f>
        <v>0</v>
      </c>
      <c r="O253" s="852" t="s">
        <v>529</v>
      </c>
      <c r="P253" s="716"/>
      <c r="Q253" s="570">
        <f>IF(kmsemhssup&lt;300,kmsemhssup*4.3141666*4,5177)</f>
        <v>0</v>
      </c>
      <c r="R253" s="662"/>
      <c r="S253" s="716"/>
      <c r="T253" s="570">
        <f>IF(kmsemhssup&lt;300,kmsemhssup*4.3141666*4,5177)</f>
        <v>0</v>
      </c>
      <c r="U253" s="852" t="s">
        <v>528</v>
      </c>
      <c r="V253" s="716"/>
      <c r="W253" s="570">
        <f>IF(kmsemhssup&lt;300,kmsemhssup*3.7508*4,4501)</f>
        <v>0</v>
      </c>
      <c r="X253" s="662"/>
      <c r="Y253" s="716"/>
      <c r="Z253" s="760"/>
      <c r="AA253" s="800"/>
      <c r="AB253" s="799"/>
      <c r="AC253" s="760"/>
      <c r="AD253" s="800"/>
      <c r="AE253" s="799"/>
    </row>
    <row r="254" spans="2:31" s="7" customFormat="1" ht="15.75">
      <c r="B254" s="743">
        <v>38</v>
      </c>
      <c r="C254" s="744"/>
      <c r="D254" s="745" t="s">
        <v>510</v>
      </c>
      <c r="E254" s="746">
        <f>IF(C254="",IF(canthorsup&lt;15,6750/15*canthorsup,6750),IF(C254&lt;15,6750/15*C254,6750))</f>
        <v>6750</v>
      </c>
      <c r="F254" s="729"/>
      <c r="G254" s="655"/>
      <c r="H254" s="746">
        <f>IF(C254="",IF(canthorsup&lt;15,6250/15*canthorsup,6250),IF(C254&lt;15,6250/15*C254,6250))</f>
        <v>6250</v>
      </c>
      <c r="I254" s="729"/>
      <c r="J254" s="655"/>
      <c r="K254" s="746">
        <f>IF(C254="",IF(canthorsup&lt;15,5750/15*canthorsup,5750),IF(C254&lt;15,5750/15*C254,5750))</f>
        <v>5750</v>
      </c>
      <c r="L254" s="729"/>
      <c r="M254" s="655"/>
      <c r="N254" s="746">
        <f>IF(C254="",IF(canthorsup&lt;15,5250/15*canthorsup,5250),IF(C254&lt;15,5250/15*C254,5250))</f>
        <v>5250</v>
      </c>
      <c r="O254" s="729"/>
      <c r="P254" s="655"/>
      <c r="Q254" s="746">
        <f>IF(C254="",IF(canthorsup&lt;15,5000/15*canthorsup,5000),IF(C254&lt;15,5000/15*C254,5000))</f>
        <v>5000</v>
      </c>
      <c r="R254" s="729"/>
      <c r="S254" s="655"/>
      <c r="T254" s="746">
        <f>IF(C254="",IF(canthorsup&lt;15,5000/15*canthorsup,5000),IF(C254&lt;15,5000/15*C254,5000))</f>
        <v>5000</v>
      </c>
      <c r="U254" s="729"/>
      <c r="V254" s="655"/>
      <c r="W254" s="566"/>
      <c r="X254" s="589"/>
      <c r="Y254" s="655"/>
      <c r="Z254" s="771"/>
      <c r="AA254" s="3"/>
      <c r="AB254" s="799"/>
      <c r="AC254" s="771"/>
      <c r="AD254" s="3"/>
      <c r="AE254" s="799"/>
    </row>
    <row r="255" spans="2:31" s="7" customFormat="1" ht="15.75">
      <c r="B255" s="743"/>
      <c r="C255" s="744"/>
      <c r="D255" s="730" t="s">
        <v>509</v>
      </c>
      <c r="E255" s="731">
        <f>SUM(E247:E254)</f>
        <v>142355.85075489603</v>
      </c>
      <c r="F255" s="826"/>
      <c r="G255" s="655"/>
      <c r="H255" s="731">
        <f>SUM(H247:H254)</f>
        <v>131810.97292120004</v>
      </c>
      <c r="I255" s="826"/>
      <c r="J255" s="655"/>
      <c r="K255" s="731">
        <f>SUM(K247:K254)</f>
        <v>121266.09508750403</v>
      </c>
      <c r="L255" s="826"/>
      <c r="M255" s="655"/>
      <c r="N255" s="731">
        <f>SUM(N247:N254)</f>
        <v>113724.18060391682</v>
      </c>
      <c r="O255" s="828"/>
      <c r="P255" s="655"/>
      <c r="Q255" s="731">
        <f>SUM(Q247:Q254)</f>
        <v>105448.77833696001</v>
      </c>
      <c r="R255" s="826"/>
      <c r="S255" s="655"/>
      <c r="T255" s="731">
        <f>SUM(T247:T254)</f>
        <v>105448.77833696001</v>
      </c>
      <c r="U255" s="826"/>
      <c r="V255" s="655"/>
      <c r="W255" s="731">
        <f>SUM(W247:W254)</f>
        <v>87042.1489104</v>
      </c>
      <c r="X255" s="589"/>
      <c r="Y255" s="655"/>
      <c r="Z255" s="771"/>
      <c r="AA255" s="3"/>
      <c r="AB255" s="799"/>
      <c r="AC255" s="771"/>
      <c r="AD255" s="3"/>
      <c r="AE255" s="799"/>
    </row>
    <row r="256" spans="2:31" s="7" customFormat="1" ht="15">
      <c r="B256" s="643" t="s">
        <v>340</v>
      </c>
      <c r="C256" s="516"/>
      <c r="D256" s="612"/>
      <c r="E256" s="577">
        <v>0</v>
      </c>
      <c r="F256" s="612"/>
      <c r="G256" s="654"/>
      <c r="H256" s="577">
        <v>0</v>
      </c>
      <c r="I256" s="612"/>
      <c r="J256" s="654"/>
      <c r="K256" s="577">
        <v>0</v>
      </c>
      <c r="L256" s="612"/>
      <c r="M256" s="654"/>
      <c r="N256" s="577">
        <v>0</v>
      </c>
      <c r="O256" s="612"/>
      <c r="P256" s="654"/>
      <c r="Q256" s="577">
        <v>0</v>
      </c>
      <c r="R256" s="612"/>
      <c r="S256" s="654"/>
      <c r="T256" s="577">
        <v>0</v>
      </c>
      <c r="U256" s="612"/>
      <c r="V256" s="654"/>
      <c r="W256" s="577">
        <v>0</v>
      </c>
      <c r="X256" s="612"/>
      <c r="Y256" s="654"/>
      <c r="Z256" s="783"/>
      <c r="AA256" s="3"/>
      <c r="AB256" s="799"/>
      <c r="AC256" s="783"/>
      <c r="AD256" s="3"/>
      <c r="AE256" s="799"/>
    </row>
    <row r="257" spans="2:31" s="7" customFormat="1" ht="15">
      <c r="B257" s="643"/>
      <c r="C257" s="516"/>
      <c r="E257" s="577"/>
      <c r="F257" s="612"/>
      <c r="G257" s="654"/>
      <c r="H257" s="577"/>
      <c r="I257" s="612"/>
      <c r="J257" s="654"/>
      <c r="K257" s="577"/>
      <c r="L257" s="612"/>
      <c r="M257" s="654"/>
      <c r="N257" s="577"/>
      <c r="O257" s="612"/>
      <c r="P257" s="654"/>
      <c r="Q257" s="577"/>
      <c r="R257" s="612"/>
      <c r="S257" s="654"/>
      <c r="T257" s="577"/>
      <c r="U257" s="612"/>
      <c r="V257" s="654"/>
      <c r="W257" s="577"/>
      <c r="X257" s="612"/>
      <c r="Y257" s="654"/>
      <c r="Z257" s="783"/>
      <c r="AA257" s="3"/>
      <c r="AB257" s="799"/>
      <c r="AC257" s="783"/>
      <c r="AD257" s="3"/>
      <c r="AE257" s="799"/>
    </row>
    <row r="258" spans="2:31" s="7" customFormat="1" ht="15.75">
      <c r="B258" s="600" t="s">
        <v>303</v>
      </c>
      <c r="C258" s="624">
        <f>W258/100.8333</f>
        <v>24.000007933886923</v>
      </c>
      <c r="D258" s="589" t="s">
        <v>315</v>
      </c>
      <c r="E258" s="566">
        <f>IF(canthorincsup*117.91666&gt;2830,2830,canthorincsup*117.91666)</f>
        <v>2830</v>
      </c>
      <c r="F258" s="589"/>
      <c r="G258" s="654"/>
      <c r="H258" s="566">
        <f>IF(canthorincsup*117.91666&gt;2830,2830,canthorincsup*117.91666)</f>
        <v>2830</v>
      </c>
      <c r="I258" s="589"/>
      <c r="J258" s="654"/>
      <c r="K258" s="566">
        <f>IF(canthorincsup*100.8333&gt;2420,2420,canthorincsup*100.83333)</f>
        <v>2420</v>
      </c>
      <c r="L258" s="589"/>
      <c r="M258" s="654"/>
      <c r="N258" s="566">
        <f>IF(canthorincsup*100.8333&gt;2420,2420,canthorincsup*100.83333)</f>
        <v>2420</v>
      </c>
      <c r="O258" s="589"/>
      <c r="P258" s="654"/>
      <c r="Q258" s="566">
        <f>IF(canthorincsup*100.8333&gt;2420,2420,canthorincsup*100.83333)</f>
        <v>2420</v>
      </c>
      <c r="R258" s="589"/>
      <c r="S258" s="654"/>
      <c r="T258" s="566">
        <f>IF(canthorincsup*100.8333&gt;2420,2420,canthorincsup*100.83333)</f>
        <v>2420</v>
      </c>
      <c r="U258" s="589"/>
      <c r="V258" s="654"/>
      <c r="W258" s="566">
        <f>IF(canthorincsup*100.8333&gt;2420,2420,canthorincsup*100.83333)</f>
        <v>2420</v>
      </c>
      <c r="X258" s="589"/>
      <c r="Y258" s="654"/>
      <c r="Z258" s="771"/>
      <c r="AA258" s="3"/>
      <c r="AB258" s="799"/>
      <c r="AC258" s="771"/>
      <c r="AD258" s="3"/>
      <c r="AE258" s="799"/>
    </row>
    <row r="259" spans="2:31" s="7" customFormat="1" ht="15.75">
      <c r="B259" s="689">
        <v>113</v>
      </c>
      <c r="C259" s="690">
        <f>W259/100.8333</f>
        <v>24.000007933886923</v>
      </c>
      <c r="D259" s="685" t="s">
        <v>503</v>
      </c>
      <c r="E259" s="691">
        <f>IF(canthorincsup*117.91666&gt;2830,2830,canthorincsup*117.91666)</f>
        <v>2830</v>
      </c>
      <c r="F259" s="589"/>
      <c r="G259" s="654"/>
      <c r="H259" s="691">
        <f>IF(canthorincsup*117.91666&gt;2830,2830,canthorincsup*117.91666)</f>
        <v>2830</v>
      </c>
      <c r="I259" s="589"/>
      <c r="J259" s="654"/>
      <c r="K259" s="691">
        <f>IF(canthorincsup*100.8333&gt;2420,2420,canthorincsup*100.83333)</f>
        <v>2420</v>
      </c>
      <c r="L259" s="589"/>
      <c r="M259" s="654"/>
      <c r="N259" s="691">
        <f>IF(canthorincsup*100.8333&gt;2420,2420,canthorincsup*100.83333)</f>
        <v>2420</v>
      </c>
      <c r="O259" s="589"/>
      <c r="P259" s="654"/>
      <c r="Q259" s="691">
        <f>IF(canthorincsup*100.8333&gt;2420,2420,canthorincsup*100.83333)</f>
        <v>2420</v>
      </c>
      <c r="R259" s="589"/>
      <c r="S259" s="654"/>
      <c r="T259" s="691">
        <f>IF(canthorincsup*100.8333&gt;2420,2420,canthorincsup*100.83333)</f>
        <v>2420</v>
      </c>
      <c r="U259" s="589"/>
      <c r="V259" s="654"/>
      <c r="W259" s="691">
        <f>IF(canthorincsup*100.8333&gt;2420,2420,canthorincsup*100.83333)</f>
        <v>2420</v>
      </c>
      <c r="X259" s="589"/>
      <c r="Y259" s="654"/>
      <c r="Z259" s="771"/>
      <c r="AA259" s="3"/>
      <c r="AB259" s="799"/>
      <c r="AC259" s="771"/>
      <c r="AD259" s="3"/>
      <c r="AE259" s="799"/>
    </row>
    <row r="260" spans="2:31" s="7" customFormat="1" ht="15.75">
      <c r="B260" s="615">
        <v>54</v>
      </c>
      <c r="C260" s="638">
        <f>W260/17.5</f>
        <v>24</v>
      </c>
      <c r="D260" s="637" t="s">
        <v>478</v>
      </c>
      <c r="E260" s="560">
        <f>IF(canthorincsup*83.3333&gt;2000,2000,canthorincsup*83.3333)</f>
        <v>2000</v>
      </c>
      <c r="F260" s="612"/>
      <c r="G260" s="716"/>
      <c r="H260" s="560">
        <f>IF(canthorincsup*83.3333&gt;2000,2000,canthorincsup*83.3333)</f>
        <v>2000</v>
      </c>
      <c r="I260" s="612"/>
      <c r="J260" s="716"/>
      <c r="K260" s="560">
        <f>IF(canthorincsup*59.16666&gt;1420,1420,canthorincsup*59.16666)</f>
        <v>1420</v>
      </c>
      <c r="L260" s="612"/>
      <c r="M260" s="716"/>
      <c r="N260" s="560">
        <f>IF(canthorincsup*59.16666&gt;1420,1420,canthorincsup*59.16666)</f>
        <v>1420</v>
      </c>
      <c r="O260" s="612"/>
      <c r="P260" s="716"/>
      <c r="Q260" s="560">
        <f>IF(canthorincsup*59.16666&gt;1420,1420,canthorincsup*59.16666)</f>
        <v>1420</v>
      </c>
      <c r="R260" s="612"/>
      <c r="S260" s="716"/>
      <c r="T260" s="560">
        <f>IF(canthorincsup*17.5&gt;420,420,canthorincsup*17.5)</f>
        <v>420</v>
      </c>
      <c r="U260" s="612"/>
      <c r="V260" s="716"/>
      <c r="W260" s="560">
        <f>IF(canthorincsup*17.5&gt;420,420,canthorincsup*17.5)</f>
        <v>420</v>
      </c>
      <c r="X260" s="612"/>
      <c r="Y260" s="716"/>
      <c r="Z260" s="771"/>
      <c r="AA260" s="3"/>
      <c r="AB260" s="799"/>
      <c r="AC260" s="771"/>
      <c r="AD260" s="3"/>
      <c r="AE260" s="799"/>
    </row>
    <row r="261" spans="2:31" s="7" customFormat="1" ht="15">
      <c r="B261" s="643"/>
      <c r="C261" s="516"/>
      <c r="D261" s="612"/>
      <c r="E261" s="831">
        <f>SUM(E258:E260)</f>
        <v>7660</v>
      </c>
      <c r="F261" s="612"/>
      <c r="G261" s="654"/>
      <c r="H261" s="577"/>
      <c r="I261" s="612"/>
      <c r="J261" s="654"/>
      <c r="K261" s="577"/>
      <c r="L261" s="612"/>
      <c r="M261" s="654"/>
      <c r="N261" s="577"/>
      <c r="O261" s="612"/>
      <c r="P261" s="654"/>
      <c r="Q261" s="577"/>
      <c r="R261" s="612"/>
      <c r="S261" s="654"/>
      <c r="T261" s="577"/>
      <c r="U261" s="612"/>
      <c r="V261" s="654"/>
      <c r="W261" s="577"/>
      <c r="X261" s="612"/>
      <c r="Y261" s="654"/>
      <c r="Z261" s="783"/>
      <c r="AA261" s="3"/>
      <c r="AB261" s="799"/>
      <c r="AC261" s="783"/>
      <c r="AD261" s="3"/>
      <c r="AE261" s="799"/>
    </row>
    <row r="262" spans="2:31" s="7" customFormat="1" ht="15">
      <c r="B262" s="643"/>
      <c r="C262" s="516"/>
      <c r="D262" s="612"/>
      <c r="E262" s="577"/>
      <c r="F262" s="612"/>
      <c r="G262" s="654"/>
      <c r="H262" s="577"/>
      <c r="I262" s="612"/>
      <c r="J262" s="654"/>
      <c r="K262" s="577"/>
      <c r="L262" s="612"/>
      <c r="M262" s="654"/>
      <c r="N262" s="577"/>
      <c r="O262" s="612"/>
      <c r="P262" s="654"/>
      <c r="Q262" s="577"/>
      <c r="R262" s="612"/>
      <c r="S262" s="654"/>
      <c r="T262" s="577"/>
      <c r="U262" s="612"/>
      <c r="V262" s="654"/>
      <c r="W262" s="577"/>
      <c r="X262" s="612"/>
      <c r="Y262" s="654"/>
      <c r="Z262" s="783"/>
      <c r="AA262" s="3"/>
      <c r="AB262" s="799"/>
      <c r="AC262" s="783"/>
      <c r="AD262" s="3"/>
      <c r="AE262" s="799"/>
    </row>
    <row r="263" spans="2:31" s="7" customFormat="1" ht="15.75">
      <c r="B263" s="604"/>
      <c r="C263" s="623" t="s">
        <v>8</v>
      </c>
      <c r="D263" s="626"/>
      <c r="E263" s="590">
        <f>SUM(E255:E260)</f>
        <v>150015.85075489603</v>
      </c>
      <c r="F263" s="589"/>
      <c r="G263" s="723"/>
      <c r="H263" s="590">
        <f>SUM(H255:H260)</f>
        <v>139470.97292120004</v>
      </c>
      <c r="I263" s="589"/>
      <c r="J263" s="723"/>
      <c r="K263" s="590">
        <f>SUM(K255:K260)</f>
        <v>127526.09508750403</v>
      </c>
      <c r="L263" s="589"/>
      <c r="M263" s="723"/>
      <c r="N263" s="590">
        <f>SUM(N255:N260)</f>
        <v>119984.18060391682</v>
      </c>
      <c r="O263" s="589"/>
      <c r="P263" s="723"/>
      <c r="Q263" s="590">
        <f>SUM(Q255:Q260)</f>
        <v>111708.77833696001</v>
      </c>
      <c r="R263" s="589"/>
      <c r="S263" s="723"/>
      <c r="T263" s="590">
        <f>SUM(T255:T260)</f>
        <v>110708.77833696001</v>
      </c>
      <c r="U263" s="589"/>
      <c r="V263" s="723"/>
      <c r="W263" s="590">
        <f>SUM(W255:W260)</f>
        <v>92302.1489104</v>
      </c>
      <c r="X263" s="589"/>
      <c r="Y263" s="723"/>
      <c r="Z263" s="492"/>
      <c r="AA263" s="3"/>
      <c r="AB263" s="799"/>
      <c r="AC263" s="492"/>
      <c r="AD263" s="3"/>
      <c r="AE263" s="799"/>
    </row>
    <row r="264" spans="2:31" s="7" customFormat="1" ht="15">
      <c r="B264" s="644" t="s">
        <v>335</v>
      </c>
      <c r="C264" s="519"/>
      <c r="D264" s="633" t="s">
        <v>336</v>
      </c>
      <c r="E264" s="577"/>
      <c r="F264" s="645">
        <f>-E264</f>
        <v>0</v>
      </c>
      <c r="G264" s="655"/>
      <c r="H264" s="577"/>
      <c r="I264" s="645">
        <f>-H264</f>
        <v>0</v>
      </c>
      <c r="J264" s="655"/>
      <c r="K264" s="577"/>
      <c r="L264" s="645">
        <f>-K264</f>
        <v>0</v>
      </c>
      <c r="M264" s="655"/>
      <c r="N264" s="577"/>
      <c r="O264" s="645">
        <f>-N264</f>
        <v>0</v>
      </c>
      <c r="P264" s="655"/>
      <c r="Q264" s="577"/>
      <c r="R264" s="645">
        <f>-Q264</f>
        <v>0</v>
      </c>
      <c r="S264" s="655"/>
      <c r="T264" s="577"/>
      <c r="U264" s="645">
        <f>-T264</f>
        <v>0</v>
      </c>
      <c r="V264" s="655"/>
      <c r="W264" s="577"/>
      <c r="X264" s="645">
        <f>-W264</f>
        <v>0</v>
      </c>
      <c r="Y264" s="655"/>
      <c r="Z264" s="783"/>
      <c r="AA264" s="784"/>
      <c r="AB264" s="799"/>
      <c r="AC264" s="783"/>
      <c r="AD264" s="784"/>
      <c r="AE264" s="799"/>
    </row>
    <row r="265" spans="2:31" s="7" customFormat="1" ht="12.75">
      <c r="B265" s="593">
        <v>502</v>
      </c>
      <c r="C265" s="504">
        <v>0.16</v>
      </c>
      <c r="D265" s="627" t="s">
        <v>339</v>
      </c>
      <c r="E265" s="642"/>
      <c r="F265" s="592">
        <f>-(E247+E248+E251+E249+E250+F264+E252+E254)*porjub</f>
        <v>-22776.93612078337</v>
      </c>
      <c r="G265" s="714"/>
      <c r="H265" s="642"/>
      <c r="I265" s="592">
        <f>-(H247+H248+H251+H249+H250+I264+H252+H254)*porjub</f>
        <v>-21089.755667392008</v>
      </c>
      <c r="J265" s="714"/>
      <c r="K265" s="642"/>
      <c r="L265" s="592">
        <f>-(K247+K248+K251+K249+K250+L264+K252+K254)*porjub</f>
        <v>-19402.575214000644</v>
      </c>
      <c r="M265" s="714"/>
      <c r="N265" s="642"/>
      <c r="O265" s="592">
        <f>-(N247+N248+N251+N249+N250+O264+N252+N254)*porjub</f>
        <v>-18195.86889662669</v>
      </c>
      <c r="P265" s="714"/>
      <c r="Q265" s="642"/>
      <c r="R265" s="592">
        <f>-(Q247+Q248+Q251+Q249+Q250+R264+Q252+Q254)*porjub</f>
        <v>-16871.8045339136</v>
      </c>
      <c r="S265" s="714"/>
      <c r="T265" s="642"/>
      <c r="U265" s="592">
        <f>-(T247+T248+T251+T249+T250+U264+T252+T254)*porjub</f>
        <v>-16871.8045339136</v>
      </c>
      <c r="V265" s="714"/>
      <c r="W265" s="642"/>
      <c r="X265" s="592">
        <f>-(W247+W248+W251+W249+W250+X264+W252)*porjub</f>
        <v>-13926.743825664002</v>
      </c>
      <c r="Y265" s="714"/>
      <c r="Z265" s="801"/>
      <c r="AA265" s="794"/>
      <c r="AB265" s="799"/>
      <c r="AC265" s="801"/>
      <c r="AD265" s="794"/>
      <c r="AE265" s="799"/>
    </row>
    <row r="266" spans="2:31" s="7" customFormat="1" ht="12.75">
      <c r="B266" s="617">
        <v>504</v>
      </c>
      <c r="C266" s="511">
        <v>0.006</v>
      </c>
      <c r="D266" s="612" t="s">
        <v>338</v>
      </c>
      <c r="E266" s="617"/>
      <c r="F266" s="619">
        <f>-(E247+E248+E251+E249+E250+F264+E252+E254)*porley</f>
        <v>-854.1351045293763</v>
      </c>
      <c r="G266" s="654"/>
      <c r="H266" s="617"/>
      <c r="I266" s="619">
        <f>-(H247+H248+H251+H249+H250+I264+H252+H254)*porley</f>
        <v>-790.8658375272003</v>
      </c>
      <c r="J266" s="654"/>
      <c r="K266" s="617"/>
      <c r="L266" s="619">
        <f>-(K247+K248+K251+K249+K250+L264+K252+K254)*porley</f>
        <v>-727.5965705250242</v>
      </c>
      <c r="M266" s="654"/>
      <c r="N266" s="617"/>
      <c r="O266" s="619">
        <f>-(N247+N248+N251+N249+N250+O264+N252+N254)*porley</f>
        <v>-682.345083623501</v>
      </c>
      <c r="P266" s="654"/>
      <c r="Q266" s="617"/>
      <c r="R266" s="619">
        <f>-(Q247+Q248+Q251+Q249+Q250+R264+Q252+Q254)*porley</f>
        <v>-632.69267002176</v>
      </c>
      <c r="S266" s="654"/>
      <c r="T266" s="617"/>
      <c r="U266" s="619">
        <f>-(T247+T248+T251+T249+T250+U264+T252+T254)*porley</f>
        <v>-632.69267002176</v>
      </c>
      <c r="V266" s="654"/>
      <c r="W266" s="617"/>
      <c r="X266" s="619">
        <f>-(W247+W248+W251+W249+W250+X264+W252)*porley</f>
        <v>-522.2528934624</v>
      </c>
      <c r="Y266" s="654"/>
      <c r="Z266" s="3"/>
      <c r="AA266" s="794"/>
      <c r="AB266" s="799"/>
      <c r="AC266" s="3"/>
      <c r="AD266" s="794"/>
      <c r="AE266" s="799"/>
    </row>
    <row r="267" spans="2:31" s="7" customFormat="1" ht="12.75">
      <c r="B267" s="593">
        <v>505</v>
      </c>
      <c r="C267" s="505">
        <v>0.03</v>
      </c>
      <c r="D267" s="627" t="s">
        <v>337</v>
      </c>
      <c r="E267" s="591"/>
      <c r="F267" s="592">
        <f>-(E247+E248+E251+E249+E250+F264+E252+E254)*poros</f>
        <v>-4270.675522646881</v>
      </c>
      <c r="G267" s="714"/>
      <c r="H267" s="591"/>
      <c r="I267" s="592">
        <f>-(H247+H248+H251+H249+H250+I264+H252+H254)*poros</f>
        <v>-3954.329187636001</v>
      </c>
      <c r="J267" s="714"/>
      <c r="K267" s="591"/>
      <c r="L267" s="592">
        <f>-(K247+K248+K251+K249+K250+L264+K252+K254)*poros</f>
        <v>-3637.982852625121</v>
      </c>
      <c r="M267" s="714"/>
      <c r="N267" s="591"/>
      <c r="O267" s="592">
        <f>-(N247+N248+N251+N249+N250+O264+N252+N254)*poros</f>
        <v>-3411.7254181175044</v>
      </c>
      <c r="P267" s="714"/>
      <c r="Q267" s="591"/>
      <c r="R267" s="592">
        <f>-(Q247+Q248+Q251+Q249+Q250+R264+Q252+Q254)*poros</f>
        <v>-3163.4633501088</v>
      </c>
      <c r="S267" s="714"/>
      <c r="T267" s="591"/>
      <c r="U267" s="592">
        <f>-(T247+T248+T251+T249+T250+U264+T252+T254)*poros</f>
        <v>-3163.4633501088</v>
      </c>
      <c r="V267" s="714"/>
      <c r="W267" s="591"/>
      <c r="X267" s="592">
        <f>-(W247+W248+W251+W249+W250+X264+W252)*poros</f>
        <v>-2611.2644673120003</v>
      </c>
      <c r="Y267" s="714"/>
      <c r="Z267" s="793"/>
      <c r="AA267" s="794"/>
      <c r="AB267" s="799"/>
      <c r="AC267" s="793"/>
      <c r="AD267" s="794"/>
      <c r="AE267" s="799"/>
    </row>
    <row r="268" spans="2:31" s="7" customFormat="1" ht="12.75">
      <c r="B268" s="646">
        <v>332</v>
      </c>
      <c r="C268" s="512">
        <v>0</v>
      </c>
      <c r="D268" s="647" t="s">
        <v>471</v>
      </c>
      <c r="E268" s="618"/>
      <c r="F268" s="619">
        <f>-(E247+E248+E251+E249+E250+F264+E252)*poragmer-E258*poragmer</f>
        <v>0</v>
      </c>
      <c r="G268" s="718"/>
      <c r="H268" s="618"/>
      <c r="I268" s="619">
        <f>-(H247+H248+H251+H249+H250+I264+H252)*poragmer-H258*poragmer</f>
        <v>0</v>
      </c>
      <c r="J268" s="718"/>
      <c r="K268" s="618"/>
      <c r="L268" s="619">
        <f>-(K247+K248+K251+K249+K250+L264+K252)*poragmer-K258*poragmer</f>
        <v>0</v>
      </c>
      <c r="M268" s="718"/>
      <c r="N268" s="618"/>
      <c r="O268" s="619">
        <f>-(N247+N248+N251+N249+N250+O264+N252)*poragmer-N258*poragmer</f>
        <v>0</v>
      </c>
      <c r="P268" s="718"/>
      <c r="Q268" s="618"/>
      <c r="R268" s="619">
        <f>-(Q247+Q248+Q251+Q249+Q250+R264+Q252)*poragmer-Q258*poragmer</f>
        <v>0</v>
      </c>
      <c r="S268" s="718"/>
      <c r="T268" s="618"/>
      <c r="U268" s="619">
        <f>-(T247+T248+T251+T249+T250+U264+T252)*poragmer-T258*poragmer</f>
        <v>0</v>
      </c>
      <c r="V268" s="718"/>
      <c r="W268" s="618"/>
      <c r="X268" s="619">
        <f>-(W247+W248+W251+W249+W250+X264+W252)*poragmer-W258*poragmer</f>
        <v>0</v>
      </c>
      <c r="Y268" s="718"/>
      <c r="Z268" s="793"/>
      <c r="AA268" s="794"/>
      <c r="AB268" s="799"/>
      <c r="AC268" s="793"/>
      <c r="AD268" s="794"/>
      <c r="AE268" s="799"/>
    </row>
    <row r="269" spans="2:31" s="7" customFormat="1" ht="15">
      <c r="B269" s="607" t="s">
        <v>2</v>
      </c>
      <c r="C269" s="482">
        <v>0</v>
      </c>
      <c r="D269" s="589"/>
      <c r="E269" s="593"/>
      <c r="F269" s="592">
        <f>-(E248+E247+E251+E249+E250+F264+E252+E254)*C269</f>
        <v>0</v>
      </c>
      <c r="G269" s="654"/>
      <c r="H269" s="593"/>
      <c r="I269" s="592">
        <f>-(H248+H247+H251+H249+H250+I264+H252+H254)*C269</f>
        <v>0</v>
      </c>
      <c r="J269" s="654"/>
      <c r="K269" s="593"/>
      <c r="L269" s="592">
        <f>-(K248+K247+K251+K249+K250+L264+K252+K254)*C269</f>
        <v>0</v>
      </c>
      <c r="M269" s="654"/>
      <c r="N269" s="593"/>
      <c r="O269" s="592">
        <f>-(N248+N247+N251+N249+N250+O264+N252+N254)*C269</f>
        <v>0</v>
      </c>
      <c r="P269" s="654"/>
      <c r="Q269" s="593"/>
      <c r="R269" s="592">
        <f>-(Q248+Q247+Q251+Q249+Q250+R264+Q252+Q254)*C269</f>
        <v>0</v>
      </c>
      <c r="S269" s="654"/>
      <c r="T269" s="593"/>
      <c r="U269" s="592">
        <f>-(T248+T247+T251+T249+T250+U264+T252+T254)*C269</f>
        <v>0</v>
      </c>
      <c r="V269" s="654"/>
      <c r="W269" s="593"/>
      <c r="X269" s="592">
        <f>-(W248+W247+W251+W249+W250+X264+W252)*C269</f>
        <v>0</v>
      </c>
      <c r="Y269" s="654"/>
      <c r="Z269" s="3"/>
      <c r="AA269" s="794"/>
      <c r="AB269" s="799"/>
      <c r="AC269" s="3"/>
      <c r="AD269" s="794"/>
      <c r="AE269" s="799"/>
    </row>
    <row r="270" spans="2:31" s="7" customFormat="1" ht="16.5" thickBot="1">
      <c r="B270" s="648"/>
      <c r="C270" s="649"/>
      <c r="D270" s="650" t="s">
        <v>3</v>
      </c>
      <c r="E270" s="648"/>
      <c r="F270" s="651">
        <f>SUM(F265:F269)</f>
        <v>-27901.74674795963</v>
      </c>
      <c r="G270" s="719"/>
      <c r="H270" s="648"/>
      <c r="I270" s="651">
        <f>SUM(I265:I269)</f>
        <v>-25834.95069255521</v>
      </c>
      <c r="J270" s="719"/>
      <c r="K270" s="648"/>
      <c r="L270" s="651">
        <f>SUM(L265:L269)</f>
        <v>-23768.15463715079</v>
      </c>
      <c r="M270" s="719"/>
      <c r="N270" s="648"/>
      <c r="O270" s="651">
        <f>SUM(O265:O269)</f>
        <v>-22289.939398367696</v>
      </c>
      <c r="P270" s="719"/>
      <c r="Q270" s="648"/>
      <c r="R270" s="651">
        <f>SUM(R265:R269)</f>
        <v>-20667.96055404416</v>
      </c>
      <c r="S270" s="719"/>
      <c r="T270" s="648"/>
      <c r="U270" s="651">
        <f>SUM(U265:U269)</f>
        <v>-20667.96055404416</v>
      </c>
      <c r="V270" s="719"/>
      <c r="W270" s="648"/>
      <c r="X270" s="651">
        <f>SUM(X265:X269)</f>
        <v>-17060.2611864384</v>
      </c>
      <c r="Y270" s="719"/>
      <c r="Z270" s="9"/>
      <c r="AA270" s="795"/>
      <c r="AB270" s="799"/>
      <c r="AC270" s="9"/>
      <c r="AD270" s="795"/>
      <c r="AE270" s="799"/>
    </row>
    <row r="271" spans="4:31" ht="13.5" thickBot="1">
      <c r="D271" s="420"/>
      <c r="G271" s="705"/>
      <c r="J271" s="705"/>
      <c r="M271" s="705"/>
      <c r="P271" s="705"/>
      <c r="S271" s="705"/>
      <c r="V271" s="705"/>
      <c r="Y271" s="705"/>
      <c r="Z271" s="3"/>
      <c r="AA271" s="3"/>
      <c r="AB271" s="3"/>
      <c r="AC271" s="3"/>
      <c r="AD271" s="3"/>
      <c r="AE271" s="3"/>
    </row>
    <row r="272" spans="2:31" ht="24.75" thickBot="1" thickTop="1">
      <c r="B272" s="166"/>
      <c r="D272" s="421"/>
      <c r="E272" s="372" t="s">
        <v>4</v>
      </c>
      <c r="F272" s="373">
        <f>E263+F270</f>
        <v>122114.1040069364</v>
      </c>
      <c r="G272" s="707"/>
      <c r="H272" s="372" t="s">
        <v>4</v>
      </c>
      <c r="I272" s="373">
        <f>H263+I270</f>
        <v>113636.02222864483</v>
      </c>
      <c r="J272" s="707"/>
      <c r="K272" s="372" t="s">
        <v>4</v>
      </c>
      <c r="L272" s="373">
        <f>K263+L270</f>
        <v>103757.94045035324</v>
      </c>
      <c r="M272" s="707"/>
      <c r="N272" s="372" t="s">
        <v>4</v>
      </c>
      <c r="O272" s="373">
        <f>N263+O270</f>
        <v>97694.24120554911</v>
      </c>
      <c r="P272" s="707"/>
      <c r="Q272" s="372" t="s">
        <v>4</v>
      </c>
      <c r="R272" s="373">
        <f>Q263+R270</f>
        <v>91040.81778291585</v>
      </c>
      <c r="S272" s="707"/>
      <c r="T272" s="372" t="s">
        <v>4</v>
      </c>
      <c r="U272" s="373">
        <f>T263+U270</f>
        <v>90040.81778291585</v>
      </c>
      <c r="V272" s="707"/>
      <c r="W272" s="372" t="s">
        <v>4</v>
      </c>
      <c r="X272" s="373">
        <f>W263+X270</f>
        <v>75241.88772396161</v>
      </c>
      <c r="Y272" s="707"/>
      <c r="Z272" s="176"/>
      <c r="AA272" s="763"/>
      <c r="AB272" s="3"/>
      <c r="AC272" s="176"/>
      <c r="AD272" s="763"/>
      <c r="AE272" s="3"/>
    </row>
    <row r="273" spans="2:31" ht="24" thickTop="1">
      <c r="B273" s="166"/>
      <c r="D273" s="667"/>
      <c r="E273" s="116"/>
      <c r="F273" s="666"/>
      <c r="G273" s="706"/>
      <c r="H273" s="116"/>
      <c r="I273" s="666"/>
      <c r="J273" s="706"/>
      <c r="K273" s="116"/>
      <c r="L273" s="666"/>
      <c r="M273" s="706"/>
      <c r="N273" s="116"/>
      <c r="O273" s="666"/>
      <c r="P273" s="706"/>
      <c r="Q273" s="116"/>
      <c r="R273" s="666"/>
      <c r="S273" s="706"/>
      <c r="T273" s="116"/>
      <c r="U273" s="666"/>
      <c r="V273" s="706"/>
      <c r="W273" s="116"/>
      <c r="X273" s="666"/>
      <c r="Y273" s="706"/>
      <c r="Z273" s="176"/>
      <c r="AA273" s="765"/>
      <c r="AB273" s="3"/>
      <c r="AC273" s="176"/>
      <c r="AD273" s="765"/>
      <c r="AE273" s="3"/>
    </row>
    <row r="274" spans="2:31" ht="24" thickBot="1">
      <c r="B274" s="166"/>
      <c r="D274" s="667"/>
      <c r="E274" s="95" t="s">
        <v>485</v>
      </c>
      <c r="F274" s="404"/>
      <c r="G274" s="706"/>
      <c r="H274" s="95" t="s">
        <v>485</v>
      </c>
      <c r="I274" s="404"/>
      <c r="J274" s="706"/>
      <c r="K274" s="95" t="s">
        <v>485</v>
      </c>
      <c r="L274" s="404"/>
      <c r="M274" s="706"/>
      <c r="N274" s="95" t="s">
        <v>485</v>
      </c>
      <c r="O274" s="404"/>
      <c r="P274" s="706"/>
      <c r="Q274" s="95" t="s">
        <v>485</v>
      </c>
      <c r="R274" s="404"/>
      <c r="S274" s="706"/>
      <c r="T274" s="95" t="s">
        <v>485</v>
      </c>
      <c r="U274" s="404"/>
      <c r="V274" s="706"/>
      <c r="W274" s="95" t="s">
        <v>485</v>
      </c>
      <c r="X274" s="404"/>
      <c r="Y274" s="706"/>
      <c r="Z274" s="492"/>
      <c r="AA274" s="763"/>
      <c r="AB274" s="3"/>
      <c r="AC274" s="492"/>
      <c r="AD274" s="763"/>
      <c r="AE274" s="3"/>
    </row>
    <row r="275" spans="2:31" ht="18">
      <c r="B275" s="166"/>
      <c r="D275" s="667"/>
      <c r="E275" s="400" t="s">
        <v>372</v>
      </c>
      <c r="F275" s="401">
        <f>F272-I272</f>
        <v>8478.08177829157</v>
      </c>
      <c r="G275" s="706"/>
      <c r="H275" s="400" t="s">
        <v>372</v>
      </c>
      <c r="I275" s="401">
        <f>I272-L272</f>
        <v>9878.081778291584</v>
      </c>
      <c r="J275" s="706"/>
      <c r="K275" s="400" t="s">
        <v>372</v>
      </c>
      <c r="L275" s="401">
        <f>L272-O272</f>
        <v>6063.699244804127</v>
      </c>
      <c r="M275" s="706"/>
      <c r="N275" s="400" t="s">
        <v>372</v>
      </c>
      <c r="O275" s="401">
        <f>O272-U272</f>
        <v>7653.423422633263</v>
      </c>
      <c r="P275" s="706"/>
      <c r="Q275" s="400" t="s">
        <v>372</v>
      </c>
      <c r="R275" s="401">
        <f>R272-U272</f>
        <v>1000</v>
      </c>
      <c r="S275" s="706"/>
      <c r="T275" s="400" t="s">
        <v>372</v>
      </c>
      <c r="U275" s="401">
        <f>U272-X272</f>
        <v>14798.93005895424</v>
      </c>
      <c r="V275" s="706"/>
      <c r="W275" s="400"/>
      <c r="X275" s="401"/>
      <c r="Y275" s="706"/>
      <c r="Z275" s="442"/>
      <c r="AA275" s="790"/>
      <c r="AB275" s="3"/>
      <c r="AC275" s="442"/>
      <c r="AD275" s="790"/>
      <c r="AE275" s="3"/>
    </row>
    <row r="276" spans="4:31" s="3" customFormat="1" ht="18.75" thickBot="1">
      <c r="D276" s="668"/>
      <c r="E276" s="402" t="s">
        <v>373</v>
      </c>
      <c r="F276" s="403">
        <f>F275/I272</f>
        <v>0.07460734379836867</v>
      </c>
      <c r="G276" s="724"/>
      <c r="H276" s="402" t="s">
        <v>373</v>
      </c>
      <c r="I276" s="403">
        <f>I275/L272</f>
        <v>0.09520314045765116</v>
      </c>
      <c r="J276" s="724"/>
      <c r="K276" s="402" t="s">
        <v>373</v>
      </c>
      <c r="L276" s="403">
        <f>L275/O272</f>
        <v>0.062068133904086296</v>
      </c>
      <c r="M276" s="724"/>
      <c r="N276" s="402" t="s">
        <v>373</v>
      </c>
      <c r="O276" s="403">
        <f>O275/U272</f>
        <v>0.08499948813309653</v>
      </c>
      <c r="P276" s="724"/>
      <c r="Q276" s="402" t="s">
        <v>373</v>
      </c>
      <c r="R276" s="403">
        <f>R275/U272</f>
        <v>0.011106074163064052</v>
      </c>
      <c r="S276" s="724"/>
      <c r="T276" s="402" t="s">
        <v>373</v>
      </c>
      <c r="U276" s="403">
        <f>U275/X272</f>
        <v>0.1966847258437584</v>
      </c>
      <c r="V276" s="724"/>
      <c r="W276" s="402"/>
      <c r="X276" s="403"/>
      <c r="Y276" s="724"/>
      <c r="Z276" s="442"/>
      <c r="AA276" s="443"/>
      <c r="AB276" s="499"/>
      <c r="AC276" s="442"/>
      <c r="AD276" s="443"/>
      <c r="AE276" s="499"/>
    </row>
    <row r="277" spans="2:31" s="3" customFormat="1" ht="27.75" customHeight="1" thickBot="1">
      <c r="B277" s="367"/>
      <c r="C277" s="176"/>
      <c r="D277" s="669"/>
      <c r="E277" s="4" t="s">
        <v>481</v>
      </c>
      <c r="G277" s="725"/>
      <c r="H277" s="4" t="s">
        <v>481</v>
      </c>
      <c r="J277" s="725"/>
      <c r="K277" s="4" t="s">
        <v>481</v>
      </c>
      <c r="M277" s="725"/>
      <c r="N277" s="4" t="s">
        <v>481</v>
      </c>
      <c r="P277" s="725"/>
      <c r="Q277" s="4" t="s">
        <v>481</v>
      </c>
      <c r="S277" s="725"/>
      <c r="T277" s="4" t="s">
        <v>481</v>
      </c>
      <c r="V277" s="725"/>
      <c r="W277" s="4" t="s">
        <v>481</v>
      </c>
      <c r="Y277" s="725"/>
      <c r="Z277" s="59"/>
      <c r="AB277" s="764"/>
      <c r="AC277" s="59"/>
      <c r="AE277" s="764"/>
    </row>
    <row r="278" spans="2:31" s="3" customFormat="1" ht="28.5" customHeight="1">
      <c r="B278" s="367"/>
      <c r="C278" s="176"/>
      <c r="D278" s="434"/>
      <c r="E278" s="665" t="s">
        <v>498</v>
      </c>
      <c r="F278" s="407">
        <f>F272-X272</f>
        <v>46872.21628297478</v>
      </c>
      <c r="G278" s="721"/>
      <c r="H278" s="665" t="s">
        <v>498</v>
      </c>
      <c r="I278" s="407">
        <f>I272-X272</f>
        <v>38394.134504683214</v>
      </c>
      <c r="J278" s="721"/>
      <c r="K278" s="665" t="s">
        <v>498</v>
      </c>
      <c r="L278" s="407">
        <f>L272-X272</f>
        <v>28516.05272639163</v>
      </c>
      <c r="M278" s="721"/>
      <c r="N278" s="665" t="s">
        <v>498</v>
      </c>
      <c r="O278" s="407">
        <f>O272-X272</f>
        <v>22452.353481587503</v>
      </c>
      <c r="P278" s="721"/>
      <c r="Q278" s="665" t="s">
        <v>498</v>
      </c>
      <c r="R278" s="407">
        <f>R272-X272</f>
        <v>15798.93005895424</v>
      </c>
      <c r="S278" s="721"/>
      <c r="T278" s="665" t="s">
        <v>498</v>
      </c>
      <c r="U278" s="407">
        <f>U272-X272</f>
        <v>14798.93005895424</v>
      </c>
      <c r="V278" s="721"/>
      <c r="W278" s="665"/>
      <c r="X278" s="407"/>
      <c r="Y278" s="721"/>
      <c r="Z278" s="499"/>
      <c r="AA278" s="790"/>
      <c r="AB278" s="764"/>
      <c r="AC278" s="499"/>
      <c r="AD278" s="790"/>
      <c r="AE278" s="764"/>
    </row>
    <row r="279" spans="2:31" s="3" customFormat="1" ht="28.5" customHeight="1" thickBot="1">
      <c r="B279" s="367"/>
      <c r="C279" s="176"/>
      <c r="D279" s="434"/>
      <c r="E279" s="665" t="s">
        <v>499</v>
      </c>
      <c r="F279" s="408">
        <f>F278/X272</f>
        <v>0.6229537522361738</v>
      </c>
      <c r="G279" s="721"/>
      <c r="H279" s="665" t="s">
        <v>499</v>
      </c>
      <c r="I279" s="408">
        <f>I278/X272</f>
        <v>0.5102760665115021</v>
      </c>
      <c r="J279" s="721"/>
      <c r="K279" s="665" t="s">
        <v>499</v>
      </c>
      <c r="L279" s="408">
        <f>L278/X272</f>
        <v>0.378991723745793</v>
      </c>
      <c r="M279" s="721"/>
      <c r="N279" s="665" t="s">
        <v>499</v>
      </c>
      <c r="O279" s="408">
        <f>O278/X272</f>
        <v>0.2984023149971728</v>
      </c>
      <c r="P279" s="721"/>
      <c r="Q279" s="665" t="s">
        <v>499</v>
      </c>
      <c r="R279" s="408">
        <f>R278/X272</f>
        <v>0.20997519515878516</v>
      </c>
      <c r="S279" s="721"/>
      <c r="T279" s="665" t="s">
        <v>499</v>
      </c>
      <c r="U279" s="408">
        <f>U278/X272</f>
        <v>0.1966847258437584</v>
      </c>
      <c r="V279" s="721"/>
      <c r="W279" s="665"/>
      <c r="X279" s="408"/>
      <c r="Y279" s="721"/>
      <c r="Z279" s="499"/>
      <c r="AA279" s="443"/>
      <c r="AB279" s="766"/>
      <c r="AC279" s="499"/>
      <c r="AD279" s="443"/>
      <c r="AE279" s="766"/>
    </row>
    <row r="280" spans="4:31" ht="13.5" thickBot="1">
      <c r="D280" s="420"/>
      <c r="G280" s="705"/>
      <c r="J280" s="705"/>
      <c r="M280" s="705"/>
      <c r="P280" s="705"/>
      <c r="S280" s="705"/>
      <c r="V280" s="705"/>
      <c r="Y280" s="705"/>
      <c r="Z280" s="3"/>
      <c r="AA280" s="3"/>
      <c r="AB280" s="3"/>
      <c r="AC280" s="3"/>
      <c r="AD280" s="3"/>
      <c r="AE280" s="3"/>
    </row>
    <row r="281" spans="4:31" ht="17.25" thickBot="1" thickTop="1">
      <c r="D281" s="420"/>
      <c r="E281" s="853" t="s">
        <v>533</v>
      </c>
      <c r="F281" s="854"/>
      <c r="G281" s="705"/>
      <c r="H281" s="853" t="s">
        <v>533</v>
      </c>
      <c r="I281" s="854"/>
      <c r="J281" s="705"/>
      <c r="K281" s="853" t="s">
        <v>533</v>
      </c>
      <c r="L281" s="854"/>
      <c r="M281" s="705"/>
      <c r="N281" s="853" t="s">
        <v>533</v>
      </c>
      <c r="O281" s="854"/>
      <c r="P281" s="705"/>
      <c r="Q281" s="853" t="s">
        <v>533</v>
      </c>
      <c r="R281" s="854"/>
      <c r="S281" s="705"/>
      <c r="T281" s="853" t="s">
        <v>533</v>
      </c>
      <c r="U281" s="854"/>
      <c r="V281" s="705"/>
      <c r="W281" s="853" t="s">
        <v>533</v>
      </c>
      <c r="X281" s="854"/>
      <c r="Y281" s="705"/>
      <c r="Z281" s="3"/>
      <c r="AA281" s="3"/>
      <c r="AB281" s="3"/>
      <c r="AC281" s="3"/>
      <c r="AD281" s="3"/>
      <c r="AE281" s="3"/>
    </row>
    <row r="282" spans="1:31" ht="16.5" thickBot="1">
      <c r="A282" s="14"/>
      <c r="D282" s="420"/>
      <c r="E282" s="855" t="s">
        <v>534</v>
      </c>
      <c r="F282" s="856">
        <f>(E247+E248+E249+E250+E251+E252+E254)*0.5</f>
        <v>71177.92537744802</v>
      </c>
      <c r="G282" s="705"/>
      <c r="H282" s="855" t="s">
        <v>534</v>
      </c>
      <c r="I282" s="856">
        <f>(H247+H248+H249+H250+H251+H252+H254)*0.5</f>
        <v>65905.48646060002</v>
      </c>
      <c r="J282" s="705"/>
      <c r="K282" s="855" t="s">
        <v>534</v>
      </c>
      <c r="L282" s="856">
        <f>(K247+K248+K249+K250+K251+K252+K254)*0.5</f>
        <v>60633.047543752014</v>
      </c>
      <c r="M282" s="705"/>
      <c r="N282" s="855" t="s">
        <v>534</v>
      </c>
      <c r="O282" s="856">
        <f>(N247+N248+N249+N250+N251+N252+N254)*0.5</f>
        <v>56862.09030195841</v>
      </c>
      <c r="P282" s="705"/>
      <c r="Q282" s="855" t="s">
        <v>534</v>
      </c>
      <c r="R282" s="856">
        <f>(Q247+Q248+Q249+Q250+Q251+Q252+Q254)*0.5</f>
        <v>52724.389168480004</v>
      </c>
      <c r="S282" s="705"/>
      <c r="T282" s="855" t="s">
        <v>534</v>
      </c>
      <c r="U282" s="856">
        <f>(T247+T248+T249+T250+T251+T252+T254)*0.5</f>
        <v>52724.389168480004</v>
      </c>
      <c r="V282" s="705"/>
      <c r="W282" s="855" t="s">
        <v>534</v>
      </c>
      <c r="X282" s="856">
        <f>(W247+W248+W249+W250+W251+W252+W254)*0.5</f>
        <v>43521.0744552</v>
      </c>
      <c r="Y282" s="705"/>
      <c r="Z282" s="3"/>
      <c r="AA282" s="3"/>
      <c r="AB282" s="3"/>
      <c r="AC282" s="3"/>
      <c r="AD282" s="3"/>
      <c r="AE282" s="3"/>
    </row>
    <row r="283" spans="1:31" ht="16.5" thickBot="1">
      <c r="A283" s="14"/>
      <c r="D283" s="420"/>
      <c r="E283" s="857" t="s">
        <v>535</v>
      </c>
      <c r="F283" s="858"/>
      <c r="G283" s="705"/>
      <c r="H283" s="857" t="s">
        <v>535</v>
      </c>
      <c r="I283" s="858"/>
      <c r="J283" s="705"/>
      <c r="K283" s="857" t="s">
        <v>535</v>
      </c>
      <c r="L283" s="858"/>
      <c r="M283" s="705"/>
      <c r="N283" s="857" t="s">
        <v>535</v>
      </c>
      <c r="O283" s="858"/>
      <c r="P283" s="705"/>
      <c r="Q283" s="857" t="s">
        <v>535</v>
      </c>
      <c r="R283" s="858"/>
      <c r="S283" s="705"/>
      <c r="T283" s="857" t="s">
        <v>535</v>
      </c>
      <c r="U283" s="858"/>
      <c r="V283" s="705"/>
      <c r="W283" s="857" t="s">
        <v>535</v>
      </c>
      <c r="X283" s="858"/>
      <c r="Y283" s="705"/>
      <c r="Z283" s="3"/>
      <c r="AA283" s="3"/>
      <c r="AB283" s="3"/>
      <c r="AC283" s="3"/>
      <c r="AD283" s="3"/>
      <c r="AE283" s="3"/>
    </row>
    <row r="284" spans="1:31" ht="12.75">
      <c r="A284" s="14"/>
      <c r="D284" s="420"/>
      <c r="E284" s="859" t="s">
        <v>536</v>
      </c>
      <c r="F284" s="860">
        <f>F282*0.804</f>
        <v>57227.05200346821</v>
      </c>
      <c r="G284" s="705"/>
      <c r="H284" s="859" t="s">
        <v>536</v>
      </c>
      <c r="I284" s="860">
        <f>I282*0.804</f>
        <v>52988.01111432242</v>
      </c>
      <c r="J284" s="705"/>
      <c r="K284" s="859" t="s">
        <v>536</v>
      </c>
      <c r="L284" s="860">
        <f>L282*0.804</f>
        <v>48748.97022517662</v>
      </c>
      <c r="M284" s="705"/>
      <c r="N284" s="859" t="s">
        <v>536</v>
      </c>
      <c r="O284" s="860">
        <f>O282*0.804</f>
        <v>45717.120602774565</v>
      </c>
      <c r="P284" s="705"/>
      <c r="Q284" s="859" t="s">
        <v>536</v>
      </c>
      <c r="R284" s="860">
        <f>R282*0.804</f>
        <v>42390.408891457926</v>
      </c>
      <c r="S284" s="705"/>
      <c r="T284" s="859" t="s">
        <v>536</v>
      </c>
      <c r="U284" s="860">
        <f>U282*0.804</f>
        <v>42390.408891457926</v>
      </c>
      <c r="V284" s="705"/>
      <c r="W284" s="859" t="s">
        <v>536</v>
      </c>
      <c r="X284" s="860">
        <f>X282*0.804</f>
        <v>34990.943861980806</v>
      </c>
      <c r="Y284" s="705"/>
      <c r="Z284" s="3"/>
      <c r="AA284" s="3"/>
      <c r="AB284" s="3"/>
      <c r="AC284" s="3"/>
      <c r="AD284" s="3"/>
      <c r="AE284" s="3"/>
    </row>
    <row r="285" spans="1:31" ht="15.75">
      <c r="A285" s="14"/>
      <c r="D285" s="420"/>
      <c r="E285" s="861" t="s">
        <v>537</v>
      </c>
      <c r="F285" s="862"/>
      <c r="G285" s="705"/>
      <c r="H285" s="861" t="s">
        <v>537</v>
      </c>
      <c r="I285" s="862"/>
      <c r="J285" s="705"/>
      <c r="K285" s="861" t="s">
        <v>537</v>
      </c>
      <c r="L285" s="862"/>
      <c r="M285" s="705"/>
      <c r="N285" s="861" t="s">
        <v>537</v>
      </c>
      <c r="O285" s="862"/>
      <c r="P285" s="705"/>
      <c r="Q285" s="861" t="s">
        <v>537</v>
      </c>
      <c r="R285" s="862"/>
      <c r="S285" s="705"/>
      <c r="T285" s="861" t="s">
        <v>537</v>
      </c>
      <c r="U285" s="862"/>
      <c r="V285" s="705"/>
      <c r="W285" s="861" t="s">
        <v>537</v>
      </c>
      <c r="X285" s="862"/>
      <c r="Y285" s="705"/>
      <c r="Z285" s="3"/>
      <c r="AA285" s="3"/>
      <c r="AB285" s="3"/>
      <c r="AC285" s="3"/>
      <c r="AD285" s="3"/>
      <c r="AE285" s="3"/>
    </row>
    <row r="286" spans="1:31" ht="15.75">
      <c r="A286" s="14"/>
      <c r="D286" s="420"/>
      <c r="E286" s="861">
        <v>502</v>
      </c>
      <c r="F286" s="863">
        <f>-(E247+E248+E251+E249+E250+F264+E252+E254+F282)*0.16</f>
        <v>-34165.40418117506</v>
      </c>
      <c r="G286" s="705"/>
      <c r="H286" s="861">
        <v>502</v>
      </c>
      <c r="I286" s="863">
        <f>-(H247+H248+H251+H249+H250+I264+H252+H254+I282)*0.16</f>
        <v>-31634.63350108801</v>
      </c>
      <c r="J286" s="705"/>
      <c r="K286" s="861">
        <v>502</v>
      </c>
      <c r="L286" s="863">
        <f>-(K247+K248+K251+K249+K250+L264+K252+K254+L282)*0.16</f>
        <v>-29103.86282100097</v>
      </c>
      <c r="M286" s="705"/>
      <c r="N286" s="861">
        <v>502</v>
      </c>
      <c r="O286" s="863">
        <f>-(N247+N248+N251+N249+N250+O264+N252+N254+O282)*0.16</f>
        <v>-27293.803344940035</v>
      </c>
      <c r="P286" s="705"/>
      <c r="Q286" s="861">
        <v>502</v>
      </c>
      <c r="R286" s="863">
        <f>-(Q247+Q248+Q251+Q249+Q250+R264+Q252+Q254+R282)*0.16</f>
        <v>-25307.7068008704</v>
      </c>
      <c r="S286" s="705"/>
      <c r="T286" s="861">
        <v>502</v>
      </c>
      <c r="U286" s="863">
        <f>-(T247+T248+T251+T249+T250+U264+T252+T254+U282)*0.16</f>
        <v>-25307.7068008704</v>
      </c>
      <c r="V286" s="705"/>
      <c r="W286" s="861">
        <v>502</v>
      </c>
      <c r="X286" s="863">
        <f>-(W247+W248+W251+W249+W250+X264+W252+W254+X282)*0.16</f>
        <v>-20890.115738496002</v>
      </c>
      <c r="Y286" s="705"/>
      <c r="Z286" s="3"/>
      <c r="AA286" s="3"/>
      <c r="AB286" s="3"/>
      <c r="AC286" s="3"/>
      <c r="AD286" s="3"/>
      <c r="AE286" s="3"/>
    </row>
    <row r="287" spans="1:31" ht="15.75">
      <c r="A287" s="14"/>
      <c r="D287" s="420"/>
      <c r="E287" s="861">
        <v>504</v>
      </c>
      <c r="F287" s="863">
        <f>-(E247+E248+E251+E249+E250+F264+E252+E254+F282)*0.006</f>
        <v>-1281.2026567940645</v>
      </c>
      <c r="G287" s="705"/>
      <c r="H287" s="861">
        <v>504</v>
      </c>
      <c r="I287" s="863">
        <f>-(H247+H248+H251+H249+H250+I264+H252+H254+I282)*0.006</f>
        <v>-1186.2987562908004</v>
      </c>
      <c r="J287" s="705"/>
      <c r="K287" s="861">
        <v>504</v>
      </c>
      <c r="L287" s="863">
        <f>-(K247+K248+K251+K249+K250+L264+K252+K254+L282)*0.006</f>
        <v>-1091.3948557875362</v>
      </c>
      <c r="M287" s="705"/>
      <c r="N287" s="861">
        <v>504</v>
      </c>
      <c r="O287" s="863">
        <f>-(N247+N248+N251+N249+N250+O264+N252+N254+O282)*0.006</f>
        <v>-1023.5176254352514</v>
      </c>
      <c r="P287" s="705"/>
      <c r="Q287" s="861">
        <v>504</v>
      </c>
      <c r="R287" s="863">
        <f>-(Q247+Q248+Q251+Q249+Q250+R264+Q252+Q254+R282)*0.006</f>
        <v>-949.03900503264</v>
      </c>
      <c r="S287" s="705"/>
      <c r="T287" s="861">
        <v>504</v>
      </c>
      <c r="U287" s="863">
        <f>-(T247+T248+T251+T249+T250+U264+T252+T254+U282)*0.006</f>
        <v>-949.03900503264</v>
      </c>
      <c r="V287" s="705"/>
      <c r="W287" s="861">
        <v>504</v>
      </c>
      <c r="X287" s="863">
        <f>-(W247+W248+W251+W249+W250+X264+W252+W254+X282)*0.006</f>
        <v>-783.3793401936001</v>
      </c>
      <c r="Y287" s="705"/>
      <c r="Z287" s="3"/>
      <c r="AA287" s="3"/>
      <c r="AB287" s="3"/>
      <c r="AC287" s="3"/>
      <c r="AD287" s="3"/>
      <c r="AE287" s="3"/>
    </row>
    <row r="288" spans="1:31" ht="15.75">
      <c r="A288" s="14"/>
      <c r="D288" s="420"/>
      <c r="E288" s="861">
        <v>505</v>
      </c>
      <c r="F288" s="863">
        <f>-(E247+E248+E251+E249+E250+F264+E252+E254+F282)*0.03</f>
        <v>-6406.013283970323</v>
      </c>
      <c r="G288" s="705"/>
      <c r="H288" s="861">
        <v>505</v>
      </c>
      <c r="I288" s="863">
        <f>-(H247+H248+H251+H249+H250+I264+H252+H254+I282)*0.03</f>
        <v>-5931.493781454002</v>
      </c>
      <c r="J288" s="705"/>
      <c r="K288" s="861">
        <v>505</v>
      </c>
      <c r="L288" s="863">
        <f>-(K247+K248+K251+K249+K250+L264+K252+K254+L282)*0.03</f>
        <v>-5456.974278937681</v>
      </c>
      <c r="M288" s="705"/>
      <c r="N288" s="861">
        <v>505</v>
      </c>
      <c r="O288" s="863">
        <f>-(N247+N248+N251+N249+N250+O264+N252+N254+O282)*0.03</f>
        <v>-5117.588127176256</v>
      </c>
      <c r="P288" s="705"/>
      <c r="Q288" s="861">
        <v>505</v>
      </c>
      <c r="R288" s="863">
        <f>-(Q247+Q248+Q251+Q249+Q250+R264+Q252+Q254+R282)*0.03</f>
        <v>-4745.1950251632</v>
      </c>
      <c r="S288" s="705"/>
      <c r="T288" s="861">
        <v>505</v>
      </c>
      <c r="U288" s="863">
        <f>-(T247+T248+T251+T249+T250+U264+T252+T254+U282)*0.03</f>
        <v>-4745.1950251632</v>
      </c>
      <c r="V288" s="705"/>
      <c r="W288" s="861">
        <v>505</v>
      </c>
      <c r="X288" s="863">
        <f>-(W247+W248+W251+W249+W250+X264+W252+W254+X282)*0.03</f>
        <v>-3916.8967009680005</v>
      </c>
      <c r="Y288" s="705"/>
      <c r="Z288" s="3"/>
      <c r="AA288" s="3"/>
      <c r="AB288" s="3"/>
      <c r="AC288" s="3"/>
      <c r="AD288" s="3"/>
      <c r="AE288" s="3"/>
    </row>
    <row r="289" spans="1:31" ht="15.75">
      <c r="A289" s="14"/>
      <c r="D289" s="420"/>
      <c r="E289" s="864"/>
      <c r="F289" s="862"/>
      <c r="G289" s="705"/>
      <c r="H289" s="864"/>
      <c r="I289" s="862"/>
      <c r="J289" s="705"/>
      <c r="K289" s="864"/>
      <c r="L289" s="862"/>
      <c r="M289" s="705"/>
      <c r="N289" s="864"/>
      <c r="O289" s="862"/>
      <c r="P289" s="705"/>
      <c r="Q289" s="864"/>
      <c r="R289" s="862"/>
      <c r="S289" s="705"/>
      <c r="T289" s="864"/>
      <c r="U289" s="862"/>
      <c r="V289" s="705"/>
      <c r="W289" s="864"/>
      <c r="X289" s="862"/>
      <c r="Y289" s="705"/>
      <c r="Z289" s="3"/>
      <c r="AA289" s="3"/>
      <c r="AB289" s="3"/>
      <c r="AC289" s="3"/>
      <c r="AD289" s="3"/>
      <c r="AE289" s="3"/>
    </row>
    <row r="290" spans="1:31" ht="15.75" thickBot="1">
      <c r="A290" s="14"/>
      <c r="D290" s="420"/>
      <c r="E290" s="865" t="s">
        <v>538</v>
      </c>
      <c r="F290" s="866"/>
      <c r="G290" s="705"/>
      <c r="H290" s="865" t="s">
        <v>538</v>
      </c>
      <c r="I290" s="866"/>
      <c r="J290" s="705"/>
      <c r="K290" s="865" t="s">
        <v>538</v>
      </c>
      <c r="L290" s="866"/>
      <c r="M290" s="705"/>
      <c r="N290" s="865" t="s">
        <v>538</v>
      </c>
      <c r="O290" s="866"/>
      <c r="P290" s="705"/>
      <c r="Q290" s="865" t="s">
        <v>538</v>
      </c>
      <c r="R290" s="866"/>
      <c r="S290" s="705"/>
      <c r="T290" s="865" t="s">
        <v>538</v>
      </c>
      <c r="U290" s="866"/>
      <c r="V290" s="705"/>
      <c r="W290" s="865" t="s">
        <v>538</v>
      </c>
      <c r="X290" s="866"/>
      <c r="Y290" s="705"/>
      <c r="Z290" s="3"/>
      <c r="AA290" s="3"/>
      <c r="AB290" s="3"/>
      <c r="AC290" s="3"/>
      <c r="AD290" s="3"/>
      <c r="AE290" s="3"/>
    </row>
    <row r="291" spans="1:31" ht="16.5" thickBot="1">
      <c r="A291" s="14"/>
      <c r="D291" s="420"/>
      <c r="E291" s="865"/>
      <c r="F291" s="867">
        <f>E263+F282+F283+F286+F287+F288</f>
        <v>179341.15601040458</v>
      </c>
      <c r="G291" s="705"/>
      <c r="H291" s="865"/>
      <c r="I291" s="867">
        <f>H263+I282+I283+I286+I287+I288</f>
        <v>166624.03334296725</v>
      </c>
      <c r="J291" s="705"/>
      <c r="K291" s="865"/>
      <c r="L291" s="867">
        <f>K263+L282+L283+L286+L287+L288</f>
        <v>152506.91067552986</v>
      </c>
      <c r="M291" s="705"/>
      <c r="N291" s="865"/>
      <c r="O291" s="867">
        <f>N263+O282+O283+O286+O287+O288</f>
        <v>143411.36180832368</v>
      </c>
      <c r="P291" s="705"/>
      <c r="Q291" s="865"/>
      <c r="R291" s="867">
        <f>Q263+R282+R283+R286+R287+R288</f>
        <v>133431.22667437376</v>
      </c>
      <c r="S291" s="705"/>
      <c r="T291" s="865"/>
      <c r="U291" s="867">
        <f>T263+U282+U283+U286+U287+U288</f>
        <v>132431.22667437376</v>
      </c>
      <c r="V291" s="705"/>
      <c r="W291" s="865"/>
      <c r="X291" s="867">
        <f>W263+X282+X283+X286+X287+X288</f>
        <v>110232.8315859424</v>
      </c>
      <c r="Y291" s="705"/>
      <c r="Z291" s="3"/>
      <c r="AA291" s="3"/>
      <c r="AB291" s="3"/>
      <c r="AC291" s="3"/>
      <c r="AD291" s="3"/>
      <c r="AE291" s="3"/>
    </row>
    <row r="292" spans="1:31" ht="15.75">
      <c r="A292" s="14"/>
      <c r="D292" s="420"/>
      <c r="E292" s="868" t="s">
        <v>539</v>
      </c>
      <c r="F292" s="869"/>
      <c r="G292" s="705"/>
      <c r="H292" s="868" t="s">
        <v>539</v>
      </c>
      <c r="I292" s="869"/>
      <c r="J292" s="705"/>
      <c r="K292" s="868" t="s">
        <v>539</v>
      </c>
      <c r="L292" s="869"/>
      <c r="M292" s="705"/>
      <c r="N292" s="868" t="s">
        <v>539</v>
      </c>
      <c r="O292" s="869"/>
      <c r="P292" s="705"/>
      <c r="Q292" s="868" t="s">
        <v>539</v>
      </c>
      <c r="R292" s="869"/>
      <c r="S292" s="705"/>
      <c r="T292" s="868" t="s">
        <v>539</v>
      </c>
      <c r="U292" s="869"/>
      <c r="V292" s="705"/>
      <c r="W292" s="868" t="s">
        <v>539</v>
      </c>
      <c r="X292" s="869"/>
      <c r="Y292" s="705"/>
      <c r="Z292" s="3"/>
      <c r="AA292" s="3"/>
      <c r="AB292" s="3"/>
      <c r="AC292" s="3"/>
      <c r="AD292" s="3"/>
      <c r="AE292" s="3"/>
    </row>
    <row r="293" spans="1:31" ht="21" thickBot="1">
      <c r="A293" s="14"/>
      <c r="D293" s="420"/>
      <c r="E293" s="870"/>
      <c r="F293" s="872">
        <f>F291-F272+F268</f>
        <v>57227.05200346818</v>
      </c>
      <c r="G293" s="705"/>
      <c r="H293" s="870"/>
      <c r="I293" s="872">
        <f>I291-I272+I268</f>
        <v>52988.01111432242</v>
      </c>
      <c r="J293" s="705"/>
      <c r="K293" s="870"/>
      <c r="L293" s="872">
        <f>L291-L272+L268</f>
        <v>48748.970225176614</v>
      </c>
      <c r="M293" s="705"/>
      <c r="N293" s="870"/>
      <c r="O293" s="872">
        <f>O291-O272+O268</f>
        <v>45717.120602774565</v>
      </c>
      <c r="P293" s="705"/>
      <c r="Q293" s="870"/>
      <c r="R293" s="872">
        <f>R291-R272+R268</f>
        <v>42390.408891457904</v>
      </c>
      <c r="S293" s="705"/>
      <c r="T293" s="870"/>
      <c r="U293" s="872">
        <f>U291-U272+U268</f>
        <v>42390.408891457904</v>
      </c>
      <c r="V293" s="705"/>
      <c r="W293" s="870"/>
      <c r="X293" s="872">
        <f>X291-X272+X268</f>
        <v>34990.94386198079</v>
      </c>
      <c r="Y293" s="705"/>
      <c r="Z293" s="3"/>
      <c r="AA293" s="3"/>
      <c r="AB293" s="3"/>
      <c r="AC293" s="3"/>
      <c r="AD293" s="3"/>
      <c r="AE293" s="3"/>
    </row>
    <row r="294" spans="1:31" ht="13.5" thickTop="1">
      <c r="A294" s="14"/>
      <c r="D294" s="420"/>
      <c r="G294" s="705"/>
      <c r="J294" s="705"/>
      <c r="M294" s="705"/>
      <c r="P294" s="705"/>
      <c r="S294" s="705"/>
      <c r="V294" s="705"/>
      <c r="Y294" s="705"/>
      <c r="Z294" s="3"/>
      <c r="AA294" s="3"/>
      <c r="AB294" s="3"/>
      <c r="AC294" s="3"/>
      <c r="AD294" s="3"/>
      <c r="AE294" s="3"/>
    </row>
    <row r="295" spans="1:31" ht="30">
      <c r="A295" s="14"/>
      <c r="B295" s="96"/>
      <c r="C295" s="167"/>
      <c r="D295" s="437"/>
      <c r="E295" s="832">
        <v>44470</v>
      </c>
      <c r="F295" s="804">
        <v>0.1</v>
      </c>
      <c r="G295" s="806"/>
      <c r="H295" s="805">
        <v>44440</v>
      </c>
      <c r="I295" s="804">
        <v>0.1</v>
      </c>
      <c r="J295" s="806"/>
      <c r="K295" s="805">
        <v>44378</v>
      </c>
      <c r="L295" s="803">
        <v>0.07</v>
      </c>
      <c r="M295" s="676"/>
      <c r="N295" s="805">
        <v>44317</v>
      </c>
      <c r="O295" s="803">
        <v>0.08</v>
      </c>
      <c r="P295" s="676"/>
      <c r="Q295" s="849">
        <v>44256</v>
      </c>
      <c r="R295" s="850"/>
      <c r="S295" s="676"/>
      <c r="T295" s="726" t="s">
        <v>512</v>
      </c>
      <c r="U295" s="727"/>
      <c r="V295" s="676"/>
      <c r="W295" s="681" t="s">
        <v>504</v>
      </c>
      <c r="X295" s="682"/>
      <c r="Y295" s="676"/>
      <c r="Z295" s="767"/>
      <c r="AA295" s="767"/>
      <c r="AB295" s="770"/>
      <c r="AC295" s="769"/>
      <c r="AD295" s="770"/>
      <c r="AE295" s="770"/>
    </row>
    <row r="296" spans="1:31" ht="16.5" thickBot="1">
      <c r="A296" s="162" t="s">
        <v>370</v>
      </c>
      <c r="C296" s="7"/>
      <c r="D296" s="43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thickTop="1">
      <c r="A297" s="157" t="s">
        <v>10</v>
      </c>
      <c r="B297" s="158"/>
      <c r="C297" s="159"/>
      <c r="D297" s="438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3"/>
      <c r="AA297" s="3"/>
      <c r="AB297" s="3"/>
      <c r="AC297" s="3"/>
      <c r="AD297" s="3"/>
      <c r="AE297" s="3"/>
    </row>
    <row r="298" spans="1:31" ht="15">
      <c r="A298" s="160" t="s">
        <v>11</v>
      </c>
      <c r="B298" s="154"/>
      <c r="C298" s="156"/>
      <c r="D298" s="423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3"/>
      <c r="AA298" s="3"/>
      <c r="AB298" s="3"/>
      <c r="AC298" s="3"/>
      <c r="AD298" s="3"/>
      <c r="AE298" s="3"/>
    </row>
    <row r="299" spans="1:31" ht="15">
      <c r="A299" s="163" t="s">
        <v>356</v>
      </c>
      <c r="B299" s="154"/>
      <c r="C299" s="156"/>
      <c r="D299" s="423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3"/>
      <c r="AA299" s="3"/>
      <c r="AB299" s="3"/>
      <c r="AC299" s="3"/>
      <c r="AD299" s="3"/>
      <c r="AE299" s="3"/>
    </row>
    <row r="300" spans="1:31" ht="15.75" thickBot="1">
      <c r="A300" s="164" t="s">
        <v>12</v>
      </c>
      <c r="B300" s="175"/>
      <c r="C300" s="161"/>
      <c r="D300" s="43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3"/>
      <c r="AA300" s="3"/>
      <c r="AB300" s="3"/>
      <c r="AC300" s="3"/>
      <c r="AD300" s="3"/>
      <c r="AE300" s="3"/>
    </row>
    <row r="301" spans="1:31" ht="15.75" thickTop="1">
      <c r="A301" s="392" t="s">
        <v>475</v>
      </c>
      <c r="B301" s="393"/>
      <c r="C301" s="394"/>
      <c r="D301" s="440"/>
      <c r="E301" s="656"/>
      <c r="F301" s="656"/>
      <c r="G301" s="656"/>
      <c r="H301" s="656"/>
      <c r="I301" s="656"/>
      <c r="J301" s="656"/>
      <c r="K301" s="656"/>
      <c r="L301" s="656"/>
      <c r="M301" s="656"/>
      <c r="N301" s="656"/>
      <c r="O301" s="656"/>
      <c r="P301" s="656"/>
      <c r="Q301" s="656"/>
      <c r="R301" s="656"/>
      <c r="S301" s="656"/>
      <c r="T301" s="656"/>
      <c r="U301" s="656"/>
      <c r="V301" s="656"/>
      <c r="W301" s="656"/>
      <c r="X301" s="656"/>
      <c r="Y301" s="656"/>
      <c r="Z301" s="493"/>
      <c r="AA301" s="493"/>
      <c r="AB301" s="493"/>
      <c r="AC301" s="493"/>
      <c r="AD301" s="493"/>
      <c r="AE301" s="493"/>
    </row>
    <row r="302" spans="1:13" ht="12.75">
      <c r="A302" s="12"/>
      <c r="B302" s="12"/>
      <c r="C302" s="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12"/>
      <c r="B303" s="12"/>
      <c r="C303" s="5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ht="15.75">
      <c r="A304" s="12"/>
      <c r="B304" s="5"/>
      <c r="C304" s="118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0" ht="12.75">
      <c r="A305" s="12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.75">
      <c r="A306" s="12"/>
      <c r="B306" s="5"/>
      <c r="C306" s="14"/>
      <c r="D306" s="16"/>
      <c r="E306" s="16"/>
      <c r="F306" s="16"/>
      <c r="G306" s="16"/>
      <c r="H306" s="16"/>
      <c r="I306" s="16"/>
      <c r="J306" s="16"/>
    </row>
    <row r="307" spans="1:10" ht="18">
      <c r="A307" s="12"/>
      <c r="B307" s="18"/>
      <c r="C307" s="5"/>
      <c r="D307" s="12"/>
      <c r="E307" s="5"/>
      <c r="F307" s="5"/>
      <c r="G307" s="17"/>
      <c r="H307" s="5"/>
      <c r="I307" s="12"/>
      <c r="J307" s="5"/>
    </row>
    <row r="308" spans="1:10" ht="12.75">
      <c r="A308" s="12"/>
      <c r="B308" s="5"/>
      <c r="C308" s="5"/>
      <c r="D308" s="5"/>
      <c r="E308" s="5"/>
      <c r="F308" s="5"/>
      <c r="G308" s="12"/>
      <c r="H308" s="5"/>
      <c r="I308" s="12"/>
      <c r="J308" s="5"/>
    </row>
    <row r="309" spans="1:10" ht="12.75">
      <c r="A309" s="12"/>
      <c r="B309" s="5"/>
      <c r="C309" s="5"/>
      <c r="D309" s="5"/>
      <c r="E309" s="5"/>
      <c r="F309" s="5"/>
      <c r="G309" s="5"/>
      <c r="H309" s="5"/>
      <c r="I309" s="12"/>
      <c r="J309" s="5"/>
    </row>
    <row r="310" spans="1:10" ht="12.75">
      <c r="A310" s="12"/>
      <c r="B310" s="12"/>
      <c r="C310" s="5"/>
      <c r="D310" s="5"/>
      <c r="E310" s="5"/>
      <c r="F310" s="12"/>
      <c r="G310" s="5"/>
      <c r="H310" s="5"/>
      <c r="I310" s="5"/>
      <c r="J310" s="5"/>
    </row>
    <row r="311" spans="1:10" ht="12.75">
      <c r="A311" s="12"/>
      <c r="B311" s="12"/>
      <c r="C311" s="5"/>
      <c r="D311" s="5"/>
      <c r="E311" s="5"/>
      <c r="F311" s="12"/>
      <c r="G311" s="5"/>
      <c r="H311" s="5"/>
      <c r="I311" s="12"/>
      <c r="J311" s="5"/>
    </row>
    <row r="312" spans="1:10" ht="12.75">
      <c r="A312" s="12"/>
      <c r="B312" s="12"/>
      <c r="C312" s="5"/>
      <c r="D312" s="5"/>
      <c r="E312" s="5"/>
      <c r="F312" s="12"/>
      <c r="G312" s="5"/>
      <c r="H312" s="5"/>
      <c r="I312" s="13"/>
      <c r="J312" s="5"/>
    </row>
    <row r="313" spans="1:10" ht="12.75">
      <c r="A313" s="12"/>
      <c r="B313" s="12"/>
      <c r="C313" s="5"/>
      <c r="D313" s="5"/>
      <c r="E313" s="5"/>
      <c r="F313" s="12"/>
      <c r="G313" s="5"/>
      <c r="H313" s="5"/>
      <c r="I313" s="6"/>
      <c r="J313" s="5"/>
    </row>
    <row r="314" spans="1:10" ht="12.75">
      <c r="A314" s="12"/>
      <c r="B314" s="12"/>
      <c r="C314" s="5"/>
      <c r="D314" s="12"/>
      <c r="E314" s="5"/>
      <c r="F314" s="12"/>
      <c r="G314" s="5"/>
      <c r="H314" s="5"/>
      <c r="I314" s="13"/>
      <c r="J314" s="5"/>
    </row>
    <row r="315" spans="1:10" ht="12.75">
      <c r="A315" s="19"/>
      <c r="B315" s="13"/>
      <c r="C315" s="5"/>
      <c r="D315" s="12"/>
      <c r="E315" s="5"/>
      <c r="F315" s="19"/>
      <c r="G315" s="6"/>
      <c r="H315" s="5"/>
      <c r="I315" s="6"/>
      <c r="J315" s="5"/>
    </row>
    <row r="316" spans="1:10" ht="12.75">
      <c r="A316" s="5"/>
      <c r="B316" s="12"/>
      <c r="C316" s="5"/>
      <c r="D316" s="12"/>
      <c r="E316" s="5"/>
      <c r="F316" s="13"/>
      <c r="G316" s="6"/>
      <c r="H316" s="20"/>
      <c r="I316" s="6"/>
      <c r="J316" s="5"/>
    </row>
    <row r="317" spans="1:10" ht="12.75">
      <c r="A317" s="5"/>
      <c r="B317" s="12"/>
      <c r="C317" s="5"/>
      <c r="D317" s="5"/>
      <c r="E317" s="5"/>
      <c r="F317" s="13"/>
      <c r="G317" s="6"/>
      <c r="H317" s="6"/>
      <c r="I317" s="6"/>
      <c r="J317" s="5"/>
    </row>
    <row r="318" spans="1:10" ht="12.75">
      <c r="A318" s="5"/>
      <c r="B318" s="5"/>
      <c r="C318" s="5"/>
      <c r="D318" s="12"/>
      <c r="E318" s="5"/>
      <c r="F318" s="6"/>
      <c r="G318" s="6"/>
      <c r="H318" s="20"/>
      <c r="I318" s="5"/>
      <c r="J318" s="5"/>
    </row>
    <row r="319" spans="1:11" ht="12.75">
      <c r="A319" s="5"/>
      <c r="B319" s="5"/>
      <c r="C319" s="20"/>
      <c r="D319" s="13"/>
      <c r="E319" s="5"/>
      <c r="F319" s="6"/>
      <c r="G319" s="6"/>
      <c r="H319" s="6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13"/>
      <c r="G320" s="6"/>
      <c r="H320" s="6"/>
      <c r="I320" s="5"/>
      <c r="J320" s="5"/>
      <c r="K320" s="5"/>
    </row>
    <row r="321" spans="1:11" ht="12.75">
      <c r="A321" s="5"/>
      <c r="B321" s="5"/>
      <c r="C321" s="20"/>
      <c r="D321" s="13"/>
      <c r="E321" s="5"/>
      <c r="F321" s="5"/>
      <c r="G321" s="5"/>
      <c r="H321" s="13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12"/>
      <c r="J322" s="5"/>
      <c r="K322" s="5"/>
    </row>
    <row r="323" spans="1:11" ht="12.75">
      <c r="A323" s="5"/>
      <c r="B323" s="6"/>
      <c r="C323" s="5"/>
      <c r="D323" s="12"/>
      <c r="E323" s="5"/>
      <c r="F323" s="5"/>
      <c r="G323" s="5"/>
      <c r="H323" s="5"/>
      <c r="I323" s="12"/>
      <c r="J323" s="5"/>
      <c r="K323" s="5"/>
    </row>
    <row r="324" spans="1:11" ht="12.75">
      <c r="A324" s="5"/>
      <c r="B324" s="5"/>
      <c r="C324" s="5"/>
      <c r="D324" s="12"/>
      <c r="E324" s="5"/>
      <c r="F324" s="5"/>
      <c r="G324" s="5"/>
      <c r="H324" s="5"/>
      <c r="I324" s="12"/>
      <c r="J324" s="5"/>
      <c r="K324" s="5"/>
    </row>
    <row r="325" spans="1:11" ht="12.75">
      <c r="A325" s="12"/>
      <c r="B325" s="12"/>
      <c r="C325" s="5"/>
      <c r="D325" s="5"/>
      <c r="E325" s="5"/>
      <c r="F325" s="12"/>
      <c r="G325" s="12"/>
      <c r="H325" s="5"/>
      <c r="I325" s="5"/>
      <c r="J325" s="5"/>
      <c r="K325" s="5"/>
    </row>
    <row r="326" spans="1:11" ht="12.75">
      <c r="A326" s="12"/>
      <c r="B326" s="12"/>
      <c r="C326" s="5"/>
      <c r="D326" s="5"/>
      <c r="E326" s="5"/>
      <c r="F326" s="12"/>
      <c r="G326" s="12"/>
      <c r="H326" s="5"/>
      <c r="I326" s="12"/>
      <c r="J326" s="5"/>
      <c r="K326" s="5"/>
    </row>
    <row r="327" spans="1:11" ht="12.75">
      <c r="A327" s="12"/>
      <c r="B327" s="12"/>
      <c r="C327" s="5"/>
      <c r="D327" s="5"/>
      <c r="E327" s="5"/>
      <c r="F327" s="12"/>
      <c r="G327" s="12"/>
      <c r="H327" s="5"/>
      <c r="I327" s="12"/>
      <c r="J327" s="5"/>
      <c r="K327" s="5"/>
    </row>
    <row r="328" spans="1:11" ht="12.75">
      <c r="A328" s="12"/>
      <c r="B328" s="12"/>
      <c r="C328" s="5"/>
      <c r="D328" s="5"/>
      <c r="E328" s="5"/>
      <c r="F328" s="12"/>
      <c r="G328" s="12"/>
      <c r="H328" s="5"/>
      <c r="I328" s="5"/>
      <c r="J328" s="5"/>
      <c r="K328" s="5"/>
    </row>
    <row r="329" spans="1:11" ht="12.75">
      <c r="A329" s="12"/>
      <c r="B329" s="12"/>
      <c r="C329" s="5"/>
      <c r="D329" s="12"/>
      <c r="E329" s="5"/>
      <c r="F329" s="12"/>
      <c r="G329" s="12"/>
      <c r="H329" s="5"/>
      <c r="I329" s="12"/>
      <c r="J329" s="5"/>
      <c r="K329" s="5"/>
    </row>
    <row r="330" spans="1:11" ht="12.75">
      <c r="A330" s="19"/>
      <c r="B330" s="12"/>
      <c r="C330" s="5"/>
      <c r="D330" s="12"/>
      <c r="E330" s="5"/>
      <c r="F330" s="19"/>
      <c r="G330" s="12"/>
      <c r="H330" s="5"/>
      <c r="I330" s="5"/>
      <c r="J330" s="5"/>
      <c r="K330" s="5"/>
    </row>
    <row r="331" spans="1:11" ht="12.75">
      <c r="A331" s="5"/>
      <c r="B331" s="5"/>
      <c r="C331" s="5"/>
      <c r="D331" s="12"/>
      <c r="E331" s="5"/>
      <c r="F331" s="13"/>
      <c r="G331" s="5"/>
      <c r="H331" s="5"/>
      <c r="I331" s="5"/>
      <c r="J331" s="5"/>
      <c r="K331" s="5"/>
    </row>
    <row r="332" spans="1:11" ht="12.75">
      <c r="A332" s="5"/>
      <c r="B332" s="12"/>
      <c r="C332" s="5"/>
      <c r="D332" s="5"/>
      <c r="E332" s="5"/>
      <c r="F332" s="13"/>
      <c r="G332" s="12"/>
      <c r="H332" s="5"/>
      <c r="I332" s="5"/>
      <c r="J332" s="5"/>
      <c r="K332" s="5"/>
    </row>
    <row r="333" spans="1:11" ht="12.75">
      <c r="A333" s="5"/>
      <c r="B333" s="5"/>
      <c r="C333" s="5"/>
      <c r="D333" s="12"/>
      <c r="E333" s="5"/>
      <c r="F333" s="6"/>
      <c r="G333" s="12"/>
      <c r="H333" s="5"/>
      <c r="I333" s="5"/>
      <c r="J333" s="5"/>
      <c r="K333" s="5"/>
    </row>
    <row r="334" spans="1:11" ht="12.75">
      <c r="A334" s="5"/>
      <c r="B334" s="5"/>
      <c r="C334" s="20"/>
      <c r="D334" s="12"/>
      <c r="E334" s="5"/>
      <c r="F334" s="6"/>
      <c r="G334" s="5"/>
      <c r="H334" s="6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13"/>
      <c r="G335" s="6"/>
      <c r="H335" s="5"/>
      <c r="I335" s="5"/>
      <c r="J335" s="5"/>
      <c r="K335" s="5"/>
    </row>
    <row r="336" spans="1:11" ht="12.75">
      <c r="A336" s="5"/>
      <c r="B336" s="5"/>
      <c r="C336" s="20"/>
      <c r="D336" s="12"/>
      <c r="E336" s="5"/>
      <c r="F336" s="13"/>
      <c r="G336" s="6"/>
      <c r="H336" s="13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13"/>
      <c r="G337" s="6"/>
      <c r="H337" s="13"/>
      <c r="I337" s="5"/>
      <c r="J337" s="5"/>
      <c r="K337" s="5"/>
    </row>
    <row r="338" spans="1:11" ht="12.75">
      <c r="A338" s="5"/>
      <c r="B338" s="6"/>
      <c r="C338" s="5"/>
      <c r="D338" s="5"/>
      <c r="E338" s="5"/>
      <c r="F338" s="5"/>
      <c r="G338" s="5"/>
      <c r="H338" s="13"/>
      <c r="I338" s="12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12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12"/>
      <c r="J340" s="5"/>
      <c r="K340" s="5"/>
    </row>
    <row r="341" spans="1:11" ht="12.75">
      <c r="A341" s="12"/>
      <c r="B341" s="12"/>
      <c r="C341" s="5"/>
      <c r="D341" s="5"/>
      <c r="E341" s="5"/>
      <c r="F341" s="12"/>
      <c r="G341" s="12"/>
      <c r="H341" s="5"/>
      <c r="I341" s="5"/>
      <c r="J341" s="5"/>
      <c r="K341" s="5"/>
    </row>
    <row r="342" spans="1:11" ht="12.75">
      <c r="A342" s="12"/>
      <c r="B342" s="12"/>
      <c r="C342" s="5"/>
      <c r="D342" s="5"/>
      <c r="E342" s="5"/>
      <c r="F342" s="12"/>
      <c r="G342" s="12"/>
      <c r="H342" s="5"/>
      <c r="I342" s="12"/>
      <c r="J342" s="5"/>
      <c r="K342" s="5"/>
    </row>
    <row r="343" spans="1:11" ht="12.75">
      <c r="A343" s="12"/>
      <c r="B343" s="12"/>
      <c r="C343" s="5"/>
      <c r="D343" s="5"/>
      <c r="E343" s="5"/>
      <c r="F343" s="12"/>
      <c r="G343" s="12"/>
      <c r="H343" s="5"/>
      <c r="I343" s="12"/>
      <c r="J343" s="5"/>
      <c r="K343" s="5"/>
    </row>
    <row r="344" spans="1:11" ht="12.75">
      <c r="A344" s="12"/>
      <c r="B344" s="12"/>
      <c r="C344" s="5"/>
      <c r="D344" s="5"/>
      <c r="E344" s="5"/>
      <c r="F344" s="12"/>
      <c r="G344" s="12"/>
      <c r="H344" s="5"/>
      <c r="I344" s="5"/>
      <c r="J344" s="5"/>
      <c r="K344" s="5"/>
    </row>
    <row r="345" spans="1:11" ht="12.75">
      <c r="A345" s="12"/>
      <c r="B345" s="12"/>
      <c r="C345" s="5"/>
      <c r="D345" s="12"/>
      <c r="E345" s="5"/>
      <c r="F345" s="12"/>
      <c r="G345" s="12"/>
      <c r="H345" s="5"/>
      <c r="I345" s="12"/>
      <c r="J345" s="5"/>
      <c r="K345" s="5"/>
    </row>
    <row r="346" spans="1:11" ht="12.75">
      <c r="A346" s="19"/>
      <c r="B346" s="12"/>
      <c r="C346" s="5"/>
      <c r="D346" s="12"/>
      <c r="E346" s="5"/>
      <c r="F346" s="19"/>
      <c r="G346" s="12"/>
      <c r="H346" s="5"/>
      <c r="I346" s="5"/>
      <c r="J346" s="5"/>
      <c r="K346" s="5"/>
    </row>
    <row r="347" spans="1:11" ht="12.75">
      <c r="A347" s="5"/>
      <c r="B347" s="5"/>
      <c r="C347" s="5"/>
      <c r="D347" s="12"/>
      <c r="E347" s="5"/>
      <c r="F347" s="13"/>
      <c r="G347" s="5"/>
      <c r="H347" s="20"/>
      <c r="I347" s="5"/>
      <c r="J347" s="5"/>
      <c r="K347" s="5"/>
    </row>
    <row r="348" spans="1:11" ht="12.75">
      <c r="A348" s="5"/>
      <c r="B348" s="12"/>
      <c r="C348" s="5"/>
      <c r="D348" s="5"/>
      <c r="E348" s="5"/>
      <c r="F348" s="13"/>
      <c r="G348" s="12"/>
      <c r="H348" s="6"/>
      <c r="I348" s="5"/>
      <c r="J348" s="5"/>
      <c r="K348" s="5"/>
    </row>
    <row r="349" spans="1:11" ht="12.75">
      <c r="A349" s="5"/>
      <c r="B349" s="5"/>
      <c r="C349" s="5"/>
      <c r="D349" s="12"/>
      <c r="E349" s="5"/>
      <c r="F349" s="6"/>
      <c r="G349" s="12"/>
      <c r="H349" s="20"/>
      <c r="I349" s="5"/>
      <c r="J349" s="5"/>
      <c r="K349" s="5"/>
    </row>
    <row r="350" spans="1:11" ht="12.75">
      <c r="A350" s="5"/>
      <c r="B350" s="5"/>
      <c r="C350" s="20"/>
      <c r="D350" s="12"/>
      <c r="E350" s="5"/>
      <c r="F350" s="6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13"/>
      <c r="G351" s="5"/>
      <c r="H351" s="5"/>
      <c r="I351" s="5"/>
      <c r="J351" s="5"/>
      <c r="K351" s="5"/>
    </row>
    <row r="352" spans="1:11" ht="12.75">
      <c r="A352" s="5"/>
      <c r="B352" s="5"/>
      <c r="C352" s="20"/>
      <c r="D352" s="12"/>
      <c r="E352" s="5"/>
      <c r="F352" s="5"/>
      <c r="G352" s="5"/>
      <c r="H352" s="12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9" ht="12.75">
      <c r="A354" s="5"/>
      <c r="B354" s="5"/>
      <c r="C354" s="5"/>
      <c r="D354" s="5"/>
      <c r="E354" s="5"/>
      <c r="F354" s="5"/>
      <c r="G354" s="5"/>
      <c r="H354" s="5"/>
      <c r="I354" s="5"/>
    </row>
    <row r="355" spans="1:8" ht="12.75">
      <c r="A355" s="5"/>
      <c r="B355" s="5"/>
      <c r="C355" s="5"/>
      <c r="D355" s="5"/>
      <c r="E355" s="5"/>
      <c r="F355" s="5"/>
      <c r="G355" s="5"/>
      <c r="H355" s="5"/>
    </row>
    <row r="356" spans="1:8" ht="12.75">
      <c r="A356" s="5"/>
      <c r="B356" s="5"/>
      <c r="C356" s="5"/>
      <c r="D356" s="5"/>
      <c r="E356" s="5"/>
      <c r="F356" s="5"/>
      <c r="G356" s="5"/>
      <c r="H356" s="5"/>
    </row>
    <row r="357" spans="1:8" ht="12.75">
      <c r="A357" s="5"/>
      <c r="B357" s="5"/>
      <c r="C357" s="5"/>
      <c r="D357" s="5"/>
      <c r="E357" s="5"/>
      <c r="F357" s="5"/>
      <c r="G357" s="5"/>
      <c r="H357" s="5"/>
    </row>
    <row r="358" spans="3:8" ht="12.75">
      <c r="C358" s="5"/>
      <c r="D358" s="5"/>
      <c r="E358" s="5"/>
      <c r="H358" s="5"/>
    </row>
    <row r="359" spans="3:5" ht="12.75">
      <c r="C359" s="5"/>
      <c r="D359" s="5"/>
      <c r="E359" s="5"/>
    </row>
    <row r="360" spans="3:5" ht="12.75">
      <c r="C360" s="5"/>
      <c r="D360" s="5"/>
      <c r="E360" s="5"/>
    </row>
    <row r="361" spans="3:5" ht="12.75">
      <c r="C361" s="5"/>
      <c r="D361" s="5"/>
      <c r="E361" s="5"/>
    </row>
  </sheetData>
  <sheetProtection password="DFB3" sheet="1" selectLockedCells="1"/>
  <hyperlinks>
    <hyperlink ref="A300" r:id="rId1" display="www.agmeruruguay.com.ar"/>
    <hyperlink ref="A6" location="Cargos!A1" display="Cargos"/>
    <hyperlink ref="A299" r:id="rId2" display="victorhutt@victorhutt.com.ar"/>
    <hyperlink ref="A301" r:id="rId3" display="www.facebook.com/agmeruruguay-188015884570012/"/>
  </hyperlinks>
  <printOptions/>
  <pageMargins left="0.7874015748031497" right="0.7874015748031497" top="0.5905511811023623" bottom="0.5905511811023623" header="0.5905511811023623" footer="0"/>
  <pageSetup horizontalDpi="360" verticalDpi="360" orientation="landscape" paperSize="5" scale="82" r:id="rId6"/>
  <rowBreaks count="1" manualBreakCount="1">
    <brk id="139" max="255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345"/>
  <sheetViews>
    <sheetView zoomScalePageLayoutView="0" workbookViewId="0" topLeftCell="A1">
      <pane xSplit="2" ySplit="2" topLeftCell="C2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7.7109375" style="0" bestFit="1" customWidth="1"/>
    <col min="2" max="2" width="51.8515625" style="0" customWidth="1"/>
    <col min="3" max="3" width="8.7109375" style="0" bestFit="1" customWidth="1"/>
    <col min="4" max="4" width="14.28125" style="381" hidden="1" customWidth="1"/>
    <col min="5" max="5" width="19.57421875" style="145" hidden="1" customWidth="1"/>
    <col min="6" max="6" width="23.00390625" style="145" hidden="1" customWidth="1"/>
    <col min="7" max="8" width="18.7109375" style="145" hidden="1" customWidth="1"/>
    <col min="9" max="9" width="13.8515625" style="362" hidden="1" customWidth="1"/>
    <col min="10" max="10" width="14.421875" style="304" hidden="1" customWidth="1"/>
    <col min="11" max="11" width="13.00390625" style="304" hidden="1" customWidth="1"/>
    <col min="12" max="12" width="18.00390625" style="304" customWidth="1"/>
    <col min="13" max="13" width="12.421875" style="304" hidden="1" customWidth="1"/>
    <col min="14" max="14" width="12.421875" style="304" customWidth="1"/>
    <col min="15" max="15" width="13.28125" style="145" customWidth="1"/>
    <col min="16" max="16" width="7.00390625" style="0" customWidth="1"/>
    <col min="17" max="17" width="6.00390625" style="0" customWidth="1"/>
    <col min="18" max="18" width="8.57421875" style="0" customWidth="1"/>
  </cols>
  <sheetData>
    <row r="1" spans="1:19" ht="13.5" thickBot="1">
      <c r="A1" s="21"/>
      <c r="B1" s="132" t="s">
        <v>350</v>
      </c>
      <c r="C1" s="22"/>
      <c r="D1" s="377"/>
      <c r="E1" s="142" t="s">
        <v>13</v>
      </c>
      <c r="F1" s="142"/>
      <c r="G1" s="142"/>
      <c r="H1" s="142"/>
      <c r="I1" s="142"/>
      <c r="J1" s="301"/>
      <c r="K1" s="301"/>
      <c r="L1" s="301"/>
      <c r="M1" s="301"/>
      <c r="N1" s="301"/>
      <c r="O1" s="142"/>
      <c r="P1" s="23" t="s">
        <v>14</v>
      </c>
      <c r="Q1" s="24" t="s">
        <v>15</v>
      </c>
      <c r="R1" s="24" t="s">
        <v>16</v>
      </c>
      <c r="S1" s="282" t="s">
        <v>387</v>
      </c>
    </row>
    <row r="2" spans="1:19" ht="12.75">
      <c r="A2" s="25" t="s">
        <v>17</v>
      </c>
      <c r="B2" s="26" t="s">
        <v>18</v>
      </c>
      <c r="C2" s="25" t="s">
        <v>19</v>
      </c>
      <c r="D2" s="378" t="s">
        <v>395</v>
      </c>
      <c r="E2" s="143" t="s">
        <v>367</v>
      </c>
      <c r="F2" s="300" t="s">
        <v>408</v>
      </c>
      <c r="G2" s="300" t="s">
        <v>432</v>
      </c>
      <c r="H2" s="389" t="s">
        <v>468</v>
      </c>
      <c r="I2" s="143" t="s">
        <v>389</v>
      </c>
      <c r="J2" s="302" t="s">
        <v>375</v>
      </c>
      <c r="K2" s="302" t="s">
        <v>429</v>
      </c>
      <c r="L2" s="390" t="s">
        <v>474</v>
      </c>
      <c r="M2" s="302" t="s">
        <v>430</v>
      </c>
      <c r="N2" s="302" t="s">
        <v>473</v>
      </c>
      <c r="O2" s="143" t="s">
        <v>467</v>
      </c>
      <c r="P2" s="27" t="s">
        <v>20</v>
      </c>
      <c r="Q2" s="27" t="s">
        <v>21</v>
      </c>
      <c r="R2" s="27" t="s">
        <v>22</v>
      </c>
      <c r="S2" s="283" t="s">
        <v>388</v>
      </c>
    </row>
    <row r="3" spans="1:19" ht="12.75">
      <c r="A3" s="28">
        <v>461</v>
      </c>
      <c r="B3" s="29" t="s">
        <v>461</v>
      </c>
      <c r="C3" s="28">
        <v>2220</v>
      </c>
      <c r="D3" s="379"/>
      <c r="E3" s="144"/>
      <c r="F3" s="193"/>
      <c r="G3" s="193">
        <v>7</v>
      </c>
      <c r="H3" s="193">
        <v>7</v>
      </c>
      <c r="I3" s="359"/>
      <c r="J3" s="303"/>
      <c r="K3" s="303"/>
      <c r="L3" s="303">
        <v>7</v>
      </c>
      <c r="M3" s="303">
        <v>521.4</v>
      </c>
      <c r="N3" s="386">
        <f>M3</f>
        <v>521.4</v>
      </c>
      <c r="O3" s="192">
        <f aca="true" t="shared" si="0" ref="O3:O66">C3+G3+M3</f>
        <v>2748.4</v>
      </c>
      <c r="P3" s="30">
        <v>0</v>
      </c>
      <c r="Q3" s="28">
        <v>0</v>
      </c>
      <c r="R3" s="28">
        <v>0</v>
      </c>
      <c r="S3" s="280"/>
    </row>
    <row r="4" spans="1:19" ht="12.75">
      <c r="A4" s="28">
        <v>462</v>
      </c>
      <c r="B4" s="29" t="s">
        <v>461</v>
      </c>
      <c r="C4" s="28">
        <v>2220</v>
      </c>
      <c r="D4" s="379"/>
      <c r="E4" s="144"/>
      <c r="F4" s="193"/>
      <c r="G4" s="193">
        <v>7</v>
      </c>
      <c r="H4" s="193">
        <v>7</v>
      </c>
      <c r="I4" s="359"/>
      <c r="J4" s="303"/>
      <c r="K4" s="303"/>
      <c r="L4" s="303">
        <v>7</v>
      </c>
      <c r="M4" s="303">
        <v>521.4</v>
      </c>
      <c r="N4" s="386">
        <f aca="true" t="shared" si="1" ref="N4:N67">M4</f>
        <v>521.4</v>
      </c>
      <c r="O4" s="192">
        <f t="shared" si="0"/>
        <v>2748.4</v>
      </c>
      <c r="P4" s="30">
        <v>0</v>
      </c>
      <c r="Q4" s="28">
        <v>0</v>
      </c>
      <c r="R4" s="28">
        <v>0</v>
      </c>
      <c r="S4" s="280"/>
    </row>
    <row r="5" spans="1:19" ht="12.75">
      <c r="A5" s="28">
        <v>470</v>
      </c>
      <c r="B5" s="29" t="s">
        <v>462</v>
      </c>
      <c r="C5" s="28">
        <v>1580</v>
      </c>
      <c r="D5" s="379"/>
      <c r="E5" s="144"/>
      <c r="F5" s="193"/>
      <c r="G5" s="193">
        <v>90</v>
      </c>
      <c r="H5" s="193">
        <v>90</v>
      </c>
      <c r="I5" s="359"/>
      <c r="J5" s="303"/>
      <c r="K5" s="303"/>
      <c r="L5" s="303">
        <v>90</v>
      </c>
      <c r="M5" s="303">
        <v>347.6</v>
      </c>
      <c r="N5" s="386">
        <f t="shared" si="1"/>
        <v>347.6</v>
      </c>
      <c r="O5" s="192">
        <f t="shared" si="0"/>
        <v>2017.6</v>
      </c>
      <c r="P5" s="30">
        <v>0</v>
      </c>
      <c r="Q5" s="28">
        <v>0</v>
      </c>
      <c r="R5" s="28">
        <v>0</v>
      </c>
      <c r="S5" s="280"/>
    </row>
    <row r="6" spans="1:19" ht="12.75">
      <c r="A6" s="28">
        <v>600</v>
      </c>
      <c r="B6" s="29" t="s">
        <v>23</v>
      </c>
      <c r="C6" s="28">
        <v>1300</v>
      </c>
      <c r="D6" s="379">
        <v>127</v>
      </c>
      <c r="E6" s="144">
        <v>127</v>
      </c>
      <c r="F6" s="193">
        <v>127</v>
      </c>
      <c r="G6" s="193">
        <v>127</v>
      </c>
      <c r="H6" s="193">
        <v>127</v>
      </c>
      <c r="I6" s="359">
        <f aca="true" t="shared" si="2" ref="I6:I69">A6</f>
        <v>600</v>
      </c>
      <c r="J6" s="303">
        <v>0</v>
      </c>
      <c r="K6" s="303">
        <v>0</v>
      </c>
      <c r="L6" s="303">
        <v>127</v>
      </c>
      <c r="M6" s="303">
        <v>0</v>
      </c>
      <c r="N6" s="386">
        <f t="shared" si="1"/>
        <v>0</v>
      </c>
      <c r="O6" s="192">
        <f t="shared" si="0"/>
        <v>1427</v>
      </c>
      <c r="P6" s="30">
        <v>0</v>
      </c>
      <c r="Q6" s="28">
        <v>0</v>
      </c>
      <c r="R6" s="28">
        <v>0</v>
      </c>
      <c r="S6" s="280"/>
    </row>
    <row r="7" spans="1:19" ht="12.75">
      <c r="A7" s="28">
        <v>603</v>
      </c>
      <c r="B7" s="29" t="s">
        <v>24</v>
      </c>
      <c r="C7" s="28">
        <v>3146</v>
      </c>
      <c r="D7" s="379">
        <v>0</v>
      </c>
      <c r="E7" s="144">
        <v>0</v>
      </c>
      <c r="F7" s="193">
        <v>0</v>
      </c>
      <c r="G7" s="193">
        <v>0</v>
      </c>
      <c r="H7" s="193">
        <v>0</v>
      </c>
      <c r="I7" s="359">
        <f t="shared" si="2"/>
        <v>603</v>
      </c>
      <c r="J7" s="303">
        <v>0</v>
      </c>
      <c r="K7" s="303">
        <v>0</v>
      </c>
      <c r="L7" s="303">
        <v>0</v>
      </c>
      <c r="M7" s="303">
        <v>0</v>
      </c>
      <c r="N7" s="386">
        <f t="shared" si="1"/>
        <v>0</v>
      </c>
      <c r="O7" s="192">
        <f t="shared" si="0"/>
        <v>3146</v>
      </c>
      <c r="P7" s="30">
        <v>0</v>
      </c>
      <c r="Q7" s="28">
        <v>0</v>
      </c>
      <c r="R7" s="28">
        <v>0</v>
      </c>
      <c r="S7" s="280"/>
    </row>
    <row r="8" spans="1:19" ht="12.75">
      <c r="A8" s="28">
        <v>604</v>
      </c>
      <c r="B8" s="29" t="s">
        <v>376</v>
      </c>
      <c r="C8" s="28">
        <v>1610</v>
      </c>
      <c r="D8" s="379">
        <v>87</v>
      </c>
      <c r="E8" s="144">
        <v>87</v>
      </c>
      <c r="F8" s="193">
        <v>87</v>
      </c>
      <c r="G8" s="193">
        <v>87</v>
      </c>
      <c r="H8" s="193">
        <v>87</v>
      </c>
      <c r="I8" s="359">
        <f t="shared" si="2"/>
        <v>604</v>
      </c>
      <c r="J8" s="303">
        <v>388.2</v>
      </c>
      <c r="K8" s="303">
        <v>388.2</v>
      </c>
      <c r="L8" s="303">
        <v>87</v>
      </c>
      <c r="M8" s="303">
        <v>388.2</v>
      </c>
      <c r="N8" s="386">
        <f t="shared" si="1"/>
        <v>388.2</v>
      </c>
      <c r="O8" s="192">
        <f t="shared" si="0"/>
        <v>2085.2</v>
      </c>
      <c r="P8" s="30">
        <v>0</v>
      </c>
      <c r="Q8" s="28">
        <v>0</v>
      </c>
      <c r="R8" s="28">
        <v>0</v>
      </c>
      <c r="S8" s="280"/>
    </row>
    <row r="9" spans="1:21" ht="12.75">
      <c r="A9" s="28">
        <v>605</v>
      </c>
      <c r="B9" s="29" t="s">
        <v>25</v>
      </c>
      <c r="C9" s="28">
        <v>2913</v>
      </c>
      <c r="D9" s="379">
        <v>0</v>
      </c>
      <c r="E9" s="144">
        <v>0</v>
      </c>
      <c r="F9" s="193">
        <v>0</v>
      </c>
      <c r="G9" s="193">
        <v>0</v>
      </c>
      <c r="H9" s="193">
        <v>0</v>
      </c>
      <c r="I9" s="359">
        <f t="shared" si="2"/>
        <v>605</v>
      </c>
      <c r="J9" s="303">
        <v>776.4</v>
      </c>
      <c r="K9" s="303">
        <v>776.4</v>
      </c>
      <c r="L9" s="303">
        <v>0</v>
      </c>
      <c r="M9" s="303">
        <v>776</v>
      </c>
      <c r="N9" s="386">
        <f t="shared" si="1"/>
        <v>776</v>
      </c>
      <c r="O9" s="192">
        <f t="shared" si="0"/>
        <v>3689</v>
      </c>
      <c r="P9" s="30">
        <v>0</v>
      </c>
      <c r="Q9" s="28">
        <v>0</v>
      </c>
      <c r="R9" s="28">
        <v>0</v>
      </c>
      <c r="S9" s="280"/>
      <c r="U9">
        <v>233</v>
      </c>
    </row>
    <row r="10" spans="1:19" ht="12.75">
      <c r="A10" s="28">
        <v>606</v>
      </c>
      <c r="B10" s="29" t="s">
        <v>26</v>
      </c>
      <c r="C10" s="28">
        <v>2913</v>
      </c>
      <c r="D10" s="379">
        <v>0</v>
      </c>
      <c r="E10" s="144">
        <v>0</v>
      </c>
      <c r="F10" s="193">
        <v>0</v>
      </c>
      <c r="G10" s="193">
        <v>0</v>
      </c>
      <c r="H10" s="193">
        <v>0</v>
      </c>
      <c r="I10" s="359">
        <f t="shared" si="2"/>
        <v>606</v>
      </c>
      <c r="J10" s="303">
        <v>0</v>
      </c>
      <c r="K10" s="303">
        <v>0</v>
      </c>
      <c r="L10" s="303">
        <v>0</v>
      </c>
      <c r="M10" s="303">
        <v>0</v>
      </c>
      <c r="N10" s="386">
        <f t="shared" si="1"/>
        <v>0</v>
      </c>
      <c r="O10" s="192">
        <f t="shared" si="0"/>
        <v>2913</v>
      </c>
      <c r="P10" s="30">
        <v>0</v>
      </c>
      <c r="Q10" s="28">
        <v>0</v>
      </c>
      <c r="R10" s="28">
        <v>0</v>
      </c>
      <c r="S10" s="280"/>
    </row>
    <row r="11" spans="1:19" ht="12.75">
      <c r="A11" s="28">
        <v>608</v>
      </c>
      <c r="B11" s="29" t="s">
        <v>27</v>
      </c>
      <c r="C11" s="28">
        <v>2913</v>
      </c>
      <c r="D11" s="379">
        <v>0</v>
      </c>
      <c r="E11" s="144">
        <v>0</v>
      </c>
      <c r="F11" s="193">
        <v>0</v>
      </c>
      <c r="G11" s="193">
        <v>0</v>
      </c>
      <c r="H11" s="193">
        <v>0</v>
      </c>
      <c r="I11" s="359">
        <f t="shared" si="2"/>
        <v>608</v>
      </c>
      <c r="J11" s="303">
        <v>0</v>
      </c>
      <c r="K11" s="303">
        <v>0</v>
      </c>
      <c r="L11" s="303">
        <v>0</v>
      </c>
      <c r="M11" s="303">
        <v>0</v>
      </c>
      <c r="N11" s="386">
        <f t="shared" si="1"/>
        <v>0</v>
      </c>
      <c r="O11" s="192">
        <f t="shared" si="0"/>
        <v>2913</v>
      </c>
      <c r="P11" s="30">
        <v>0</v>
      </c>
      <c r="Q11" s="28">
        <v>0</v>
      </c>
      <c r="R11" s="28">
        <v>0</v>
      </c>
      <c r="S11" s="280"/>
    </row>
    <row r="12" spans="1:21" ht="12.75">
      <c r="A12" s="28">
        <v>609</v>
      </c>
      <c r="B12" s="29" t="s">
        <v>28</v>
      </c>
      <c r="C12" s="28">
        <v>2000</v>
      </c>
      <c r="D12" s="379">
        <v>36</v>
      </c>
      <c r="E12" s="144">
        <v>36</v>
      </c>
      <c r="F12" s="193">
        <v>36</v>
      </c>
      <c r="G12" s="193">
        <v>36</v>
      </c>
      <c r="H12" s="193">
        <v>36</v>
      </c>
      <c r="I12" s="359">
        <f t="shared" si="2"/>
        <v>609</v>
      </c>
      <c r="J12" s="303">
        <v>647</v>
      </c>
      <c r="K12" s="303">
        <v>647</v>
      </c>
      <c r="L12" s="303">
        <v>36</v>
      </c>
      <c r="M12" s="303">
        <v>647</v>
      </c>
      <c r="N12" s="386">
        <f t="shared" si="1"/>
        <v>647</v>
      </c>
      <c r="O12" s="192">
        <f t="shared" si="0"/>
        <v>2683</v>
      </c>
      <c r="P12" s="30">
        <v>0</v>
      </c>
      <c r="Q12" s="28">
        <v>0</v>
      </c>
      <c r="R12" s="28">
        <v>0</v>
      </c>
      <c r="S12" s="280"/>
      <c r="U12">
        <f>452.9*0.3</f>
        <v>135.86999999999998</v>
      </c>
    </row>
    <row r="13" spans="1:21" ht="12.75">
      <c r="A13" s="28">
        <v>611</v>
      </c>
      <c r="B13" s="29" t="s">
        <v>29</v>
      </c>
      <c r="C13" s="28">
        <v>1840</v>
      </c>
      <c r="D13" s="379">
        <v>57</v>
      </c>
      <c r="E13" s="144">
        <v>57</v>
      </c>
      <c r="F13" s="193">
        <v>57</v>
      </c>
      <c r="G13" s="193">
        <v>57</v>
      </c>
      <c r="H13" s="193">
        <v>57</v>
      </c>
      <c r="I13" s="359">
        <f t="shared" si="2"/>
        <v>611</v>
      </c>
      <c r="J13" s="303">
        <v>582.3</v>
      </c>
      <c r="K13" s="303">
        <v>582.3</v>
      </c>
      <c r="L13" s="303">
        <v>57</v>
      </c>
      <c r="M13" s="303">
        <v>582.3</v>
      </c>
      <c r="N13" s="386">
        <f t="shared" si="1"/>
        <v>582.3</v>
      </c>
      <c r="O13" s="192">
        <f t="shared" si="0"/>
        <v>2479.3</v>
      </c>
      <c r="P13" s="30">
        <v>0</v>
      </c>
      <c r="Q13" s="28">
        <v>0</v>
      </c>
      <c r="R13" s="28">
        <v>0</v>
      </c>
      <c r="S13" s="280"/>
      <c r="U13" s="315">
        <v>136</v>
      </c>
    </row>
    <row r="14" spans="1:19" ht="12.75">
      <c r="A14" s="28">
        <v>612</v>
      </c>
      <c r="B14" s="29" t="s">
        <v>30</v>
      </c>
      <c r="C14" s="28">
        <v>1690</v>
      </c>
      <c r="D14" s="379">
        <v>76</v>
      </c>
      <c r="E14" s="144">
        <v>76</v>
      </c>
      <c r="F14" s="193">
        <v>76</v>
      </c>
      <c r="G14" s="193">
        <v>76</v>
      </c>
      <c r="H14" s="193">
        <v>76</v>
      </c>
      <c r="I14" s="359">
        <f t="shared" si="2"/>
        <v>612</v>
      </c>
      <c r="J14" s="303">
        <v>452.9</v>
      </c>
      <c r="K14" s="303">
        <v>452.9</v>
      </c>
      <c r="L14" s="303">
        <v>76</v>
      </c>
      <c r="M14" s="303">
        <v>452.9</v>
      </c>
      <c r="N14" s="386">
        <f t="shared" si="1"/>
        <v>452.9</v>
      </c>
      <c r="O14" s="192">
        <f t="shared" si="0"/>
        <v>2218.9</v>
      </c>
      <c r="P14" s="30">
        <v>0</v>
      </c>
      <c r="Q14" s="28">
        <v>0</v>
      </c>
      <c r="R14" s="28">
        <v>0</v>
      </c>
      <c r="S14" s="280"/>
    </row>
    <row r="15" spans="1:19" ht="12.75">
      <c r="A15" s="28">
        <v>613</v>
      </c>
      <c r="B15" s="29" t="s">
        <v>31</v>
      </c>
      <c r="C15" s="28">
        <v>1680</v>
      </c>
      <c r="D15" s="379">
        <v>77</v>
      </c>
      <c r="E15" s="144">
        <v>77</v>
      </c>
      <c r="F15" s="193">
        <v>77</v>
      </c>
      <c r="G15" s="193">
        <v>77</v>
      </c>
      <c r="H15" s="193">
        <v>77</v>
      </c>
      <c r="I15" s="359">
        <f t="shared" si="2"/>
        <v>613</v>
      </c>
      <c r="J15" s="303">
        <v>452.9</v>
      </c>
      <c r="K15" s="303">
        <v>452.9</v>
      </c>
      <c r="L15" s="303">
        <v>77</v>
      </c>
      <c r="M15" s="303">
        <v>452.9</v>
      </c>
      <c r="N15" s="386">
        <f t="shared" si="1"/>
        <v>452.9</v>
      </c>
      <c r="O15" s="192">
        <f t="shared" si="0"/>
        <v>2209.9</v>
      </c>
      <c r="P15" s="30">
        <v>0</v>
      </c>
      <c r="Q15" s="28">
        <v>0</v>
      </c>
      <c r="R15" s="28">
        <v>0</v>
      </c>
      <c r="S15" s="280"/>
    </row>
    <row r="16" spans="1:24" ht="12.75">
      <c r="A16" s="28">
        <v>614</v>
      </c>
      <c r="B16" s="29" t="s">
        <v>32</v>
      </c>
      <c r="C16" s="28">
        <v>1740</v>
      </c>
      <c r="D16" s="379">
        <v>70</v>
      </c>
      <c r="E16" s="144">
        <v>70</v>
      </c>
      <c r="F16" s="193">
        <v>70</v>
      </c>
      <c r="G16" s="193">
        <v>70</v>
      </c>
      <c r="H16" s="193">
        <v>70</v>
      </c>
      <c r="I16" s="359">
        <f t="shared" si="2"/>
        <v>614</v>
      </c>
      <c r="J16" s="303">
        <v>517.6</v>
      </c>
      <c r="K16" s="303">
        <v>517.6</v>
      </c>
      <c r="L16" s="303">
        <v>70</v>
      </c>
      <c r="M16" s="303">
        <v>517.6</v>
      </c>
      <c r="N16" s="386">
        <f t="shared" si="1"/>
        <v>517.6</v>
      </c>
      <c r="O16" s="192">
        <f t="shared" si="0"/>
        <v>2327.6</v>
      </c>
      <c r="P16" s="30">
        <v>0</v>
      </c>
      <c r="Q16" s="28">
        <v>0</v>
      </c>
      <c r="R16" s="28">
        <v>0</v>
      </c>
      <c r="S16" s="280"/>
      <c r="U16" t="s">
        <v>409</v>
      </c>
      <c r="V16">
        <v>776.4</v>
      </c>
      <c r="W16">
        <f aca="true" t="shared" si="3" ref="W16:W25">0.3*V16</f>
        <v>232.92</v>
      </c>
      <c r="X16">
        <v>233</v>
      </c>
    </row>
    <row r="17" spans="1:24" ht="12.75">
      <c r="A17" s="28">
        <v>615</v>
      </c>
      <c r="B17" s="29" t="s">
        <v>33</v>
      </c>
      <c r="C17" s="28">
        <v>1610</v>
      </c>
      <c r="D17" s="379">
        <v>87</v>
      </c>
      <c r="E17" s="144">
        <v>87</v>
      </c>
      <c r="F17" s="193">
        <v>87</v>
      </c>
      <c r="G17" s="193">
        <v>87</v>
      </c>
      <c r="H17" s="193">
        <v>87</v>
      </c>
      <c r="I17" s="359">
        <f t="shared" si="2"/>
        <v>615</v>
      </c>
      <c r="J17" s="303">
        <v>388.2</v>
      </c>
      <c r="K17" s="303">
        <v>388.2</v>
      </c>
      <c r="L17" s="303">
        <v>87</v>
      </c>
      <c r="M17" s="303">
        <v>388.2</v>
      </c>
      <c r="N17" s="386">
        <f t="shared" si="1"/>
        <v>388.2</v>
      </c>
      <c r="O17" s="192">
        <f t="shared" si="0"/>
        <v>2085.2</v>
      </c>
      <c r="P17" s="30">
        <v>0</v>
      </c>
      <c r="Q17" s="28">
        <v>0</v>
      </c>
      <c r="R17" s="28">
        <v>0</v>
      </c>
      <c r="S17" s="280"/>
      <c r="U17" t="s">
        <v>410</v>
      </c>
      <c r="V17">
        <v>647</v>
      </c>
      <c r="W17">
        <f t="shared" si="3"/>
        <v>194.1</v>
      </c>
      <c r="X17">
        <v>194</v>
      </c>
    </row>
    <row r="18" spans="1:24" ht="12.75">
      <c r="A18" s="28">
        <v>616</v>
      </c>
      <c r="B18" s="29" t="s">
        <v>34</v>
      </c>
      <c r="C18" s="28">
        <v>1740</v>
      </c>
      <c r="D18" s="379">
        <v>70</v>
      </c>
      <c r="E18" s="144">
        <v>70</v>
      </c>
      <c r="F18" s="193">
        <v>70</v>
      </c>
      <c r="G18" s="193">
        <v>70</v>
      </c>
      <c r="H18" s="193">
        <v>70</v>
      </c>
      <c r="I18" s="359">
        <f t="shared" si="2"/>
        <v>616</v>
      </c>
      <c r="J18" s="303">
        <v>0</v>
      </c>
      <c r="K18" s="303">
        <v>0</v>
      </c>
      <c r="L18" s="303">
        <v>70</v>
      </c>
      <c r="M18" s="303">
        <v>0</v>
      </c>
      <c r="N18" s="386">
        <f t="shared" si="1"/>
        <v>0</v>
      </c>
      <c r="O18" s="192">
        <f t="shared" si="0"/>
        <v>1810</v>
      </c>
      <c r="P18" s="30">
        <v>0</v>
      </c>
      <c r="Q18" s="28">
        <v>0</v>
      </c>
      <c r="R18" s="28">
        <v>0</v>
      </c>
      <c r="S18" s="280"/>
      <c r="U18" t="s">
        <v>411</v>
      </c>
      <c r="V18">
        <v>582.3</v>
      </c>
      <c r="W18">
        <f t="shared" si="3"/>
        <v>174.68999999999997</v>
      </c>
      <c r="X18">
        <v>175</v>
      </c>
    </row>
    <row r="19" spans="1:24" ht="12.75">
      <c r="A19" s="28">
        <v>617</v>
      </c>
      <c r="B19" s="29" t="s">
        <v>35</v>
      </c>
      <c r="C19" s="28">
        <v>1610</v>
      </c>
      <c r="D19" s="379">
        <v>87</v>
      </c>
      <c r="E19" s="144">
        <v>87</v>
      </c>
      <c r="F19" s="193">
        <v>87</v>
      </c>
      <c r="G19" s="193">
        <v>87</v>
      </c>
      <c r="H19" s="193">
        <v>87</v>
      </c>
      <c r="I19" s="359">
        <f t="shared" si="2"/>
        <v>617</v>
      </c>
      <c r="J19" s="303">
        <v>0</v>
      </c>
      <c r="K19" s="303">
        <v>0</v>
      </c>
      <c r="L19" s="303">
        <v>87</v>
      </c>
      <c r="M19" s="303">
        <v>0</v>
      </c>
      <c r="N19" s="386">
        <f t="shared" si="1"/>
        <v>0</v>
      </c>
      <c r="O19" s="192">
        <f t="shared" si="0"/>
        <v>1697</v>
      </c>
      <c r="P19" s="30">
        <v>0</v>
      </c>
      <c r="Q19" s="28">
        <v>0</v>
      </c>
      <c r="R19" s="28">
        <v>0</v>
      </c>
      <c r="S19" s="280"/>
      <c r="U19" t="s">
        <v>412</v>
      </c>
      <c r="V19">
        <v>452.9</v>
      </c>
      <c r="W19">
        <f t="shared" si="3"/>
        <v>135.86999999999998</v>
      </c>
      <c r="X19">
        <v>136</v>
      </c>
    </row>
    <row r="20" spans="1:23" ht="12.75">
      <c r="A20" s="28">
        <v>618</v>
      </c>
      <c r="B20" s="29" t="s">
        <v>36</v>
      </c>
      <c r="C20" s="28">
        <v>1500</v>
      </c>
      <c r="D20" s="379">
        <v>101</v>
      </c>
      <c r="E20" s="144">
        <v>101</v>
      </c>
      <c r="F20" s="193">
        <v>101</v>
      </c>
      <c r="G20" s="193">
        <v>101</v>
      </c>
      <c r="H20" s="193">
        <v>101</v>
      </c>
      <c r="I20" s="359">
        <f t="shared" si="2"/>
        <v>618</v>
      </c>
      <c r="J20" s="303">
        <v>0</v>
      </c>
      <c r="K20" s="303">
        <v>0</v>
      </c>
      <c r="L20" s="303">
        <v>101</v>
      </c>
      <c r="M20" s="303">
        <v>0</v>
      </c>
      <c r="N20" s="386">
        <f t="shared" si="1"/>
        <v>0</v>
      </c>
      <c r="O20" s="192">
        <f t="shared" si="0"/>
        <v>1601</v>
      </c>
      <c r="P20" s="30">
        <v>0</v>
      </c>
      <c r="Q20" s="28">
        <v>0</v>
      </c>
      <c r="R20" s="28">
        <v>0</v>
      </c>
      <c r="S20" s="280"/>
      <c r="U20" t="s">
        <v>413</v>
      </c>
      <c r="W20">
        <f t="shared" si="3"/>
        <v>0</v>
      </c>
    </row>
    <row r="21" spans="1:24" ht="12.75">
      <c r="A21" s="28">
        <v>619</v>
      </c>
      <c r="B21" s="29" t="s">
        <v>37</v>
      </c>
      <c r="C21" s="28">
        <v>1320</v>
      </c>
      <c r="D21" s="379">
        <v>124</v>
      </c>
      <c r="E21" s="144">
        <v>124</v>
      </c>
      <c r="F21" s="193">
        <v>124</v>
      </c>
      <c r="G21" s="193">
        <v>124</v>
      </c>
      <c r="H21" s="193">
        <v>124</v>
      </c>
      <c r="I21" s="359">
        <f t="shared" si="2"/>
        <v>619</v>
      </c>
      <c r="J21" s="303">
        <v>0</v>
      </c>
      <c r="K21" s="303">
        <v>0</v>
      </c>
      <c r="L21" s="303">
        <v>124</v>
      </c>
      <c r="M21" s="303">
        <v>0</v>
      </c>
      <c r="N21" s="386">
        <f t="shared" si="1"/>
        <v>0</v>
      </c>
      <c r="O21" s="192">
        <f t="shared" si="0"/>
        <v>1444</v>
      </c>
      <c r="P21" s="30">
        <v>0</v>
      </c>
      <c r="Q21" s="28">
        <v>0</v>
      </c>
      <c r="R21" s="28">
        <v>0</v>
      </c>
      <c r="S21" s="280"/>
      <c r="U21" t="s">
        <v>414</v>
      </c>
      <c r="V21">
        <v>517.6</v>
      </c>
      <c r="W21">
        <f t="shared" si="3"/>
        <v>155.28</v>
      </c>
      <c r="X21">
        <v>155</v>
      </c>
    </row>
    <row r="22" spans="1:24" ht="12.75">
      <c r="A22" s="28">
        <v>620</v>
      </c>
      <c r="B22" s="29" t="s">
        <v>38</v>
      </c>
      <c r="C22" s="28">
        <v>1550</v>
      </c>
      <c r="D22" s="379">
        <v>94</v>
      </c>
      <c r="E22" s="144">
        <v>94</v>
      </c>
      <c r="F22" s="193">
        <v>94</v>
      </c>
      <c r="G22" s="193">
        <v>94</v>
      </c>
      <c r="H22" s="193">
        <v>94</v>
      </c>
      <c r="I22" s="359">
        <f t="shared" si="2"/>
        <v>620</v>
      </c>
      <c r="J22" s="303">
        <v>0</v>
      </c>
      <c r="K22" s="303">
        <v>0</v>
      </c>
      <c r="L22" s="303">
        <v>94</v>
      </c>
      <c r="M22" s="303">
        <v>0</v>
      </c>
      <c r="N22" s="386">
        <f t="shared" si="1"/>
        <v>0</v>
      </c>
      <c r="O22" s="192">
        <f t="shared" si="0"/>
        <v>1644</v>
      </c>
      <c r="P22" s="30">
        <v>0</v>
      </c>
      <c r="Q22" s="28">
        <v>0</v>
      </c>
      <c r="R22" s="28">
        <v>0</v>
      </c>
      <c r="S22" s="280"/>
      <c r="U22" t="s">
        <v>415</v>
      </c>
      <c r="V22">
        <v>388.2</v>
      </c>
      <c r="W22">
        <f t="shared" si="3"/>
        <v>116.46</v>
      </c>
      <c r="X22">
        <v>116</v>
      </c>
    </row>
    <row r="23" spans="1:24" ht="12.75">
      <c r="A23" s="28">
        <v>621</v>
      </c>
      <c r="B23" s="29" t="s">
        <v>39</v>
      </c>
      <c r="C23" s="28">
        <v>1340</v>
      </c>
      <c r="D23" s="379">
        <v>122</v>
      </c>
      <c r="E23" s="144">
        <v>122</v>
      </c>
      <c r="F23" s="193">
        <v>122</v>
      </c>
      <c r="G23" s="193">
        <v>122</v>
      </c>
      <c r="H23" s="193">
        <v>122</v>
      </c>
      <c r="I23" s="359">
        <f t="shared" si="2"/>
        <v>621</v>
      </c>
      <c r="J23" s="303">
        <v>0</v>
      </c>
      <c r="K23" s="303">
        <v>0</v>
      </c>
      <c r="L23" s="303">
        <v>122</v>
      </c>
      <c r="M23" s="303">
        <v>0</v>
      </c>
      <c r="N23" s="386">
        <f t="shared" si="1"/>
        <v>0</v>
      </c>
      <c r="O23" s="192">
        <f t="shared" si="0"/>
        <v>1462</v>
      </c>
      <c r="P23" s="30">
        <v>0</v>
      </c>
      <c r="Q23" s="28">
        <v>0</v>
      </c>
      <c r="R23" s="28">
        <v>0</v>
      </c>
      <c r="S23" s="280"/>
      <c r="U23" t="s">
        <v>416</v>
      </c>
      <c r="V23">
        <v>388.2</v>
      </c>
      <c r="W23">
        <f t="shared" si="3"/>
        <v>116.46</v>
      </c>
      <c r="X23">
        <v>116</v>
      </c>
    </row>
    <row r="24" spans="1:24" ht="12.75">
      <c r="A24" s="28">
        <v>622</v>
      </c>
      <c r="B24" s="29" t="s">
        <v>40</v>
      </c>
      <c r="C24" s="37">
        <v>971</v>
      </c>
      <c r="D24" s="379">
        <v>170</v>
      </c>
      <c r="E24" s="365">
        <v>216</v>
      </c>
      <c r="F24" s="193">
        <v>261</v>
      </c>
      <c r="G24" s="303">
        <v>327</v>
      </c>
      <c r="H24" s="303">
        <v>350</v>
      </c>
      <c r="I24" s="359">
        <f t="shared" si="2"/>
        <v>622</v>
      </c>
      <c r="J24" s="303">
        <v>0</v>
      </c>
      <c r="K24" s="303">
        <v>0</v>
      </c>
      <c r="L24" s="303">
        <v>414.7</v>
      </c>
      <c r="M24" s="303">
        <v>0</v>
      </c>
      <c r="N24" s="386">
        <f t="shared" si="1"/>
        <v>0</v>
      </c>
      <c r="O24" s="192">
        <f t="shared" si="0"/>
        <v>1298</v>
      </c>
      <c r="P24" s="30">
        <v>0</v>
      </c>
      <c r="Q24" s="28">
        <v>0</v>
      </c>
      <c r="R24" s="28">
        <v>0</v>
      </c>
      <c r="S24" s="280"/>
      <c r="U24" t="s">
        <v>417</v>
      </c>
      <c r="V24">
        <v>388.2</v>
      </c>
      <c r="W24">
        <f t="shared" si="3"/>
        <v>116.46</v>
      </c>
      <c r="X24">
        <v>116</v>
      </c>
    </row>
    <row r="25" spans="1:24" ht="12.75">
      <c r="A25" s="28">
        <v>623</v>
      </c>
      <c r="B25" s="29" t="s">
        <v>41</v>
      </c>
      <c r="C25" s="28">
        <v>1690</v>
      </c>
      <c r="D25" s="379">
        <v>76</v>
      </c>
      <c r="E25" s="144">
        <v>76</v>
      </c>
      <c r="F25" s="193">
        <v>76</v>
      </c>
      <c r="G25" s="193">
        <v>76</v>
      </c>
      <c r="H25" s="193">
        <v>76</v>
      </c>
      <c r="I25" s="359">
        <f t="shared" si="2"/>
        <v>623</v>
      </c>
      <c r="J25" s="303">
        <v>0</v>
      </c>
      <c r="K25" s="303">
        <v>0</v>
      </c>
      <c r="L25" s="303">
        <v>76</v>
      </c>
      <c r="M25" s="303">
        <v>0</v>
      </c>
      <c r="N25" s="386">
        <f t="shared" si="1"/>
        <v>0</v>
      </c>
      <c r="O25" s="192">
        <f t="shared" si="0"/>
        <v>1766</v>
      </c>
      <c r="P25" s="30">
        <v>0</v>
      </c>
      <c r="Q25" s="28">
        <v>0</v>
      </c>
      <c r="R25" s="28">
        <v>0</v>
      </c>
      <c r="S25" s="280"/>
      <c r="U25" t="s">
        <v>418</v>
      </c>
      <c r="V25">
        <v>388.2</v>
      </c>
      <c r="W25">
        <f t="shared" si="3"/>
        <v>116.46</v>
      </c>
      <c r="X25">
        <v>116</v>
      </c>
    </row>
    <row r="26" spans="1:19" ht="12.75">
      <c r="A26" s="28">
        <v>624</v>
      </c>
      <c r="B26" s="29" t="s">
        <v>42</v>
      </c>
      <c r="C26" s="28">
        <v>1400</v>
      </c>
      <c r="D26" s="379">
        <v>114</v>
      </c>
      <c r="E26" s="144">
        <v>114</v>
      </c>
      <c r="F26" s="193">
        <f>IF(C26&lt;972,E26+44,E26)</f>
        <v>114</v>
      </c>
      <c r="G26" s="193">
        <v>114</v>
      </c>
      <c r="H26" s="193">
        <v>114</v>
      </c>
      <c r="I26" s="359">
        <f t="shared" si="2"/>
        <v>624</v>
      </c>
      <c r="J26" s="303">
        <v>0</v>
      </c>
      <c r="K26" s="303">
        <v>0</v>
      </c>
      <c r="L26" s="303">
        <v>114</v>
      </c>
      <c r="M26" s="303">
        <v>0</v>
      </c>
      <c r="N26" s="386">
        <f t="shared" si="1"/>
        <v>0</v>
      </c>
      <c r="O26" s="192">
        <f t="shared" si="0"/>
        <v>1514</v>
      </c>
      <c r="P26" s="30">
        <v>0</v>
      </c>
      <c r="Q26" s="28">
        <v>0</v>
      </c>
      <c r="R26" s="28">
        <v>0</v>
      </c>
      <c r="S26" s="280"/>
    </row>
    <row r="27" spans="1:19" ht="12.75">
      <c r="A27" s="28">
        <v>625</v>
      </c>
      <c r="B27" s="29" t="s">
        <v>43</v>
      </c>
      <c r="C27" s="28">
        <v>1370</v>
      </c>
      <c r="D27" s="379">
        <v>118</v>
      </c>
      <c r="E27" s="144">
        <v>118</v>
      </c>
      <c r="F27" s="193">
        <f>IF(C27&lt;972,E27+44,E27)</f>
        <v>118</v>
      </c>
      <c r="G27" s="193">
        <v>118</v>
      </c>
      <c r="H27" s="193">
        <v>118</v>
      </c>
      <c r="I27" s="359">
        <f t="shared" si="2"/>
        <v>625</v>
      </c>
      <c r="J27" s="303">
        <v>388.2</v>
      </c>
      <c r="K27" s="303">
        <v>388.2</v>
      </c>
      <c r="L27" s="303">
        <v>118</v>
      </c>
      <c r="M27" s="303">
        <v>388.2</v>
      </c>
      <c r="N27" s="386">
        <f t="shared" si="1"/>
        <v>388.2</v>
      </c>
      <c r="O27" s="192">
        <f t="shared" si="0"/>
        <v>1876.2</v>
      </c>
      <c r="P27" s="30">
        <v>0</v>
      </c>
      <c r="Q27" s="28">
        <v>0</v>
      </c>
      <c r="R27" s="28">
        <v>0</v>
      </c>
      <c r="S27" s="280"/>
    </row>
    <row r="28" spans="1:19" ht="12.75">
      <c r="A28" s="28">
        <v>626</v>
      </c>
      <c r="B28" s="29" t="s">
        <v>44</v>
      </c>
      <c r="C28" s="28">
        <v>1340</v>
      </c>
      <c r="D28" s="379">
        <v>122</v>
      </c>
      <c r="E28" s="144">
        <v>122</v>
      </c>
      <c r="F28" s="193">
        <f>IF(C28&lt;972,E28+44,E28)</f>
        <v>122</v>
      </c>
      <c r="G28" s="193">
        <v>122</v>
      </c>
      <c r="H28" s="193">
        <v>122</v>
      </c>
      <c r="I28" s="359">
        <f t="shared" si="2"/>
        <v>626</v>
      </c>
      <c r="J28" s="303">
        <v>388.2</v>
      </c>
      <c r="K28" s="303">
        <v>388.2</v>
      </c>
      <c r="L28" s="303">
        <v>122</v>
      </c>
      <c r="M28" s="303">
        <v>388.2</v>
      </c>
      <c r="N28" s="386">
        <f t="shared" si="1"/>
        <v>388.2</v>
      </c>
      <c r="O28" s="192">
        <f t="shared" si="0"/>
        <v>1850.2</v>
      </c>
      <c r="P28" s="30">
        <v>0</v>
      </c>
      <c r="Q28" s="28">
        <v>0</v>
      </c>
      <c r="R28" s="28">
        <v>0</v>
      </c>
      <c r="S28" s="280"/>
    </row>
    <row r="29" spans="1:19" ht="12.75">
      <c r="A29" s="28">
        <v>627</v>
      </c>
      <c r="B29" s="29" t="s">
        <v>45</v>
      </c>
      <c r="C29" s="28">
        <v>1300</v>
      </c>
      <c r="D29" s="379">
        <v>127</v>
      </c>
      <c r="E29" s="144">
        <v>127</v>
      </c>
      <c r="F29" s="193">
        <f>IF(C29&lt;972,E29+44,E29)</f>
        <v>127</v>
      </c>
      <c r="G29" s="193">
        <v>127</v>
      </c>
      <c r="H29" s="193">
        <v>127</v>
      </c>
      <c r="I29" s="359">
        <f t="shared" si="2"/>
        <v>627</v>
      </c>
      <c r="J29" s="303">
        <v>388.2</v>
      </c>
      <c r="K29" s="303">
        <v>388.2</v>
      </c>
      <c r="L29" s="303">
        <v>127</v>
      </c>
      <c r="M29" s="303">
        <v>388.2</v>
      </c>
      <c r="N29" s="386">
        <f t="shared" si="1"/>
        <v>388.2</v>
      </c>
      <c r="O29" s="192">
        <f t="shared" si="0"/>
        <v>1815.2</v>
      </c>
      <c r="P29" s="30">
        <v>0</v>
      </c>
      <c r="Q29" s="28">
        <v>0</v>
      </c>
      <c r="R29" s="28">
        <v>0</v>
      </c>
      <c r="S29" s="280"/>
    </row>
    <row r="30" spans="1:19" ht="12.75">
      <c r="A30" s="28">
        <v>628</v>
      </c>
      <c r="B30" s="29" t="s">
        <v>46</v>
      </c>
      <c r="C30" s="28">
        <v>980</v>
      </c>
      <c r="D30" s="379">
        <v>169</v>
      </c>
      <c r="E30" s="144">
        <v>169</v>
      </c>
      <c r="F30" s="193">
        <f>IF(C30&lt;972,E30+44,E30)</f>
        <v>169</v>
      </c>
      <c r="G30" s="193">
        <v>169</v>
      </c>
      <c r="H30" s="193">
        <v>169</v>
      </c>
      <c r="I30" s="359">
        <f t="shared" si="2"/>
        <v>628</v>
      </c>
      <c r="J30" s="303">
        <v>0</v>
      </c>
      <c r="K30" s="303">
        <v>0</v>
      </c>
      <c r="L30" s="303">
        <v>169</v>
      </c>
      <c r="M30" s="303">
        <v>0</v>
      </c>
      <c r="N30" s="386">
        <f t="shared" si="1"/>
        <v>0</v>
      </c>
      <c r="O30" s="192">
        <f t="shared" si="0"/>
        <v>1149</v>
      </c>
      <c r="P30" s="30">
        <v>0</v>
      </c>
      <c r="Q30" s="28">
        <v>0</v>
      </c>
      <c r="R30" s="28">
        <v>0</v>
      </c>
      <c r="S30" s="280"/>
    </row>
    <row r="31" spans="1:19" ht="12.75">
      <c r="A31" s="28">
        <v>629</v>
      </c>
      <c r="B31" s="29" t="s">
        <v>47</v>
      </c>
      <c r="C31" s="28">
        <v>941</v>
      </c>
      <c r="D31" s="379">
        <v>170</v>
      </c>
      <c r="E31" s="365">
        <v>216</v>
      </c>
      <c r="F31" s="193">
        <v>261</v>
      </c>
      <c r="G31" s="303">
        <v>327</v>
      </c>
      <c r="H31" s="303">
        <v>350</v>
      </c>
      <c r="I31" s="359">
        <f t="shared" si="2"/>
        <v>629</v>
      </c>
      <c r="J31" s="303">
        <v>0</v>
      </c>
      <c r="K31" s="303">
        <v>0</v>
      </c>
      <c r="L31" s="303">
        <v>414.7</v>
      </c>
      <c r="M31" s="303">
        <v>0</v>
      </c>
      <c r="N31" s="386">
        <f t="shared" si="1"/>
        <v>0</v>
      </c>
      <c r="O31" s="192">
        <f t="shared" si="0"/>
        <v>1268</v>
      </c>
      <c r="P31" s="30">
        <v>0</v>
      </c>
      <c r="Q31" s="28">
        <v>0</v>
      </c>
      <c r="R31" s="28">
        <v>0</v>
      </c>
      <c r="S31" s="280"/>
    </row>
    <row r="32" spans="1:19" ht="12.75">
      <c r="A32" s="28">
        <v>630</v>
      </c>
      <c r="B32" s="29" t="s">
        <v>48</v>
      </c>
      <c r="C32" s="28">
        <v>1170</v>
      </c>
      <c r="D32" s="379">
        <v>144</v>
      </c>
      <c r="E32" s="144">
        <v>144</v>
      </c>
      <c r="F32" s="193">
        <f>IF(C32&lt;972,E32+44,E32)</f>
        <v>144</v>
      </c>
      <c r="G32" s="193">
        <v>144</v>
      </c>
      <c r="H32" s="193">
        <v>144</v>
      </c>
      <c r="I32" s="359">
        <f t="shared" si="2"/>
        <v>630</v>
      </c>
      <c r="J32" s="303">
        <v>0</v>
      </c>
      <c r="K32" s="303">
        <v>0</v>
      </c>
      <c r="L32" s="303">
        <v>144</v>
      </c>
      <c r="M32" s="303">
        <v>0</v>
      </c>
      <c r="N32" s="386">
        <f t="shared" si="1"/>
        <v>0</v>
      </c>
      <c r="O32" s="192">
        <f t="shared" si="0"/>
        <v>1314</v>
      </c>
      <c r="P32" s="30">
        <v>0</v>
      </c>
      <c r="Q32" s="28">
        <v>0</v>
      </c>
      <c r="R32" s="28">
        <v>0</v>
      </c>
      <c r="S32" s="280"/>
    </row>
    <row r="33" spans="1:19" ht="12.75">
      <c r="A33" s="28">
        <v>631</v>
      </c>
      <c r="B33" s="29" t="s">
        <v>49</v>
      </c>
      <c r="C33" s="28">
        <v>1170</v>
      </c>
      <c r="D33" s="379">
        <v>144</v>
      </c>
      <c r="E33" s="144">
        <v>144</v>
      </c>
      <c r="F33" s="193">
        <f>IF(C33&lt;972,E33+44,E33)</f>
        <v>144</v>
      </c>
      <c r="G33" s="193">
        <v>144</v>
      </c>
      <c r="H33" s="193">
        <v>144</v>
      </c>
      <c r="I33" s="359">
        <f t="shared" si="2"/>
        <v>631</v>
      </c>
      <c r="J33" s="303">
        <v>0</v>
      </c>
      <c r="K33" s="303">
        <v>0</v>
      </c>
      <c r="L33" s="303">
        <v>144</v>
      </c>
      <c r="M33" s="303">
        <v>0</v>
      </c>
      <c r="N33" s="386">
        <f t="shared" si="1"/>
        <v>0</v>
      </c>
      <c r="O33" s="192">
        <f t="shared" si="0"/>
        <v>1314</v>
      </c>
      <c r="P33" s="30">
        <v>0</v>
      </c>
      <c r="Q33" s="28">
        <v>0</v>
      </c>
      <c r="R33" s="28">
        <v>0</v>
      </c>
      <c r="S33" s="280"/>
    </row>
    <row r="34" spans="1:19" ht="12.75">
      <c r="A34" s="28">
        <v>632</v>
      </c>
      <c r="B34" s="29" t="s">
        <v>50</v>
      </c>
      <c r="C34" s="28">
        <v>941</v>
      </c>
      <c r="D34" s="379">
        <v>170</v>
      </c>
      <c r="E34" s="365">
        <v>216</v>
      </c>
      <c r="F34" s="193">
        <v>261</v>
      </c>
      <c r="G34" s="303">
        <v>327</v>
      </c>
      <c r="H34" s="303">
        <v>350</v>
      </c>
      <c r="I34" s="359">
        <f t="shared" si="2"/>
        <v>632</v>
      </c>
      <c r="J34" s="303">
        <v>0</v>
      </c>
      <c r="K34" s="303">
        <v>0</v>
      </c>
      <c r="L34" s="303">
        <v>414.7</v>
      </c>
      <c r="M34" s="303">
        <v>0</v>
      </c>
      <c r="N34" s="386">
        <f t="shared" si="1"/>
        <v>0</v>
      </c>
      <c r="O34" s="192">
        <f t="shared" si="0"/>
        <v>1268</v>
      </c>
      <c r="P34" s="30">
        <v>0</v>
      </c>
      <c r="Q34" s="28">
        <v>0</v>
      </c>
      <c r="R34" s="28">
        <v>0</v>
      </c>
      <c r="S34" s="280"/>
    </row>
    <row r="35" spans="1:19" ht="12.75">
      <c r="A35" s="28">
        <v>633</v>
      </c>
      <c r="B35" s="29" t="s">
        <v>51</v>
      </c>
      <c r="C35" s="28">
        <v>941</v>
      </c>
      <c r="D35" s="379">
        <v>170</v>
      </c>
      <c r="E35" s="365">
        <v>216</v>
      </c>
      <c r="F35" s="193">
        <v>261</v>
      </c>
      <c r="G35" s="303">
        <v>327</v>
      </c>
      <c r="H35" s="303">
        <v>350</v>
      </c>
      <c r="I35" s="359">
        <f t="shared" si="2"/>
        <v>633</v>
      </c>
      <c r="J35" s="303">
        <v>0</v>
      </c>
      <c r="K35" s="303">
        <v>0</v>
      </c>
      <c r="L35" s="303">
        <v>414.7</v>
      </c>
      <c r="M35" s="303">
        <v>0</v>
      </c>
      <c r="N35" s="386">
        <f t="shared" si="1"/>
        <v>0</v>
      </c>
      <c r="O35" s="192">
        <f t="shared" si="0"/>
        <v>1268</v>
      </c>
      <c r="P35" s="30">
        <v>0</v>
      </c>
      <c r="Q35" s="28">
        <v>0</v>
      </c>
      <c r="R35" s="28">
        <v>0</v>
      </c>
      <c r="S35" s="280"/>
    </row>
    <row r="36" spans="1:19" ht="12.75">
      <c r="A36" s="28">
        <v>634</v>
      </c>
      <c r="B36" s="29" t="s">
        <v>52</v>
      </c>
      <c r="C36" s="28">
        <v>971</v>
      </c>
      <c r="D36" s="379">
        <v>170</v>
      </c>
      <c r="E36" s="365">
        <v>216</v>
      </c>
      <c r="F36" s="193">
        <v>261</v>
      </c>
      <c r="G36" s="303">
        <v>327</v>
      </c>
      <c r="H36" s="303">
        <v>350</v>
      </c>
      <c r="I36" s="359">
        <f t="shared" si="2"/>
        <v>634</v>
      </c>
      <c r="J36" s="303">
        <v>0</v>
      </c>
      <c r="K36" s="303">
        <v>0</v>
      </c>
      <c r="L36" s="303">
        <v>414.7</v>
      </c>
      <c r="M36" s="303">
        <v>0</v>
      </c>
      <c r="N36" s="386">
        <f t="shared" si="1"/>
        <v>0</v>
      </c>
      <c r="O36" s="192">
        <f t="shared" si="0"/>
        <v>1298</v>
      </c>
      <c r="P36" s="30">
        <v>0</v>
      </c>
      <c r="Q36" s="28">
        <v>0</v>
      </c>
      <c r="R36" s="28">
        <v>0</v>
      </c>
      <c r="S36" s="280"/>
    </row>
    <row r="37" spans="1:19" ht="12.75">
      <c r="A37" s="28">
        <v>635</v>
      </c>
      <c r="B37" s="29" t="s">
        <v>377</v>
      </c>
      <c r="C37" s="28">
        <v>1610</v>
      </c>
      <c r="D37" s="379">
        <v>87</v>
      </c>
      <c r="E37" s="144">
        <v>87</v>
      </c>
      <c r="F37" s="193">
        <f>IF(C37&lt;972,E37+44,E37)</f>
        <v>87</v>
      </c>
      <c r="G37" s="193">
        <v>87</v>
      </c>
      <c r="H37" s="193">
        <v>87</v>
      </c>
      <c r="I37" s="359">
        <f t="shared" si="2"/>
        <v>635</v>
      </c>
      <c r="J37" s="303">
        <v>388.2</v>
      </c>
      <c r="K37" s="303">
        <v>388.2</v>
      </c>
      <c r="L37" s="303">
        <v>87</v>
      </c>
      <c r="M37" s="303">
        <v>388.2</v>
      </c>
      <c r="N37" s="386">
        <f t="shared" si="1"/>
        <v>388.2</v>
      </c>
      <c r="O37" s="192">
        <f t="shared" si="0"/>
        <v>2085.2</v>
      </c>
      <c r="P37" s="30">
        <v>0</v>
      </c>
      <c r="Q37" s="28">
        <v>0</v>
      </c>
      <c r="R37" s="28">
        <v>0</v>
      </c>
      <c r="S37" s="280"/>
    </row>
    <row r="38" spans="1:19" ht="12.75">
      <c r="A38" s="28">
        <v>636</v>
      </c>
      <c r="B38" s="29" t="s">
        <v>53</v>
      </c>
      <c r="C38" s="28">
        <v>971</v>
      </c>
      <c r="D38" s="379">
        <v>170</v>
      </c>
      <c r="E38" s="365">
        <v>216</v>
      </c>
      <c r="F38" s="193">
        <v>261</v>
      </c>
      <c r="G38" s="303">
        <v>327</v>
      </c>
      <c r="H38" s="303">
        <v>350</v>
      </c>
      <c r="I38" s="359">
        <f t="shared" si="2"/>
        <v>636</v>
      </c>
      <c r="J38" s="303">
        <v>0</v>
      </c>
      <c r="K38" s="303">
        <v>0</v>
      </c>
      <c r="L38" s="303">
        <v>414.7</v>
      </c>
      <c r="M38" s="303">
        <v>0</v>
      </c>
      <c r="N38" s="386">
        <f t="shared" si="1"/>
        <v>0</v>
      </c>
      <c r="O38" s="192">
        <f t="shared" si="0"/>
        <v>1298</v>
      </c>
      <c r="P38" s="30">
        <v>0</v>
      </c>
      <c r="Q38" s="28">
        <v>0</v>
      </c>
      <c r="R38" s="28">
        <v>0</v>
      </c>
      <c r="S38" s="280"/>
    </row>
    <row r="39" spans="1:19" ht="12.75">
      <c r="A39" s="28">
        <v>637</v>
      </c>
      <c r="B39" s="29" t="s">
        <v>54</v>
      </c>
      <c r="C39" s="28">
        <v>971</v>
      </c>
      <c r="D39" s="379">
        <v>170</v>
      </c>
      <c r="E39" s="365">
        <v>216</v>
      </c>
      <c r="F39" s="193">
        <v>261</v>
      </c>
      <c r="G39" s="303">
        <v>327</v>
      </c>
      <c r="H39" s="303">
        <v>350</v>
      </c>
      <c r="I39" s="359">
        <f t="shared" si="2"/>
        <v>637</v>
      </c>
      <c r="J39" s="303">
        <v>0</v>
      </c>
      <c r="K39" s="303">
        <v>0</v>
      </c>
      <c r="L39" s="303">
        <v>414.7</v>
      </c>
      <c r="M39" s="303">
        <v>0</v>
      </c>
      <c r="N39" s="386">
        <f t="shared" si="1"/>
        <v>0</v>
      </c>
      <c r="O39" s="192">
        <f t="shared" si="0"/>
        <v>1298</v>
      </c>
      <c r="P39" s="30">
        <v>0</v>
      </c>
      <c r="Q39" s="28">
        <v>0</v>
      </c>
      <c r="R39" s="28">
        <v>0</v>
      </c>
      <c r="S39" s="280"/>
    </row>
    <row r="40" spans="1:19" ht="12.75">
      <c r="A40" s="28">
        <v>638</v>
      </c>
      <c r="B40" s="29" t="s">
        <v>55</v>
      </c>
      <c r="C40" s="28">
        <v>906</v>
      </c>
      <c r="D40" s="379">
        <v>170</v>
      </c>
      <c r="E40" s="365">
        <v>216</v>
      </c>
      <c r="F40" s="193">
        <v>261</v>
      </c>
      <c r="G40" s="303">
        <v>327</v>
      </c>
      <c r="H40" s="303">
        <v>350</v>
      </c>
      <c r="I40" s="359">
        <f t="shared" si="2"/>
        <v>638</v>
      </c>
      <c r="J40" s="303">
        <v>0</v>
      </c>
      <c r="K40" s="303">
        <v>0</v>
      </c>
      <c r="L40" s="303">
        <v>414.7</v>
      </c>
      <c r="M40" s="303">
        <v>0</v>
      </c>
      <c r="N40" s="386">
        <f t="shared" si="1"/>
        <v>0</v>
      </c>
      <c r="O40" s="192">
        <f t="shared" si="0"/>
        <v>1233</v>
      </c>
      <c r="P40" s="30">
        <v>0</v>
      </c>
      <c r="Q40" s="28">
        <v>0</v>
      </c>
      <c r="R40" s="28">
        <v>0</v>
      </c>
      <c r="S40" s="280"/>
    </row>
    <row r="41" spans="1:19" ht="12.75">
      <c r="A41" s="28">
        <v>639</v>
      </c>
      <c r="B41" s="29" t="s">
        <v>56</v>
      </c>
      <c r="C41" s="28">
        <v>1300</v>
      </c>
      <c r="D41" s="379">
        <v>127</v>
      </c>
      <c r="E41" s="144">
        <v>127</v>
      </c>
      <c r="F41" s="193">
        <f aca="true" t="shared" si="4" ref="F41:F47">IF(C41&lt;972,E41+44,E41)</f>
        <v>127</v>
      </c>
      <c r="G41" s="193">
        <v>127</v>
      </c>
      <c r="H41" s="193">
        <v>127</v>
      </c>
      <c r="I41" s="359">
        <f t="shared" si="2"/>
        <v>639</v>
      </c>
      <c r="J41" s="303">
        <v>0</v>
      </c>
      <c r="K41" s="303">
        <v>0</v>
      </c>
      <c r="L41" s="303">
        <v>127</v>
      </c>
      <c r="M41" s="303">
        <v>0</v>
      </c>
      <c r="N41" s="386">
        <f t="shared" si="1"/>
        <v>0</v>
      </c>
      <c r="O41" s="192">
        <f t="shared" si="0"/>
        <v>1427</v>
      </c>
      <c r="P41" s="30">
        <v>0</v>
      </c>
      <c r="Q41" s="28">
        <v>0</v>
      </c>
      <c r="R41" s="28">
        <v>0</v>
      </c>
      <c r="S41" s="280"/>
    </row>
    <row r="42" spans="1:19" ht="12.75">
      <c r="A42" s="28">
        <v>640</v>
      </c>
      <c r="B42" s="29" t="s">
        <v>487</v>
      </c>
      <c r="C42" s="28">
        <v>1680</v>
      </c>
      <c r="D42" s="379">
        <v>0</v>
      </c>
      <c r="E42" s="144">
        <v>0</v>
      </c>
      <c r="F42" s="193">
        <f t="shared" si="4"/>
        <v>0</v>
      </c>
      <c r="G42" s="193">
        <v>0</v>
      </c>
      <c r="H42" s="193">
        <v>77</v>
      </c>
      <c r="I42" s="359">
        <f t="shared" si="2"/>
        <v>640</v>
      </c>
      <c r="J42" s="303">
        <v>0</v>
      </c>
      <c r="K42" s="303">
        <v>0</v>
      </c>
      <c r="L42" s="303">
        <v>77</v>
      </c>
      <c r="M42" s="303">
        <v>0</v>
      </c>
      <c r="N42" s="386">
        <v>453</v>
      </c>
      <c r="O42" s="192">
        <f t="shared" si="0"/>
        <v>1680</v>
      </c>
      <c r="P42" s="30">
        <v>0</v>
      </c>
      <c r="Q42" s="28">
        <v>0</v>
      </c>
      <c r="R42" s="28">
        <v>0</v>
      </c>
      <c r="S42" s="280"/>
    </row>
    <row r="43" spans="1:19" ht="12.75">
      <c r="A43" s="28">
        <v>641</v>
      </c>
      <c r="B43" s="29" t="s">
        <v>488</v>
      </c>
      <c r="C43" s="28">
        <v>1300</v>
      </c>
      <c r="D43" s="379">
        <v>94</v>
      </c>
      <c r="E43" s="144">
        <v>94</v>
      </c>
      <c r="F43" s="193">
        <f t="shared" si="4"/>
        <v>94</v>
      </c>
      <c r="G43" s="193">
        <v>94</v>
      </c>
      <c r="H43" s="193">
        <v>127</v>
      </c>
      <c r="I43" s="359">
        <f t="shared" si="2"/>
        <v>641</v>
      </c>
      <c r="J43" s="303">
        <v>0</v>
      </c>
      <c r="K43" s="303">
        <v>0</v>
      </c>
      <c r="L43" s="303">
        <v>127</v>
      </c>
      <c r="M43" s="303">
        <v>0</v>
      </c>
      <c r="N43" s="386">
        <v>388</v>
      </c>
      <c r="O43" s="192">
        <f t="shared" si="0"/>
        <v>1394</v>
      </c>
      <c r="P43" s="30">
        <v>0</v>
      </c>
      <c r="Q43" s="28">
        <v>0</v>
      </c>
      <c r="R43" s="28">
        <v>0</v>
      </c>
      <c r="S43" s="280"/>
    </row>
    <row r="44" spans="1:19" ht="12.75">
      <c r="A44" s="28">
        <v>642</v>
      </c>
      <c r="B44" s="29" t="s">
        <v>489</v>
      </c>
      <c r="C44" s="28">
        <v>2913</v>
      </c>
      <c r="D44" s="379">
        <v>144</v>
      </c>
      <c r="E44" s="144">
        <v>144</v>
      </c>
      <c r="F44" s="193">
        <f t="shared" si="4"/>
        <v>144</v>
      </c>
      <c r="G44" s="193">
        <v>144</v>
      </c>
      <c r="H44" s="193">
        <v>144</v>
      </c>
      <c r="I44" s="359">
        <f t="shared" si="2"/>
        <v>642</v>
      </c>
      <c r="J44" s="303">
        <v>0</v>
      </c>
      <c r="K44" s="303">
        <v>0</v>
      </c>
      <c r="L44" s="303">
        <v>0</v>
      </c>
      <c r="M44" s="303">
        <v>0</v>
      </c>
      <c r="N44" s="386">
        <v>776</v>
      </c>
      <c r="O44" s="192">
        <f t="shared" si="0"/>
        <v>3057</v>
      </c>
      <c r="P44" s="30">
        <v>0</v>
      </c>
      <c r="Q44" s="28">
        <v>0</v>
      </c>
      <c r="R44" s="28">
        <v>0</v>
      </c>
      <c r="S44" s="280"/>
    </row>
    <row r="45" spans="1:19" ht="12.75">
      <c r="A45" s="28">
        <v>643</v>
      </c>
      <c r="B45" s="29" t="s">
        <v>57</v>
      </c>
      <c r="C45" s="28">
        <v>1500</v>
      </c>
      <c r="D45" s="379">
        <v>101</v>
      </c>
      <c r="E45" s="144">
        <v>101</v>
      </c>
      <c r="F45" s="193">
        <f t="shared" si="4"/>
        <v>101</v>
      </c>
      <c r="G45" s="193">
        <v>101</v>
      </c>
      <c r="H45" s="193">
        <v>101</v>
      </c>
      <c r="I45" s="359">
        <f t="shared" si="2"/>
        <v>643</v>
      </c>
      <c r="J45" s="303">
        <v>388.2</v>
      </c>
      <c r="K45" s="303">
        <v>388.2</v>
      </c>
      <c r="L45" s="303">
        <v>101</v>
      </c>
      <c r="M45" s="303">
        <v>388.2</v>
      </c>
      <c r="N45" s="386">
        <f t="shared" si="1"/>
        <v>388.2</v>
      </c>
      <c r="O45" s="192">
        <f t="shared" si="0"/>
        <v>1989.2</v>
      </c>
      <c r="P45" s="30">
        <v>0</v>
      </c>
      <c r="Q45" s="28">
        <v>0</v>
      </c>
      <c r="R45" s="28">
        <v>0</v>
      </c>
      <c r="S45" s="280"/>
    </row>
    <row r="46" spans="1:19" ht="12.75">
      <c r="A46" s="28">
        <v>644</v>
      </c>
      <c r="B46" s="29" t="s">
        <v>58</v>
      </c>
      <c r="C46" s="28">
        <v>2490</v>
      </c>
      <c r="D46" s="379">
        <v>0</v>
      </c>
      <c r="E46" s="144">
        <v>0</v>
      </c>
      <c r="F46" s="193">
        <f t="shared" si="4"/>
        <v>0</v>
      </c>
      <c r="G46" s="193">
        <v>0</v>
      </c>
      <c r="H46" s="193">
        <v>0</v>
      </c>
      <c r="I46" s="359">
        <f t="shared" si="2"/>
        <v>644</v>
      </c>
      <c r="J46" s="303">
        <v>0</v>
      </c>
      <c r="K46" s="303">
        <v>0</v>
      </c>
      <c r="L46" s="303">
        <v>0</v>
      </c>
      <c r="M46" s="303">
        <v>0</v>
      </c>
      <c r="N46" s="386">
        <f t="shared" si="1"/>
        <v>0</v>
      </c>
      <c r="O46" s="192">
        <f t="shared" si="0"/>
        <v>2490</v>
      </c>
      <c r="P46" s="30">
        <v>0</v>
      </c>
      <c r="Q46" s="28">
        <v>0</v>
      </c>
      <c r="R46" s="28">
        <v>0</v>
      </c>
      <c r="S46" s="280"/>
    </row>
    <row r="47" spans="1:19" ht="12.75">
      <c r="A47" s="28">
        <v>645</v>
      </c>
      <c r="B47" s="29" t="s">
        <v>59</v>
      </c>
      <c r="C47" s="28">
        <v>2329</v>
      </c>
      <c r="D47" s="379">
        <v>0</v>
      </c>
      <c r="E47" s="144">
        <v>0</v>
      </c>
      <c r="F47" s="193">
        <f t="shared" si="4"/>
        <v>0</v>
      </c>
      <c r="G47" s="193">
        <v>0</v>
      </c>
      <c r="H47" s="193">
        <v>0</v>
      </c>
      <c r="I47" s="359">
        <f t="shared" si="2"/>
        <v>645</v>
      </c>
      <c r="J47" s="303">
        <v>0</v>
      </c>
      <c r="K47" s="303">
        <v>0</v>
      </c>
      <c r="L47" s="303">
        <v>0</v>
      </c>
      <c r="M47" s="303">
        <v>0</v>
      </c>
      <c r="N47" s="386">
        <f t="shared" si="1"/>
        <v>0</v>
      </c>
      <c r="O47" s="192">
        <f t="shared" si="0"/>
        <v>2329</v>
      </c>
      <c r="P47" s="30">
        <v>0</v>
      </c>
      <c r="Q47" s="28">
        <v>0</v>
      </c>
      <c r="R47" s="28">
        <v>0</v>
      </c>
      <c r="S47" s="280"/>
    </row>
    <row r="48" spans="1:19" ht="12.75">
      <c r="A48" s="28">
        <v>646</v>
      </c>
      <c r="B48" s="29" t="s">
        <v>60</v>
      </c>
      <c r="C48" s="28">
        <v>906</v>
      </c>
      <c r="D48" s="379">
        <v>170</v>
      </c>
      <c r="E48" s="365">
        <v>216</v>
      </c>
      <c r="F48" s="193">
        <v>261</v>
      </c>
      <c r="G48" s="303">
        <v>327</v>
      </c>
      <c r="H48" s="303">
        <v>350</v>
      </c>
      <c r="I48" s="359">
        <f t="shared" si="2"/>
        <v>646</v>
      </c>
      <c r="J48" s="303">
        <v>0</v>
      </c>
      <c r="K48" s="303">
        <v>0</v>
      </c>
      <c r="L48" s="303">
        <v>414.7</v>
      </c>
      <c r="M48" s="303">
        <v>0</v>
      </c>
      <c r="N48" s="386">
        <f t="shared" si="1"/>
        <v>0</v>
      </c>
      <c r="O48" s="192">
        <f t="shared" si="0"/>
        <v>1233</v>
      </c>
      <c r="P48" s="30">
        <v>0</v>
      </c>
      <c r="Q48" s="28">
        <v>0</v>
      </c>
      <c r="R48" s="28">
        <v>0</v>
      </c>
      <c r="S48" s="280"/>
    </row>
    <row r="49" spans="1:19" ht="12.75">
      <c r="A49" s="28">
        <v>647</v>
      </c>
      <c r="B49" s="29" t="s">
        <v>61</v>
      </c>
      <c r="C49" s="28">
        <v>1830</v>
      </c>
      <c r="D49" s="379">
        <v>58</v>
      </c>
      <c r="E49" s="144">
        <v>58</v>
      </c>
      <c r="F49" s="193">
        <f>IF(C49&lt;972,E49+44,E49)</f>
        <v>58</v>
      </c>
      <c r="G49" s="193">
        <v>58</v>
      </c>
      <c r="H49" s="193">
        <v>58</v>
      </c>
      <c r="I49" s="359">
        <f t="shared" si="2"/>
        <v>647</v>
      </c>
      <c r="J49" s="303">
        <v>0</v>
      </c>
      <c r="K49" s="303">
        <v>0</v>
      </c>
      <c r="L49" s="303">
        <v>58</v>
      </c>
      <c r="M49" s="303">
        <v>0</v>
      </c>
      <c r="N49" s="386">
        <f t="shared" si="1"/>
        <v>0</v>
      </c>
      <c r="O49" s="192">
        <f t="shared" si="0"/>
        <v>1888</v>
      </c>
      <c r="P49" s="30">
        <v>0</v>
      </c>
      <c r="Q49" s="28">
        <v>0</v>
      </c>
      <c r="R49" s="28">
        <v>0</v>
      </c>
      <c r="S49" s="280"/>
    </row>
    <row r="50" spans="1:19" ht="12.75">
      <c r="A50" s="28">
        <v>648</v>
      </c>
      <c r="B50" s="29" t="s">
        <v>62</v>
      </c>
      <c r="C50" s="28">
        <v>1740</v>
      </c>
      <c r="D50" s="379">
        <v>70</v>
      </c>
      <c r="E50" s="144">
        <v>70</v>
      </c>
      <c r="F50" s="193">
        <f>IF(C50&lt;972,E50+44,E50)</f>
        <v>70</v>
      </c>
      <c r="G50" s="193">
        <v>70</v>
      </c>
      <c r="H50" s="193">
        <v>70</v>
      </c>
      <c r="I50" s="359">
        <f t="shared" si="2"/>
        <v>648</v>
      </c>
      <c r="J50" s="303">
        <v>517.6</v>
      </c>
      <c r="K50" s="303">
        <v>517.6</v>
      </c>
      <c r="L50" s="303">
        <v>70</v>
      </c>
      <c r="M50" s="303">
        <v>517.6</v>
      </c>
      <c r="N50" s="386">
        <f t="shared" si="1"/>
        <v>517.6</v>
      </c>
      <c r="O50" s="192">
        <f t="shared" si="0"/>
        <v>2327.6</v>
      </c>
      <c r="P50" s="30">
        <v>0</v>
      </c>
      <c r="Q50" s="28">
        <v>0</v>
      </c>
      <c r="R50" s="28">
        <v>0</v>
      </c>
      <c r="S50" s="280"/>
    </row>
    <row r="51" spans="1:19" ht="12.75">
      <c r="A51" s="28">
        <v>649</v>
      </c>
      <c r="B51" s="29" t="s">
        <v>63</v>
      </c>
      <c r="C51" s="28">
        <v>971</v>
      </c>
      <c r="D51" s="379">
        <v>170</v>
      </c>
      <c r="E51" s="365">
        <v>216</v>
      </c>
      <c r="F51" s="193">
        <v>261</v>
      </c>
      <c r="G51" s="303">
        <v>327</v>
      </c>
      <c r="H51" s="303">
        <v>350</v>
      </c>
      <c r="I51" s="359">
        <f t="shared" si="2"/>
        <v>649</v>
      </c>
      <c r="J51" s="303">
        <v>0</v>
      </c>
      <c r="K51" s="303">
        <v>0</v>
      </c>
      <c r="L51" s="303">
        <v>414.7</v>
      </c>
      <c r="M51" s="303">
        <v>0</v>
      </c>
      <c r="N51" s="386">
        <f t="shared" si="1"/>
        <v>0</v>
      </c>
      <c r="O51" s="192">
        <f t="shared" si="0"/>
        <v>1298</v>
      </c>
      <c r="P51" s="30">
        <v>0</v>
      </c>
      <c r="Q51" s="28">
        <v>0</v>
      </c>
      <c r="R51" s="28">
        <v>0</v>
      </c>
      <c r="S51" s="280"/>
    </row>
    <row r="52" spans="1:19" ht="12.75">
      <c r="A52" s="28">
        <v>650</v>
      </c>
      <c r="B52" s="29" t="s">
        <v>64</v>
      </c>
      <c r="C52" s="28">
        <v>1740</v>
      </c>
      <c r="D52" s="379">
        <v>70</v>
      </c>
      <c r="E52" s="144">
        <v>70</v>
      </c>
      <c r="F52" s="193">
        <f>IF(C52&lt;972,E52+44,E52)</f>
        <v>70</v>
      </c>
      <c r="G52" s="193">
        <v>70</v>
      </c>
      <c r="H52" s="193">
        <v>70</v>
      </c>
      <c r="I52" s="359">
        <f t="shared" si="2"/>
        <v>650</v>
      </c>
      <c r="J52" s="303">
        <v>0</v>
      </c>
      <c r="K52" s="303">
        <v>0</v>
      </c>
      <c r="L52" s="303">
        <v>70</v>
      </c>
      <c r="M52" s="303">
        <v>0</v>
      </c>
      <c r="N52" s="386">
        <f t="shared" si="1"/>
        <v>0</v>
      </c>
      <c r="O52" s="192">
        <f t="shared" si="0"/>
        <v>1810</v>
      </c>
      <c r="P52" s="30">
        <v>0</v>
      </c>
      <c r="Q52" s="28">
        <v>750</v>
      </c>
      <c r="R52" s="28">
        <v>0</v>
      </c>
      <c r="S52" s="280"/>
    </row>
    <row r="53" spans="1:19" ht="12.75">
      <c r="A53" s="28">
        <v>651</v>
      </c>
      <c r="B53" s="29" t="s">
        <v>65</v>
      </c>
      <c r="C53" s="28">
        <v>971</v>
      </c>
      <c r="D53" s="379">
        <v>170</v>
      </c>
      <c r="E53" s="365">
        <v>216</v>
      </c>
      <c r="F53" s="193">
        <v>261</v>
      </c>
      <c r="G53" s="303">
        <v>327</v>
      </c>
      <c r="H53" s="303">
        <v>350</v>
      </c>
      <c r="I53" s="359">
        <f t="shared" si="2"/>
        <v>651</v>
      </c>
      <c r="J53" s="303">
        <v>0</v>
      </c>
      <c r="K53" s="303">
        <v>0</v>
      </c>
      <c r="L53" s="303">
        <v>414.7</v>
      </c>
      <c r="M53" s="303">
        <v>0</v>
      </c>
      <c r="N53" s="386">
        <f t="shared" si="1"/>
        <v>0</v>
      </c>
      <c r="O53" s="192">
        <f t="shared" si="0"/>
        <v>1298</v>
      </c>
      <c r="P53" s="30">
        <v>0</v>
      </c>
      <c r="Q53" s="28">
        <v>0</v>
      </c>
      <c r="R53" s="28">
        <v>0</v>
      </c>
      <c r="S53" s="280"/>
    </row>
    <row r="54" spans="1:19" ht="12.75">
      <c r="A54" s="28">
        <v>652</v>
      </c>
      <c r="B54" s="29" t="s">
        <v>66</v>
      </c>
      <c r="C54" s="28">
        <v>1250</v>
      </c>
      <c r="D54" s="379">
        <v>134</v>
      </c>
      <c r="E54" s="144">
        <v>134</v>
      </c>
      <c r="F54" s="193">
        <f aca="true" t="shared" si="5" ref="F54:F64">IF(C54&lt;972,E54+44,E54)</f>
        <v>134</v>
      </c>
      <c r="G54" s="193">
        <v>134</v>
      </c>
      <c r="H54" s="193">
        <v>134</v>
      </c>
      <c r="I54" s="359">
        <f t="shared" si="2"/>
        <v>652</v>
      </c>
      <c r="J54" s="303">
        <v>0</v>
      </c>
      <c r="K54" s="303">
        <v>0</v>
      </c>
      <c r="L54" s="303">
        <v>134</v>
      </c>
      <c r="M54" s="303">
        <v>0</v>
      </c>
      <c r="N54" s="386">
        <f t="shared" si="1"/>
        <v>0</v>
      </c>
      <c r="O54" s="192">
        <f t="shared" si="0"/>
        <v>1384</v>
      </c>
      <c r="P54" s="30">
        <v>0</v>
      </c>
      <c r="Q54" s="28">
        <v>0</v>
      </c>
      <c r="R54" s="28">
        <v>0</v>
      </c>
      <c r="S54" s="280"/>
    </row>
    <row r="55" spans="1:19" ht="12.75">
      <c r="A55" s="28">
        <v>653</v>
      </c>
      <c r="B55" s="29" t="s">
        <v>67</v>
      </c>
      <c r="C55" s="28">
        <v>1400</v>
      </c>
      <c r="D55" s="379">
        <v>114</v>
      </c>
      <c r="E55" s="144">
        <v>114</v>
      </c>
      <c r="F55" s="193">
        <f t="shared" si="5"/>
        <v>114</v>
      </c>
      <c r="G55" s="193">
        <v>114</v>
      </c>
      <c r="H55" s="193">
        <v>114</v>
      </c>
      <c r="I55" s="359">
        <f t="shared" si="2"/>
        <v>653</v>
      </c>
      <c r="J55" s="303">
        <v>0</v>
      </c>
      <c r="K55" s="303">
        <v>0</v>
      </c>
      <c r="L55" s="303">
        <v>114</v>
      </c>
      <c r="M55" s="303">
        <v>388</v>
      </c>
      <c r="N55" s="386">
        <f t="shared" si="1"/>
        <v>388</v>
      </c>
      <c r="O55" s="192">
        <f t="shared" si="0"/>
        <v>1902</v>
      </c>
      <c r="P55" s="30">
        <v>0</v>
      </c>
      <c r="Q55" s="28">
        <v>100</v>
      </c>
      <c r="R55" s="28">
        <v>0</v>
      </c>
      <c r="S55" s="280"/>
    </row>
    <row r="56" spans="1:19" ht="12.75">
      <c r="A56" s="28">
        <v>654</v>
      </c>
      <c r="B56" s="29" t="s">
        <v>68</v>
      </c>
      <c r="C56" s="28">
        <v>1690</v>
      </c>
      <c r="D56" s="379">
        <v>76</v>
      </c>
      <c r="E56" s="144">
        <v>76</v>
      </c>
      <c r="F56" s="193">
        <f t="shared" si="5"/>
        <v>76</v>
      </c>
      <c r="G56" s="193">
        <v>76</v>
      </c>
      <c r="H56" s="193">
        <v>76</v>
      </c>
      <c r="I56" s="359">
        <f t="shared" si="2"/>
        <v>654</v>
      </c>
      <c r="J56" s="303">
        <v>0</v>
      </c>
      <c r="K56" s="303">
        <v>0</v>
      </c>
      <c r="L56" s="303">
        <v>76</v>
      </c>
      <c r="M56" s="303">
        <v>453</v>
      </c>
      <c r="N56" s="386">
        <f t="shared" si="1"/>
        <v>453</v>
      </c>
      <c r="O56" s="192">
        <f t="shared" si="0"/>
        <v>2219</v>
      </c>
      <c r="P56" s="30">
        <v>0</v>
      </c>
      <c r="Q56" s="28">
        <v>300</v>
      </c>
      <c r="R56" s="28">
        <v>0</v>
      </c>
      <c r="S56" s="280"/>
    </row>
    <row r="57" spans="1:19" ht="12.75">
      <c r="A57" s="28">
        <v>655</v>
      </c>
      <c r="B57" s="29" t="s">
        <v>69</v>
      </c>
      <c r="C57" s="28">
        <v>1550</v>
      </c>
      <c r="D57" s="379">
        <v>94</v>
      </c>
      <c r="E57" s="144">
        <v>94</v>
      </c>
      <c r="F57" s="193">
        <f t="shared" si="5"/>
        <v>94</v>
      </c>
      <c r="G57" s="193">
        <v>94</v>
      </c>
      <c r="H57" s="193">
        <v>94</v>
      </c>
      <c r="I57" s="359">
        <f t="shared" si="2"/>
        <v>655</v>
      </c>
      <c r="J57" s="303">
        <v>0</v>
      </c>
      <c r="K57" s="303">
        <v>0</v>
      </c>
      <c r="L57" s="303">
        <v>94</v>
      </c>
      <c r="M57" s="303">
        <v>388</v>
      </c>
      <c r="N57" s="386">
        <f t="shared" si="1"/>
        <v>388</v>
      </c>
      <c r="O57" s="192">
        <f t="shared" si="0"/>
        <v>2032</v>
      </c>
      <c r="P57" s="30">
        <v>0</v>
      </c>
      <c r="Q57" s="28">
        <v>200</v>
      </c>
      <c r="R57" s="28">
        <v>0</v>
      </c>
      <c r="S57" s="280"/>
    </row>
    <row r="58" spans="1:19" ht="12.75">
      <c r="A58" s="28">
        <v>657</v>
      </c>
      <c r="B58" s="29" t="s">
        <v>70</v>
      </c>
      <c r="C58" s="28">
        <v>1340</v>
      </c>
      <c r="D58" s="379">
        <v>122</v>
      </c>
      <c r="E58" s="144">
        <v>122</v>
      </c>
      <c r="F58" s="193">
        <f t="shared" si="5"/>
        <v>122</v>
      </c>
      <c r="G58" s="193">
        <v>122</v>
      </c>
      <c r="H58" s="193">
        <v>122</v>
      </c>
      <c r="I58" s="359">
        <f t="shared" si="2"/>
        <v>657</v>
      </c>
      <c r="J58" s="303">
        <v>0</v>
      </c>
      <c r="K58" s="303">
        <v>0</v>
      </c>
      <c r="L58" s="303">
        <v>122</v>
      </c>
      <c r="M58" s="303">
        <v>0</v>
      </c>
      <c r="N58" s="386">
        <f t="shared" si="1"/>
        <v>0</v>
      </c>
      <c r="O58" s="192">
        <f t="shared" si="0"/>
        <v>1462</v>
      </c>
      <c r="P58" s="30">
        <v>0</v>
      </c>
      <c r="Q58" s="28">
        <v>0</v>
      </c>
      <c r="R58" s="28">
        <v>0</v>
      </c>
      <c r="S58" s="280"/>
    </row>
    <row r="59" spans="1:19" ht="12.75">
      <c r="A59" s="28">
        <v>658</v>
      </c>
      <c r="B59" s="29" t="s">
        <v>71</v>
      </c>
      <c r="C59" s="28">
        <v>1300</v>
      </c>
      <c r="D59" s="379">
        <v>127</v>
      </c>
      <c r="E59" s="144">
        <v>127</v>
      </c>
      <c r="F59" s="193">
        <f t="shared" si="5"/>
        <v>127</v>
      </c>
      <c r="G59" s="193">
        <v>127</v>
      </c>
      <c r="H59" s="193">
        <v>127</v>
      </c>
      <c r="I59" s="359">
        <f t="shared" si="2"/>
        <v>658</v>
      </c>
      <c r="J59" s="303">
        <v>0</v>
      </c>
      <c r="K59" s="303">
        <v>0</v>
      </c>
      <c r="L59" s="303">
        <v>127</v>
      </c>
      <c r="M59" s="303">
        <v>0</v>
      </c>
      <c r="N59" s="386">
        <f t="shared" si="1"/>
        <v>0</v>
      </c>
      <c r="O59" s="192">
        <f t="shared" si="0"/>
        <v>1427</v>
      </c>
      <c r="P59" s="30">
        <v>0</v>
      </c>
      <c r="Q59" s="28">
        <v>0</v>
      </c>
      <c r="R59" s="28">
        <v>0</v>
      </c>
      <c r="S59" s="280"/>
    </row>
    <row r="60" spans="1:19" ht="12.75">
      <c r="A60" s="28">
        <v>659</v>
      </c>
      <c r="B60" s="29" t="s">
        <v>72</v>
      </c>
      <c r="C60" s="28">
        <v>1340</v>
      </c>
      <c r="D60" s="379">
        <v>122</v>
      </c>
      <c r="E60" s="144">
        <v>122</v>
      </c>
      <c r="F60" s="193">
        <f t="shared" si="5"/>
        <v>122</v>
      </c>
      <c r="G60" s="193">
        <v>122</v>
      </c>
      <c r="H60" s="193">
        <v>122</v>
      </c>
      <c r="I60" s="359">
        <f t="shared" si="2"/>
        <v>659</v>
      </c>
      <c r="J60" s="303">
        <v>0</v>
      </c>
      <c r="K60" s="303">
        <v>0</v>
      </c>
      <c r="L60" s="303">
        <v>122</v>
      </c>
      <c r="M60" s="303">
        <v>0</v>
      </c>
      <c r="N60" s="386">
        <f t="shared" si="1"/>
        <v>0</v>
      </c>
      <c r="O60" s="192">
        <f t="shared" si="0"/>
        <v>1462</v>
      </c>
      <c r="P60" s="30">
        <v>0</v>
      </c>
      <c r="Q60" s="28">
        <v>0</v>
      </c>
      <c r="R60" s="28">
        <v>0</v>
      </c>
      <c r="S60" s="280"/>
    </row>
    <row r="61" spans="1:19" ht="12.75">
      <c r="A61" s="28">
        <v>660</v>
      </c>
      <c r="B61" s="29" t="s">
        <v>73</v>
      </c>
      <c r="C61" s="28">
        <v>1300</v>
      </c>
      <c r="D61" s="379">
        <v>127</v>
      </c>
      <c r="E61" s="144">
        <v>127</v>
      </c>
      <c r="F61" s="193">
        <f t="shared" si="5"/>
        <v>127</v>
      </c>
      <c r="G61" s="193">
        <v>127</v>
      </c>
      <c r="H61" s="193">
        <v>127</v>
      </c>
      <c r="I61" s="359">
        <f t="shared" si="2"/>
        <v>660</v>
      </c>
      <c r="J61" s="303">
        <v>0</v>
      </c>
      <c r="K61" s="303">
        <v>0</v>
      </c>
      <c r="L61" s="303">
        <v>127</v>
      </c>
      <c r="M61" s="303">
        <v>0</v>
      </c>
      <c r="N61" s="386">
        <f t="shared" si="1"/>
        <v>0</v>
      </c>
      <c r="O61" s="192">
        <f t="shared" si="0"/>
        <v>1427</v>
      </c>
      <c r="P61" s="30">
        <v>0</v>
      </c>
      <c r="Q61" s="28">
        <v>0</v>
      </c>
      <c r="R61" s="28">
        <v>0</v>
      </c>
      <c r="S61" s="280"/>
    </row>
    <row r="62" spans="1:19" ht="12.75">
      <c r="A62" s="28">
        <v>661</v>
      </c>
      <c r="B62" s="29" t="s">
        <v>74</v>
      </c>
      <c r="C62" s="28">
        <v>1300</v>
      </c>
      <c r="D62" s="379">
        <v>127</v>
      </c>
      <c r="E62" s="144">
        <v>127</v>
      </c>
      <c r="F62" s="193">
        <f t="shared" si="5"/>
        <v>127</v>
      </c>
      <c r="G62" s="193">
        <v>127</v>
      </c>
      <c r="H62" s="193">
        <v>127</v>
      </c>
      <c r="I62" s="359">
        <f t="shared" si="2"/>
        <v>661</v>
      </c>
      <c r="J62" s="303">
        <v>0</v>
      </c>
      <c r="K62" s="303">
        <v>0</v>
      </c>
      <c r="L62" s="303">
        <v>127</v>
      </c>
      <c r="M62" s="303">
        <v>0</v>
      </c>
      <c r="N62" s="386">
        <f t="shared" si="1"/>
        <v>0</v>
      </c>
      <c r="O62" s="192">
        <f t="shared" si="0"/>
        <v>1427</v>
      </c>
      <c r="P62" s="30">
        <v>0</v>
      </c>
      <c r="Q62" s="28">
        <v>0</v>
      </c>
      <c r="R62" s="28">
        <v>0</v>
      </c>
      <c r="S62" s="280"/>
    </row>
    <row r="63" spans="1:19" ht="12.75">
      <c r="A63" s="28">
        <v>662</v>
      </c>
      <c r="B63" s="29" t="s">
        <v>75</v>
      </c>
      <c r="C63" s="28">
        <v>1690</v>
      </c>
      <c r="D63" s="379">
        <v>76</v>
      </c>
      <c r="E63" s="144">
        <v>76</v>
      </c>
      <c r="F63" s="193">
        <f t="shared" si="5"/>
        <v>76</v>
      </c>
      <c r="G63" s="193">
        <v>76</v>
      </c>
      <c r="H63" s="193">
        <v>76</v>
      </c>
      <c r="I63" s="359">
        <f t="shared" si="2"/>
        <v>662</v>
      </c>
      <c r="J63" s="303">
        <v>0</v>
      </c>
      <c r="K63" s="303">
        <v>0</v>
      </c>
      <c r="L63" s="303">
        <v>76</v>
      </c>
      <c r="M63" s="303">
        <v>0</v>
      </c>
      <c r="N63" s="386">
        <f t="shared" si="1"/>
        <v>0</v>
      </c>
      <c r="O63" s="192">
        <f t="shared" si="0"/>
        <v>1766</v>
      </c>
      <c r="P63" s="30">
        <v>0</v>
      </c>
      <c r="Q63" s="28">
        <v>708</v>
      </c>
      <c r="R63" s="28">
        <v>0</v>
      </c>
      <c r="S63" s="280"/>
    </row>
    <row r="64" spans="1:19" ht="12.75">
      <c r="A64" s="28">
        <v>663</v>
      </c>
      <c r="B64" s="29" t="s">
        <v>76</v>
      </c>
      <c r="C64" s="28">
        <v>1500</v>
      </c>
      <c r="D64" s="379">
        <v>101</v>
      </c>
      <c r="E64" s="144">
        <v>101</v>
      </c>
      <c r="F64" s="193">
        <f t="shared" si="5"/>
        <v>101</v>
      </c>
      <c r="G64" s="193">
        <v>101</v>
      </c>
      <c r="H64" s="193">
        <v>101</v>
      </c>
      <c r="I64" s="359">
        <f t="shared" si="2"/>
        <v>663</v>
      </c>
      <c r="J64" s="303">
        <v>0</v>
      </c>
      <c r="K64" s="303">
        <v>0</v>
      </c>
      <c r="L64" s="303">
        <v>101</v>
      </c>
      <c r="M64" s="303">
        <v>388</v>
      </c>
      <c r="N64" s="386">
        <f t="shared" si="1"/>
        <v>388</v>
      </c>
      <c r="O64" s="192">
        <f t="shared" si="0"/>
        <v>1989</v>
      </c>
      <c r="P64" s="30">
        <v>0</v>
      </c>
      <c r="Q64" s="28">
        <v>0</v>
      </c>
      <c r="R64" s="28">
        <v>0</v>
      </c>
      <c r="S64" s="280"/>
    </row>
    <row r="65" spans="1:19" ht="12.75">
      <c r="A65" s="28">
        <v>664</v>
      </c>
      <c r="B65" s="29" t="s">
        <v>77</v>
      </c>
      <c r="C65" s="28">
        <v>971</v>
      </c>
      <c r="D65" s="379">
        <v>170</v>
      </c>
      <c r="E65" s="365">
        <v>216</v>
      </c>
      <c r="F65" s="193">
        <v>261</v>
      </c>
      <c r="G65" s="303">
        <v>327</v>
      </c>
      <c r="H65" s="303">
        <v>350</v>
      </c>
      <c r="I65" s="359">
        <f t="shared" si="2"/>
        <v>664</v>
      </c>
      <c r="J65" s="303">
        <v>0</v>
      </c>
      <c r="K65" s="303">
        <v>0</v>
      </c>
      <c r="L65" s="303">
        <v>414.7</v>
      </c>
      <c r="M65" s="303">
        <v>0</v>
      </c>
      <c r="N65" s="386">
        <f t="shared" si="1"/>
        <v>0</v>
      </c>
      <c r="O65" s="192">
        <f t="shared" si="0"/>
        <v>1298</v>
      </c>
      <c r="P65" s="30">
        <v>0</v>
      </c>
      <c r="Q65" s="28">
        <v>620</v>
      </c>
      <c r="R65" s="28">
        <v>0</v>
      </c>
      <c r="S65" s="280"/>
    </row>
    <row r="66" spans="1:19" ht="12.75">
      <c r="A66" s="28">
        <v>667</v>
      </c>
      <c r="B66" s="29" t="s">
        <v>78</v>
      </c>
      <c r="C66" s="28">
        <v>2000</v>
      </c>
      <c r="D66" s="379">
        <v>36</v>
      </c>
      <c r="E66" s="144">
        <v>36</v>
      </c>
      <c r="F66" s="193">
        <f aca="true" t="shared" si="6" ref="F66:F92">IF(C66&lt;972,E66+44,E66)</f>
        <v>36</v>
      </c>
      <c r="G66" s="193">
        <v>36</v>
      </c>
      <c r="H66" s="193">
        <v>36</v>
      </c>
      <c r="I66" s="359">
        <f t="shared" si="2"/>
        <v>667</v>
      </c>
      <c r="J66" s="303">
        <v>647</v>
      </c>
      <c r="K66" s="303">
        <v>647</v>
      </c>
      <c r="L66" s="303">
        <v>36</v>
      </c>
      <c r="M66" s="303">
        <v>647</v>
      </c>
      <c r="N66" s="386">
        <f t="shared" si="1"/>
        <v>647</v>
      </c>
      <c r="O66" s="192">
        <f t="shared" si="0"/>
        <v>2683</v>
      </c>
      <c r="P66" s="30">
        <v>0</v>
      </c>
      <c r="Q66" s="28">
        <v>830</v>
      </c>
      <c r="R66" s="28">
        <v>0</v>
      </c>
      <c r="S66" s="280"/>
    </row>
    <row r="67" spans="1:19" ht="12.75">
      <c r="A67" s="28">
        <v>668</v>
      </c>
      <c r="B67" s="29" t="s">
        <v>79</v>
      </c>
      <c r="C67" s="28">
        <v>1840</v>
      </c>
      <c r="D67" s="379">
        <v>57</v>
      </c>
      <c r="E67" s="144">
        <v>57</v>
      </c>
      <c r="F67" s="193">
        <f t="shared" si="6"/>
        <v>57</v>
      </c>
      <c r="G67" s="193">
        <v>57</v>
      </c>
      <c r="H67" s="193">
        <v>57</v>
      </c>
      <c r="I67" s="359">
        <f t="shared" si="2"/>
        <v>668</v>
      </c>
      <c r="J67" s="303">
        <v>582.3</v>
      </c>
      <c r="K67" s="303">
        <v>582.3</v>
      </c>
      <c r="L67" s="303">
        <v>57</v>
      </c>
      <c r="M67" s="303">
        <v>582.3</v>
      </c>
      <c r="N67" s="386">
        <f t="shared" si="1"/>
        <v>582.3</v>
      </c>
      <c r="O67" s="192">
        <f aca="true" t="shared" si="7" ref="O67:O130">C67+G67+M67</f>
        <v>2479.3</v>
      </c>
      <c r="P67" s="30">
        <v>0</v>
      </c>
      <c r="Q67" s="28">
        <v>830</v>
      </c>
      <c r="R67" s="28">
        <v>0</v>
      </c>
      <c r="S67" s="280"/>
    </row>
    <row r="68" spans="1:19" ht="12.75">
      <c r="A68" s="28">
        <v>669</v>
      </c>
      <c r="B68" s="29" t="s">
        <v>80</v>
      </c>
      <c r="C68" s="28">
        <v>1680</v>
      </c>
      <c r="D68" s="379">
        <v>77</v>
      </c>
      <c r="E68" s="144">
        <v>77</v>
      </c>
      <c r="F68" s="193">
        <f t="shared" si="6"/>
        <v>77</v>
      </c>
      <c r="G68" s="193">
        <v>77</v>
      </c>
      <c r="H68" s="193">
        <v>77</v>
      </c>
      <c r="I68" s="359">
        <f t="shared" si="2"/>
        <v>669</v>
      </c>
      <c r="J68" s="303">
        <v>452.9</v>
      </c>
      <c r="K68" s="303">
        <v>452.9</v>
      </c>
      <c r="L68" s="303">
        <v>77</v>
      </c>
      <c r="M68" s="303">
        <v>452.9</v>
      </c>
      <c r="N68" s="386">
        <f aca="true" t="shared" si="8" ref="N68:N97">M68</f>
        <v>452.9</v>
      </c>
      <c r="O68" s="192">
        <f t="shared" si="7"/>
        <v>2209.9</v>
      </c>
      <c r="P68" s="30">
        <v>0</v>
      </c>
      <c r="Q68" s="28">
        <v>830</v>
      </c>
      <c r="R68" s="28">
        <v>0</v>
      </c>
      <c r="S68" s="280"/>
    </row>
    <row r="69" spans="1:19" ht="12.75">
      <c r="A69" s="28">
        <v>670</v>
      </c>
      <c r="B69" s="29" t="s">
        <v>81</v>
      </c>
      <c r="C69" s="28">
        <v>1740</v>
      </c>
      <c r="D69" s="379">
        <v>70</v>
      </c>
      <c r="E69" s="144">
        <v>70</v>
      </c>
      <c r="F69" s="193">
        <f t="shared" si="6"/>
        <v>70</v>
      </c>
      <c r="G69" s="193">
        <v>70</v>
      </c>
      <c r="H69" s="193">
        <v>70</v>
      </c>
      <c r="I69" s="359">
        <f t="shared" si="2"/>
        <v>670</v>
      </c>
      <c r="J69" s="303">
        <v>517.6</v>
      </c>
      <c r="K69" s="303">
        <v>517.6</v>
      </c>
      <c r="L69" s="303">
        <v>70</v>
      </c>
      <c r="M69" s="303">
        <v>517.6</v>
      </c>
      <c r="N69" s="386">
        <f t="shared" si="8"/>
        <v>517.6</v>
      </c>
      <c r="O69" s="192">
        <f t="shared" si="7"/>
        <v>2327.6</v>
      </c>
      <c r="P69" s="30">
        <v>0</v>
      </c>
      <c r="Q69" s="28">
        <v>750</v>
      </c>
      <c r="R69" s="28">
        <v>0</v>
      </c>
      <c r="S69" s="280"/>
    </row>
    <row r="70" spans="1:19" ht="12.75">
      <c r="A70" s="28">
        <v>671</v>
      </c>
      <c r="B70" s="29" t="s">
        <v>82</v>
      </c>
      <c r="C70" s="28">
        <v>1610</v>
      </c>
      <c r="D70" s="379">
        <v>87</v>
      </c>
      <c r="E70" s="144">
        <v>87</v>
      </c>
      <c r="F70" s="193">
        <f t="shared" si="6"/>
        <v>87</v>
      </c>
      <c r="G70" s="193">
        <v>87</v>
      </c>
      <c r="H70" s="193">
        <v>87</v>
      </c>
      <c r="I70" s="359">
        <f aca="true" t="shared" si="9" ref="I70:I133">A70</f>
        <v>671</v>
      </c>
      <c r="J70" s="303">
        <v>0</v>
      </c>
      <c r="K70" s="303">
        <v>0</v>
      </c>
      <c r="L70" s="303">
        <v>87</v>
      </c>
      <c r="M70" s="303">
        <v>0</v>
      </c>
      <c r="N70" s="386">
        <f t="shared" si="8"/>
        <v>0</v>
      </c>
      <c r="O70" s="192">
        <f t="shared" si="7"/>
        <v>1697</v>
      </c>
      <c r="P70" s="30">
        <v>0</v>
      </c>
      <c r="Q70" s="28">
        <v>750</v>
      </c>
      <c r="R70" s="28">
        <v>0</v>
      </c>
      <c r="S70" s="280"/>
    </row>
    <row r="71" spans="1:19" ht="12.75">
      <c r="A71" s="28">
        <v>672</v>
      </c>
      <c r="B71" s="29" t="s">
        <v>83</v>
      </c>
      <c r="C71" s="28">
        <v>2000</v>
      </c>
      <c r="D71" s="379">
        <v>36</v>
      </c>
      <c r="E71" s="144">
        <v>36</v>
      </c>
      <c r="F71" s="193">
        <f t="shared" si="6"/>
        <v>36</v>
      </c>
      <c r="G71" s="193">
        <v>36</v>
      </c>
      <c r="H71" s="193">
        <v>36</v>
      </c>
      <c r="I71" s="359">
        <f t="shared" si="9"/>
        <v>672</v>
      </c>
      <c r="J71" s="303">
        <v>647</v>
      </c>
      <c r="K71" s="303">
        <v>647</v>
      </c>
      <c r="L71" s="303">
        <v>36</v>
      </c>
      <c r="M71" s="303">
        <v>647</v>
      </c>
      <c r="N71" s="386">
        <f t="shared" si="8"/>
        <v>647</v>
      </c>
      <c r="O71" s="192">
        <f t="shared" si="7"/>
        <v>2683</v>
      </c>
      <c r="P71" s="30">
        <v>0</v>
      </c>
      <c r="Q71" s="28">
        <v>300</v>
      </c>
      <c r="R71" s="28">
        <v>0</v>
      </c>
      <c r="S71" s="280"/>
    </row>
    <row r="72" spans="1:19" ht="12.75">
      <c r="A72" s="28">
        <v>673</v>
      </c>
      <c r="B72" s="29" t="s">
        <v>84</v>
      </c>
      <c r="C72" s="28">
        <v>1840</v>
      </c>
      <c r="D72" s="379">
        <v>57</v>
      </c>
      <c r="E72" s="144">
        <v>57</v>
      </c>
      <c r="F72" s="193">
        <f t="shared" si="6"/>
        <v>57</v>
      </c>
      <c r="G72" s="193">
        <v>57</v>
      </c>
      <c r="H72" s="193">
        <v>57</v>
      </c>
      <c r="I72" s="359">
        <f t="shared" si="9"/>
        <v>673</v>
      </c>
      <c r="J72" s="303">
        <v>582.3</v>
      </c>
      <c r="K72" s="303">
        <v>582.3</v>
      </c>
      <c r="L72" s="303">
        <v>57</v>
      </c>
      <c r="M72" s="303">
        <v>582.3</v>
      </c>
      <c r="N72" s="386">
        <f t="shared" si="8"/>
        <v>582.3</v>
      </c>
      <c r="O72" s="192">
        <f t="shared" si="7"/>
        <v>2479.3</v>
      </c>
      <c r="P72" s="30">
        <v>0</v>
      </c>
      <c r="Q72" s="28">
        <v>300</v>
      </c>
      <c r="R72" s="28">
        <v>0</v>
      </c>
      <c r="S72" s="280"/>
    </row>
    <row r="73" spans="1:19" ht="12.75">
      <c r="A73" s="28">
        <v>674</v>
      </c>
      <c r="B73" s="29" t="s">
        <v>85</v>
      </c>
      <c r="C73" s="28">
        <v>1680</v>
      </c>
      <c r="D73" s="379">
        <v>77</v>
      </c>
      <c r="E73" s="144">
        <v>77</v>
      </c>
      <c r="F73" s="193">
        <f t="shared" si="6"/>
        <v>77</v>
      </c>
      <c r="G73" s="193">
        <v>77</v>
      </c>
      <c r="H73" s="193">
        <v>77</v>
      </c>
      <c r="I73" s="359">
        <f t="shared" si="9"/>
        <v>674</v>
      </c>
      <c r="J73" s="303">
        <v>452.9</v>
      </c>
      <c r="K73" s="303">
        <v>452.9</v>
      </c>
      <c r="L73" s="303">
        <v>77</v>
      </c>
      <c r="M73" s="303">
        <v>452.9</v>
      </c>
      <c r="N73" s="386">
        <f t="shared" si="8"/>
        <v>452.9</v>
      </c>
      <c r="O73" s="192">
        <f t="shared" si="7"/>
        <v>2209.9</v>
      </c>
      <c r="P73" s="30">
        <v>0</v>
      </c>
      <c r="Q73" s="28">
        <v>300</v>
      </c>
      <c r="R73" s="28">
        <v>0</v>
      </c>
      <c r="S73" s="280"/>
    </row>
    <row r="74" spans="1:19" ht="12.75">
      <c r="A74" s="28">
        <v>675</v>
      </c>
      <c r="B74" s="29" t="s">
        <v>466</v>
      </c>
      <c r="C74" s="28">
        <v>1740</v>
      </c>
      <c r="D74" s="379">
        <v>70</v>
      </c>
      <c r="E74" s="144">
        <v>70</v>
      </c>
      <c r="F74" s="193">
        <f t="shared" si="6"/>
        <v>70</v>
      </c>
      <c r="G74" s="193">
        <v>70</v>
      </c>
      <c r="H74" s="193">
        <v>70</v>
      </c>
      <c r="I74" s="359">
        <f t="shared" si="9"/>
        <v>675</v>
      </c>
      <c r="J74" s="303">
        <v>0</v>
      </c>
      <c r="K74" s="303">
        <v>0</v>
      </c>
      <c r="L74" s="303">
        <v>70</v>
      </c>
      <c r="M74" s="303">
        <v>517</v>
      </c>
      <c r="N74" s="386">
        <f t="shared" si="8"/>
        <v>517</v>
      </c>
      <c r="O74" s="192">
        <f t="shared" si="7"/>
        <v>2327</v>
      </c>
      <c r="P74" s="30">
        <v>0</v>
      </c>
      <c r="Q74" s="28">
        <v>725</v>
      </c>
      <c r="R74" s="28">
        <v>0</v>
      </c>
      <c r="S74" s="280"/>
    </row>
    <row r="75" spans="1:19" ht="12.75">
      <c r="A75" s="28">
        <v>676</v>
      </c>
      <c r="B75" s="29" t="s">
        <v>464</v>
      </c>
      <c r="C75" s="28">
        <v>1610</v>
      </c>
      <c r="D75" s="379">
        <v>87</v>
      </c>
      <c r="E75" s="144">
        <v>87</v>
      </c>
      <c r="F75" s="193">
        <f t="shared" si="6"/>
        <v>87</v>
      </c>
      <c r="G75" s="193">
        <v>87</v>
      </c>
      <c r="H75" s="193">
        <v>87</v>
      </c>
      <c r="I75" s="359">
        <f t="shared" si="9"/>
        <v>676</v>
      </c>
      <c r="J75" s="303">
        <v>0</v>
      </c>
      <c r="K75" s="303">
        <v>0</v>
      </c>
      <c r="L75" s="303">
        <v>87</v>
      </c>
      <c r="M75" s="303">
        <v>388</v>
      </c>
      <c r="N75" s="386">
        <f t="shared" si="8"/>
        <v>388</v>
      </c>
      <c r="O75" s="192">
        <f t="shared" si="7"/>
        <v>2085</v>
      </c>
      <c r="P75" s="30">
        <v>0</v>
      </c>
      <c r="Q75" s="28">
        <v>725</v>
      </c>
      <c r="R75" s="28">
        <v>0</v>
      </c>
      <c r="S75" s="280"/>
    </row>
    <row r="76" spans="1:19" ht="12.75">
      <c r="A76" s="28">
        <v>677</v>
      </c>
      <c r="B76" s="29" t="s">
        <v>465</v>
      </c>
      <c r="C76" s="28">
        <v>1500</v>
      </c>
      <c r="D76" s="379">
        <v>101</v>
      </c>
      <c r="E76" s="144">
        <v>101</v>
      </c>
      <c r="F76" s="193">
        <f t="shared" si="6"/>
        <v>101</v>
      </c>
      <c r="G76" s="193">
        <v>101</v>
      </c>
      <c r="H76" s="193">
        <v>101</v>
      </c>
      <c r="I76" s="359">
        <f t="shared" si="9"/>
        <v>677</v>
      </c>
      <c r="J76" s="303">
        <v>0</v>
      </c>
      <c r="K76" s="303">
        <v>0</v>
      </c>
      <c r="L76" s="303">
        <v>101</v>
      </c>
      <c r="M76" s="303">
        <v>388</v>
      </c>
      <c r="N76" s="386">
        <f t="shared" si="8"/>
        <v>388</v>
      </c>
      <c r="O76" s="192">
        <f t="shared" si="7"/>
        <v>1989</v>
      </c>
      <c r="P76" s="30">
        <v>0</v>
      </c>
      <c r="Q76" s="28">
        <v>725</v>
      </c>
      <c r="R76" s="28">
        <v>0</v>
      </c>
      <c r="S76" s="280"/>
    </row>
    <row r="77" spans="1:19" ht="12.75">
      <c r="A77" s="28">
        <v>678</v>
      </c>
      <c r="B77" s="29" t="s">
        <v>86</v>
      </c>
      <c r="C77" s="28">
        <v>1320</v>
      </c>
      <c r="D77" s="379">
        <v>124</v>
      </c>
      <c r="E77" s="144">
        <v>124</v>
      </c>
      <c r="F77" s="193">
        <f t="shared" si="6"/>
        <v>124</v>
      </c>
      <c r="G77" s="193">
        <v>124</v>
      </c>
      <c r="H77" s="193">
        <v>124</v>
      </c>
      <c r="I77" s="359">
        <f t="shared" si="9"/>
        <v>678</v>
      </c>
      <c r="J77" s="303">
        <v>0</v>
      </c>
      <c r="K77" s="303">
        <v>0</v>
      </c>
      <c r="L77" s="303">
        <v>124</v>
      </c>
      <c r="M77" s="303">
        <v>0</v>
      </c>
      <c r="N77" s="386">
        <f t="shared" si="8"/>
        <v>0</v>
      </c>
      <c r="O77" s="192">
        <f t="shared" si="7"/>
        <v>1444</v>
      </c>
      <c r="P77" s="30">
        <v>0</v>
      </c>
      <c r="Q77" s="28">
        <v>590</v>
      </c>
      <c r="R77" s="28">
        <v>0</v>
      </c>
      <c r="S77" s="280"/>
    </row>
    <row r="78" spans="1:19" ht="12.75">
      <c r="A78" s="28">
        <v>679</v>
      </c>
      <c r="B78" s="29" t="s">
        <v>87</v>
      </c>
      <c r="C78" s="28">
        <v>1690</v>
      </c>
      <c r="D78" s="379">
        <v>76</v>
      </c>
      <c r="E78" s="144">
        <v>76</v>
      </c>
      <c r="F78" s="193">
        <f t="shared" si="6"/>
        <v>76</v>
      </c>
      <c r="G78" s="193">
        <v>76</v>
      </c>
      <c r="H78" s="193">
        <v>76</v>
      </c>
      <c r="I78" s="359">
        <f t="shared" si="9"/>
        <v>679</v>
      </c>
      <c r="J78" s="303">
        <v>0</v>
      </c>
      <c r="K78" s="303">
        <v>0</v>
      </c>
      <c r="L78" s="303">
        <v>76</v>
      </c>
      <c r="M78" s="303">
        <v>0</v>
      </c>
      <c r="N78" s="386">
        <f t="shared" si="8"/>
        <v>0</v>
      </c>
      <c r="O78" s="192">
        <f t="shared" si="7"/>
        <v>1766</v>
      </c>
      <c r="P78" s="30">
        <v>0</v>
      </c>
      <c r="Q78" s="28">
        <v>708</v>
      </c>
      <c r="R78" s="28">
        <v>0</v>
      </c>
      <c r="S78" s="280"/>
    </row>
    <row r="79" spans="1:19" ht="12.75">
      <c r="A79" s="28">
        <v>680</v>
      </c>
      <c r="B79" s="29" t="s">
        <v>88</v>
      </c>
      <c r="C79" s="28">
        <v>1550</v>
      </c>
      <c r="D79" s="379">
        <v>94</v>
      </c>
      <c r="E79" s="144">
        <v>94</v>
      </c>
      <c r="F79" s="193">
        <f t="shared" si="6"/>
        <v>94</v>
      </c>
      <c r="G79" s="193">
        <v>94</v>
      </c>
      <c r="H79" s="193">
        <v>94</v>
      </c>
      <c r="I79" s="359">
        <f t="shared" si="9"/>
        <v>680</v>
      </c>
      <c r="J79" s="303">
        <v>0</v>
      </c>
      <c r="K79" s="303">
        <v>0</v>
      </c>
      <c r="L79" s="303">
        <v>94</v>
      </c>
      <c r="M79" s="303">
        <v>0</v>
      </c>
      <c r="N79" s="386">
        <f t="shared" si="8"/>
        <v>0</v>
      </c>
      <c r="O79" s="192">
        <f t="shared" si="7"/>
        <v>1644</v>
      </c>
      <c r="P79" s="30">
        <v>0</v>
      </c>
      <c r="Q79" s="28">
        <v>708</v>
      </c>
      <c r="R79" s="28">
        <v>0</v>
      </c>
      <c r="S79" s="280"/>
    </row>
    <row r="80" spans="1:19" ht="12.75">
      <c r="A80" s="28">
        <v>681</v>
      </c>
      <c r="B80" s="29" t="s">
        <v>89</v>
      </c>
      <c r="C80" s="28">
        <v>1400</v>
      </c>
      <c r="D80" s="379">
        <v>114</v>
      </c>
      <c r="E80" s="144">
        <v>114</v>
      </c>
      <c r="F80" s="193">
        <f t="shared" si="6"/>
        <v>114</v>
      </c>
      <c r="G80" s="193">
        <v>114</v>
      </c>
      <c r="H80" s="193">
        <v>114</v>
      </c>
      <c r="I80" s="359">
        <f t="shared" si="9"/>
        <v>681</v>
      </c>
      <c r="J80" s="303">
        <v>0</v>
      </c>
      <c r="K80" s="303">
        <v>0</v>
      </c>
      <c r="L80" s="303">
        <v>114</v>
      </c>
      <c r="M80" s="303">
        <v>0</v>
      </c>
      <c r="N80" s="386">
        <f t="shared" si="8"/>
        <v>0</v>
      </c>
      <c r="O80" s="192">
        <f t="shared" si="7"/>
        <v>1514</v>
      </c>
      <c r="P80" s="30">
        <v>0</v>
      </c>
      <c r="Q80" s="28">
        <v>708</v>
      </c>
      <c r="R80" s="28">
        <v>0</v>
      </c>
      <c r="S80" s="280"/>
    </row>
    <row r="81" spans="1:19" ht="12.75">
      <c r="A81" s="28">
        <v>682</v>
      </c>
      <c r="B81" s="31" t="s">
        <v>90</v>
      </c>
      <c r="C81" s="28">
        <v>1170</v>
      </c>
      <c r="D81" s="379">
        <v>144</v>
      </c>
      <c r="E81" s="144">
        <v>144</v>
      </c>
      <c r="F81" s="193">
        <f t="shared" si="6"/>
        <v>144</v>
      </c>
      <c r="G81" s="193">
        <v>144</v>
      </c>
      <c r="H81" s="193">
        <v>144</v>
      </c>
      <c r="I81" s="359">
        <f t="shared" si="9"/>
        <v>682</v>
      </c>
      <c r="J81" s="303">
        <v>0</v>
      </c>
      <c r="K81" s="303">
        <v>0</v>
      </c>
      <c r="L81" s="303">
        <v>144</v>
      </c>
      <c r="M81" s="303">
        <v>0</v>
      </c>
      <c r="N81" s="386">
        <f t="shared" si="8"/>
        <v>0</v>
      </c>
      <c r="O81" s="192">
        <f t="shared" si="7"/>
        <v>1314</v>
      </c>
      <c r="P81" s="30">
        <v>0</v>
      </c>
      <c r="Q81" s="28">
        <v>580</v>
      </c>
      <c r="R81" s="28">
        <v>0</v>
      </c>
      <c r="S81" s="280"/>
    </row>
    <row r="82" spans="1:19" ht="12.75">
      <c r="A82" s="28">
        <v>683</v>
      </c>
      <c r="B82" s="31" t="s">
        <v>91</v>
      </c>
      <c r="C82" s="28">
        <v>1170</v>
      </c>
      <c r="D82" s="379">
        <v>144</v>
      </c>
      <c r="E82" s="144">
        <v>144</v>
      </c>
      <c r="F82" s="193">
        <f t="shared" si="6"/>
        <v>144</v>
      </c>
      <c r="G82" s="193">
        <v>144</v>
      </c>
      <c r="H82" s="193">
        <v>144</v>
      </c>
      <c r="I82" s="359">
        <f t="shared" si="9"/>
        <v>683</v>
      </c>
      <c r="J82" s="303">
        <v>0</v>
      </c>
      <c r="K82" s="303">
        <v>0</v>
      </c>
      <c r="L82" s="303">
        <v>144</v>
      </c>
      <c r="M82" s="303">
        <v>0</v>
      </c>
      <c r="N82" s="386">
        <f t="shared" si="8"/>
        <v>0</v>
      </c>
      <c r="O82" s="192">
        <f t="shared" si="7"/>
        <v>1314</v>
      </c>
      <c r="P82" s="30">
        <v>0</v>
      </c>
      <c r="Q82" s="28">
        <v>580</v>
      </c>
      <c r="R82" s="28">
        <v>0</v>
      </c>
      <c r="S82" s="280"/>
    </row>
    <row r="83" spans="1:19" ht="12.75">
      <c r="A83" s="28">
        <v>684</v>
      </c>
      <c r="B83" s="29" t="s">
        <v>92</v>
      </c>
      <c r="C83" s="28">
        <v>1170</v>
      </c>
      <c r="D83" s="379">
        <v>144</v>
      </c>
      <c r="E83" s="144">
        <v>144</v>
      </c>
      <c r="F83" s="193">
        <f t="shared" si="6"/>
        <v>144</v>
      </c>
      <c r="G83" s="193">
        <v>144</v>
      </c>
      <c r="H83" s="193">
        <v>144</v>
      </c>
      <c r="I83" s="359">
        <f t="shared" si="9"/>
        <v>684</v>
      </c>
      <c r="J83" s="303">
        <v>0</v>
      </c>
      <c r="K83" s="303">
        <v>0</v>
      </c>
      <c r="L83" s="303">
        <v>144</v>
      </c>
      <c r="M83" s="303">
        <v>0</v>
      </c>
      <c r="N83" s="386">
        <f t="shared" si="8"/>
        <v>0</v>
      </c>
      <c r="O83" s="192">
        <f t="shared" si="7"/>
        <v>1314</v>
      </c>
      <c r="P83" s="30">
        <v>0</v>
      </c>
      <c r="Q83" s="28">
        <v>580</v>
      </c>
      <c r="R83" s="28">
        <v>0</v>
      </c>
      <c r="S83" s="280"/>
    </row>
    <row r="84" spans="1:19" ht="12.75">
      <c r="A84" s="28">
        <v>685</v>
      </c>
      <c r="B84" s="29" t="s">
        <v>93</v>
      </c>
      <c r="C84" s="28">
        <v>1500</v>
      </c>
      <c r="D84" s="379">
        <v>101</v>
      </c>
      <c r="E84" s="144">
        <v>101</v>
      </c>
      <c r="F84" s="193">
        <f t="shared" si="6"/>
        <v>101</v>
      </c>
      <c r="G84" s="193">
        <v>101</v>
      </c>
      <c r="H84" s="193">
        <v>101</v>
      </c>
      <c r="I84" s="359">
        <f t="shared" si="9"/>
        <v>685</v>
      </c>
      <c r="J84" s="303">
        <v>388.2</v>
      </c>
      <c r="K84" s="303">
        <v>388.2</v>
      </c>
      <c r="L84" s="303">
        <v>101</v>
      </c>
      <c r="M84" s="303">
        <v>388.2</v>
      </c>
      <c r="N84" s="386">
        <f t="shared" si="8"/>
        <v>388.2</v>
      </c>
      <c r="O84" s="192">
        <f t="shared" si="7"/>
        <v>1989.2</v>
      </c>
      <c r="P84" s="30">
        <v>0</v>
      </c>
      <c r="Q84" s="28">
        <v>750</v>
      </c>
      <c r="R84" s="28">
        <v>0</v>
      </c>
      <c r="S84" s="280"/>
    </row>
    <row r="85" spans="1:19" ht="12.75">
      <c r="A85" s="28">
        <v>686</v>
      </c>
      <c r="B85" s="29" t="s">
        <v>94</v>
      </c>
      <c r="C85" s="28">
        <v>2000</v>
      </c>
      <c r="D85" s="379">
        <v>36</v>
      </c>
      <c r="E85" s="144">
        <v>36</v>
      </c>
      <c r="F85" s="193">
        <f t="shared" si="6"/>
        <v>36</v>
      </c>
      <c r="G85" s="193">
        <v>36</v>
      </c>
      <c r="H85" s="193">
        <v>36</v>
      </c>
      <c r="I85" s="359">
        <f t="shared" si="9"/>
        <v>686</v>
      </c>
      <c r="J85" s="303">
        <v>647</v>
      </c>
      <c r="K85" s="303">
        <v>647</v>
      </c>
      <c r="L85" s="303">
        <v>36</v>
      </c>
      <c r="M85" s="303">
        <v>647</v>
      </c>
      <c r="N85" s="386">
        <f t="shared" si="8"/>
        <v>647</v>
      </c>
      <c r="O85" s="192">
        <f t="shared" si="7"/>
        <v>2683</v>
      </c>
      <c r="P85" s="30">
        <v>0</v>
      </c>
      <c r="Q85" s="28">
        <v>600</v>
      </c>
      <c r="R85" s="28">
        <v>0</v>
      </c>
      <c r="S85" s="280"/>
    </row>
    <row r="86" spans="1:19" ht="12.75">
      <c r="A86" s="28">
        <v>687</v>
      </c>
      <c r="B86" s="29" t="s">
        <v>95</v>
      </c>
      <c r="C86" s="28">
        <v>1840</v>
      </c>
      <c r="D86" s="379">
        <v>57</v>
      </c>
      <c r="E86" s="144">
        <v>57</v>
      </c>
      <c r="F86" s="193">
        <f t="shared" si="6"/>
        <v>57</v>
      </c>
      <c r="G86" s="193">
        <v>57</v>
      </c>
      <c r="H86" s="193">
        <v>57</v>
      </c>
      <c r="I86" s="359">
        <f t="shared" si="9"/>
        <v>687</v>
      </c>
      <c r="J86" s="303">
        <v>582.3</v>
      </c>
      <c r="K86" s="303">
        <v>582.3</v>
      </c>
      <c r="L86" s="303">
        <v>57</v>
      </c>
      <c r="M86" s="303">
        <v>582.3</v>
      </c>
      <c r="N86" s="386">
        <f t="shared" si="8"/>
        <v>582.3</v>
      </c>
      <c r="O86" s="192">
        <f t="shared" si="7"/>
        <v>2479.3</v>
      </c>
      <c r="P86" s="30">
        <v>0</v>
      </c>
      <c r="Q86" s="28">
        <v>600</v>
      </c>
      <c r="R86" s="28">
        <v>0</v>
      </c>
      <c r="S86" s="280"/>
    </row>
    <row r="87" spans="1:19" ht="12.75">
      <c r="A87" s="28">
        <v>688</v>
      </c>
      <c r="B87" s="29" t="s">
        <v>96</v>
      </c>
      <c r="C87" s="28">
        <v>1680</v>
      </c>
      <c r="D87" s="379">
        <v>77</v>
      </c>
      <c r="E87" s="144">
        <v>77</v>
      </c>
      <c r="F87" s="193">
        <f t="shared" si="6"/>
        <v>77</v>
      </c>
      <c r="G87" s="193">
        <v>77</v>
      </c>
      <c r="H87" s="193">
        <v>77</v>
      </c>
      <c r="I87" s="359">
        <f t="shared" si="9"/>
        <v>688</v>
      </c>
      <c r="J87" s="303">
        <v>0</v>
      </c>
      <c r="K87" s="303">
        <v>0</v>
      </c>
      <c r="L87" s="303">
        <v>77</v>
      </c>
      <c r="M87" s="303">
        <v>0</v>
      </c>
      <c r="N87" s="386">
        <f t="shared" si="8"/>
        <v>0</v>
      </c>
      <c r="O87" s="192">
        <f t="shared" si="7"/>
        <v>1757</v>
      </c>
      <c r="P87" s="30">
        <v>0</v>
      </c>
      <c r="Q87" s="28">
        <v>600</v>
      </c>
      <c r="R87" s="28">
        <v>0</v>
      </c>
      <c r="S87" s="280"/>
    </row>
    <row r="88" spans="1:19" ht="12.75">
      <c r="A88" s="28">
        <v>689</v>
      </c>
      <c r="B88" s="31" t="s">
        <v>97</v>
      </c>
      <c r="C88" s="28">
        <v>1170</v>
      </c>
      <c r="D88" s="379">
        <v>144</v>
      </c>
      <c r="E88" s="144">
        <v>144</v>
      </c>
      <c r="F88" s="193">
        <f t="shared" si="6"/>
        <v>144</v>
      </c>
      <c r="G88" s="193">
        <v>144</v>
      </c>
      <c r="H88" s="193">
        <v>144</v>
      </c>
      <c r="I88" s="359">
        <f t="shared" si="9"/>
        <v>689</v>
      </c>
      <c r="J88" s="303">
        <v>0</v>
      </c>
      <c r="K88" s="303">
        <v>0</v>
      </c>
      <c r="L88" s="303">
        <v>144</v>
      </c>
      <c r="M88" s="303">
        <v>0</v>
      </c>
      <c r="N88" s="386">
        <f t="shared" si="8"/>
        <v>0</v>
      </c>
      <c r="O88" s="192">
        <f t="shared" si="7"/>
        <v>1314</v>
      </c>
      <c r="P88" s="30">
        <v>0</v>
      </c>
      <c r="Q88" s="28">
        <v>580</v>
      </c>
      <c r="R88" s="28">
        <v>0</v>
      </c>
      <c r="S88" s="280"/>
    </row>
    <row r="89" spans="1:19" ht="12.75">
      <c r="A89" s="28">
        <v>691</v>
      </c>
      <c r="B89" s="29" t="s">
        <v>98</v>
      </c>
      <c r="C89" s="28">
        <v>1500</v>
      </c>
      <c r="D89" s="379">
        <v>101</v>
      </c>
      <c r="E89" s="144">
        <v>101</v>
      </c>
      <c r="F89" s="193">
        <f t="shared" si="6"/>
        <v>101</v>
      </c>
      <c r="G89" s="193">
        <v>101</v>
      </c>
      <c r="H89" s="193">
        <v>101</v>
      </c>
      <c r="I89" s="359">
        <f t="shared" si="9"/>
        <v>691</v>
      </c>
      <c r="J89" s="303">
        <v>0</v>
      </c>
      <c r="K89" s="303">
        <v>0</v>
      </c>
      <c r="L89" s="303">
        <v>101</v>
      </c>
      <c r="M89" s="303">
        <v>0</v>
      </c>
      <c r="N89" s="386">
        <f t="shared" si="8"/>
        <v>0</v>
      </c>
      <c r="O89" s="192">
        <f t="shared" si="7"/>
        <v>1601</v>
      </c>
      <c r="P89" s="30">
        <v>0</v>
      </c>
      <c r="Q89" s="28">
        <v>750</v>
      </c>
      <c r="R89" s="28">
        <v>0</v>
      </c>
      <c r="S89" s="280"/>
    </row>
    <row r="90" spans="1:19" ht="12.75">
      <c r="A90" s="28">
        <v>692</v>
      </c>
      <c r="B90" s="29" t="s">
        <v>99</v>
      </c>
      <c r="C90" s="28">
        <v>1690</v>
      </c>
      <c r="D90" s="379">
        <v>76</v>
      </c>
      <c r="E90" s="144">
        <v>76</v>
      </c>
      <c r="F90" s="193">
        <f t="shared" si="6"/>
        <v>76</v>
      </c>
      <c r="G90" s="193">
        <v>76</v>
      </c>
      <c r="H90" s="193">
        <v>76</v>
      </c>
      <c r="I90" s="359">
        <f t="shared" si="9"/>
        <v>692</v>
      </c>
      <c r="J90" s="303">
        <v>0</v>
      </c>
      <c r="K90" s="303">
        <v>0</v>
      </c>
      <c r="L90" s="303">
        <v>76</v>
      </c>
      <c r="M90" s="303">
        <v>0</v>
      </c>
      <c r="N90" s="386">
        <f t="shared" si="8"/>
        <v>0</v>
      </c>
      <c r="O90" s="192">
        <f t="shared" si="7"/>
        <v>1766</v>
      </c>
      <c r="P90" s="30">
        <v>0</v>
      </c>
      <c r="Q90" s="28">
        <v>620</v>
      </c>
      <c r="R90" s="28">
        <v>0</v>
      </c>
      <c r="S90" s="280"/>
    </row>
    <row r="91" spans="1:19" ht="12.75">
      <c r="A91" s="28">
        <v>693</v>
      </c>
      <c r="B91" s="29" t="s">
        <v>100</v>
      </c>
      <c r="C91" s="28">
        <v>1550</v>
      </c>
      <c r="D91" s="379">
        <v>94</v>
      </c>
      <c r="E91" s="144">
        <v>94</v>
      </c>
      <c r="F91" s="193">
        <f t="shared" si="6"/>
        <v>94</v>
      </c>
      <c r="G91" s="193">
        <v>94</v>
      </c>
      <c r="H91" s="193">
        <v>94</v>
      </c>
      <c r="I91" s="359">
        <f t="shared" si="9"/>
        <v>693</v>
      </c>
      <c r="J91" s="303">
        <v>0</v>
      </c>
      <c r="K91" s="303">
        <v>0</v>
      </c>
      <c r="L91" s="303">
        <v>94</v>
      </c>
      <c r="M91" s="303">
        <v>0</v>
      </c>
      <c r="N91" s="386">
        <f t="shared" si="8"/>
        <v>0</v>
      </c>
      <c r="O91" s="192">
        <f t="shared" si="7"/>
        <v>1644</v>
      </c>
      <c r="P91" s="30">
        <v>0</v>
      </c>
      <c r="Q91" s="28">
        <v>620</v>
      </c>
      <c r="R91" s="28">
        <v>0</v>
      </c>
      <c r="S91" s="280"/>
    </row>
    <row r="92" spans="1:19" ht="12.75">
      <c r="A92" s="28">
        <v>694</v>
      </c>
      <c r="B92" s="29" t="s">
        <v>101</v>
      </c>
      <c r="C92" s="28">
        <v>1400</v>
      </c>
      <c r="D92" s="379">
        <v>114</v>
      </c>
      <c r="E92" s="144">
        <v>114</v>
      </c>
      <c r="F92" s="193">
        <f t="shared" si="6"/>
        <v>114</v>
      </c>
      <c r="G92" s="193">
        <v>114</v>
      </c>
      <c r="H92" s="193">
        <v>114</v>
      </c>
      <c r="I92" s="359">
        <f t="shared" si="9"/>
        <v>694</v>
      </c>
      <c r="J92" s="303">
        <v>0</v>
      </c>
      <c r="K92" s="303">
        <v>0</v>
      </c>
      <c r="L92" s="303">
        <v>114</v>
      </c>
      <c r="M92" s="303">
        <v>0</v>
      </c>
      <c r="N92" s="386">
        <f t="shared" si="8"/>
        <v>0</v>
      </c>
      <c r="O92" s="192">
        <f t="shared" si="7"/>
        <v>1514</v>
      </c>
      <c r="P92" s="30">
        <v>0</v>
      </c>
      <c r="Q92" s="28">
        <v>620</v>
      </c>
      <c r="R92" s="28">
        <v>0</v>
      </c>
      <c r="S92" s="280"/>
    </row>
    <row r="93" spans="1:19" ht="12.75">
      <c r="A93" s="28">
        <v>695</v>
      </c>
      <c r="B93" s="29" t="s">
        <v>102</v>
      </c>
      <c r="C93" s="28">
        <v>906</v>
      </c>
      <c r="D93" s="379">
        <v>170</v>
      </c>
      <c r="E93" s="365">
        <v>216</v>
      </c>
      <c r="F93" s="193">
        <v>261</v>
      </c>
      <c r="G93" s="303">
        <v>327</v>
      </c>
      <c r="H93" s="303">
        <v>350</v>
      </c>
      <c r="I93" s="359">
        <f t="shared" si="9"/>
        <v>695</v>
      </c>
      <c r="J93" s="303">
        <v>0</v>
      </c>
      <c r="K93" s="303">
        <v>0</v>
      </c>
      <c r="L93" s="303">
        <v>414.7</v>
      </c>
      <c r="M93" s="303">
        <v>0</v>
      </c>
      <c r="N93" s="386">
        <f t="shared" si="8"/>
        <v>0</v>
      </c>
      <c r="O93" s="192">
        <f t="shared" si="7"/>
        <v>1233</v>
      </c>
      <c r="P93" s="30">
        <v>0</v>
      </c>
      <c r="Q93" s="28">
        <v>0</v>
      </c>
      <c r="R93" s="28">
        <v>0</v>
      </c>
      <c r="S93" s="280"/>
    </row>
    <row r="94" spans="1:19" ht="12.75">
      <c r="A94" s="28">
        <v>696</v>
      </c>
      <c r="B94" s="29" t="s">
        <v>103</v>
      </c>
      <c r="C94" s="28">
        <v>1500</v>
      </c>
      <c r="D94" s="379">
        <v>101</v>
      </c>
      <c r="E94" s="144">
        <v>101</v>
      </c>
      <c r="F94" s="193">
        <f>IF(C94&lt;972,E94+44,E94)</f>
        <v>101</v>
      </c>
      <c r="G94" s="193">
        <v>101</v>
      </c>
      <c r="H94" s="193">
        <v>101</v>
      </c>
      <c r="I94" s="359">
        <f t="shared" si="9"/>
        <v>696</v>
      </c>
      <c r="J94" s="303">
        <v>388.2</v>
      </c>
      <c r="K94" s="303">
        <v>388.2</v>
      </c>
      <c r="L94" s="303">
        <v>101</v>
      </c>
      <c r="M94" s="303">
        <v>388.2</v>
      </c>
      <c r="N94" s="386">
        <f t="shared" si="8"/>
        <v>388.2</v>
      </c>
      <c r="O94" s="192">
        <f t="shared" si="7"/>
        <v>1989.2</v>
      </c>
      <c r="P94" s="30">
        <v>0</v>
      </c>
      <c r="Q94" s="28">
        <v>0</v>
      </c>
      <c r="R94" s="28">
        <v>0</v>
      </c>
      <c r="S94" s="280"/>
    </row>
    <row r="95" spans="1:19" ht="12.75">
      <c r="A95" s="28">
        <v>697</v>
      </c>
      <c r="B95" s="29" t="s">
        <v>104</v>
      </c>
      <c r="C95" s="28">
        <v>1500</v>
      </c>
      <c r="D95" s="379">
        <v>101</v>
      </c>
      <c r="E95" s="144">
        <v>101</v>
      </c>
      <c r="F95" s="193">
        <f>IF(C95&lt;972,E95+44,E95)</f>
        <v>101</v>
      </c>
      <c r="G95" s="193">
        <v>101</v>
      </c>
      <c r="H95" s="193">
        <v>101</v>
      </c>
      <c r="I95" s="359">
        <f t="shared" si="9"/>
        <v>697</v>
      </c>
      <c r="J95" s="303">
        <v>0</v>
      </c>
      <c r="K95" s="303">
        <v>0</v>
      </c>
      <c r="L95" s="303">
        <v>101</v>
      </c>
      <c r="M95" s="303">
        <v>0</v>
      </c>
      <c r="N95" s="386">
        <f t="shared" si="8"/>
        <v>0</v>
      </c>
      <c r="O95" s="192">
        <f t="shared" si="7"/>
        <v>1601</v>
      </c>
      <c r="P95" s="30">
        <v>0</v>
      </c>
      <c r="Q95" s="28">
        <v>0</v>
      </c>
      <c r="R95" s="28">
        <v>0</v>
      </c>
      <c r="S95" s="280"/>
    </row>
    <row r="96" spans="1:19" ht="12.75">
      <c r="A96" s="28">
        <v>698</v>
      </c>
      <c r="B96" s="29" t="s">
        <v>105</v>
      </c>
      <c r="C96" s="28">
        <v>1690</v>
      </c>
      <c r="D96" s="379">
        <v>76</v>
      </c>
      <c r="E96" s="144">
        <v>76</v>
      </c>
      <c r="F96" s="193">
        <f>IF(C96&lt;972,E96+44,E96)</f>
        <v>76</v>
      </c>
      <c r="G96" s="193">
        <v>76</v>
      </c>
      <c r="H96" s="193">
        <v>76</v>
      </c>
      <c r="I96" s="359">
        <f t="shared" si="9"/>
        <v>698</v>
      </c>
      <c r="J96" s="303">
        <v>0</v>
      </c>
      <c r="K96" s="303">
        <v>0</v>
      </c>
      <c r="L96" s="303">
        <v>76</v>
      </c>
      <c r="M96" s="303">
        <v>0</v>
      </c>
      <c r="N96" s="386">
        <f t="shared" si="8"/>
        <v>0</v>
      </c>
      <c r="O96" s="192">
        <f t="shared" si="7"/>
        <v>1766</v>
      </c>
      <c r="P96" s="30">
        <v>0</v>
      </c>
      <c r="Q96" s="28">
        <v>0</v>
      </c>
      <c r="R96" s="28">
        <v>0</v>
      </c>
      <c r="S96" s="280"/>
    </row>
    <row r="97" spans="1:19" ht="12.75">
      <c r="A97" s="28">
        <v>699</v>
      </c>
      <c r="B97" s="29" t="s">
        <v>106</v>
      </c>
      <c r="C97" s="28">
        <v>1550</v>
      </c>
      <c r="D97" s="379">
        <v>94</v>
      </c>
      <c r="E97" s="144">
        <v>94</v>
      </c>
      <c r="F97" s="193">
        <f>IF(C97&lt;972,E97+44,E97)</f>
        <v>94</v>
      </c>
      <c r="G97" s="193">
        <v>94</v>
      </c>
      <c r="H97" s="193">
        <v>94</v>
      </c>
      <c r="I97" s="359">
        <f t="shared" si="9"/>
        <v>699</v>
      </c>
      <c r="J97" s="303">
        <v>0</v>
      </c>
      <c r="K97" s="303">
        <v>0</v>
      </c>
      <c r="L97" s="303">
        <v>94</v>
      </c>
      <c r="M97" s="303">
        <v>0</v>
      </c>
      <c r="N97" s="386">
        <f t="shared" si="8"/>
        <v>0</v>
      </c>
      <c r="O97" s="192">
        <f t="shared" si="7"/>
        <v>1644</v>
      </c>
      <c r="P97" s="30">
        <v>0</v>
      </c>
      <c r="Q97" s="28">
        <v>0</v>
      </c>
      <c r="R97" s="28">
        <v>0</v>
      </c>
      <c r="S97" s="280"/>
    </row>
    <row r="98" spans="1:19" s="311" customFormat="1" ht="12.75">
      <c r="A98" s="305">
        <v>702</v>
      </c>
      <c r="B98" s="306" t="s">
        <v>491</v>
      </c>
      <c r="C98" s="305">
        <v>1400</v>
      </c>
      <c r="D98" s="380">
        <v>170</v>
      </c>
      <c r="E98" s="366">
        <v>216</v>
      </c>
      <c r="F98" s="193">
        <v>261</v>
      </c>
      <c r="G98" s="303">
        <v>327</v>
      </c>
      <c r="H98" s="303">
        <v>350</v>
      </c>
      <c r="I98" s="360">
        <f t="shared" si="9"/>
        <v>702</v>
      </c>
      <c r="J98" s="307">
        <v>0</v>
      </c>
      <c r="K98" s="307">
        <v>0</v>
      </c>
      <c r="L98" s="303">
        <v>114</v>
      </c>
      <c r="M98" s="307">
        <v>0</v>
      </c>
      <c r="N98" s="386">
        <v>310</v>
      </c>
      <c r="O98" s="192">
        <f t="shared" si="7"/>
        <v>1727</v>
      </c>
      <c r="P98" s="309">
        <v>0</v>
      </c>
      <c r="Q98" s="305">
        <v>0</v>
      </c>
      <c r="R98" s="305">
        <v>0</v>
      </c>
      <c r="S98" s="310"/>
    </row>
    <row r="99" spans="1:19" ht="12.75">
      <c r="A99" s="28">
        <v>703</v>
      </c>
      <c r="B99" s="306" t="s">
        <v>492</v>
      </c>
      <c r="C99" s="28">
        <v>1400</v>
      </c>
      <c r="D99" s="379">
        <v>0</v>
      </c>
      <c r="E99" s="144">
        <v>0</v>
      </c>
      <c r="F99" s="193">
        <f>IF(C99&lt;972,E99+44,E99)</f>
        <v>0</v>
      </c>
      <c r="G99" s="193">
        <v>0</v>
      </c>
      <c r="H99" s="193">
        <v>0</v>
      </c>
      <c r="I99" s="359">
        <f t="shared" si="9"/>
        <v>703</v>
      </c>
      <c r="J99" s="303">
        <v>0</v>
      </c>
      <c r="K99" s="303">
        <v>0</v>
      </c>
      <c r="L99" s="303">
        <v>114</v>
      </c>
      <c r="M99" s="303">
        <v>0</v>
      </c>
      <c r="N99" s="386">
        <v>310</v>
      </c>
      <c r="O99" s="192">
        <f t="shared" si="7"/>
        <v>1400</v>
      </c>
      <c r="P99" s="30">
        <v>0</v>
      </c>
      <c r="Q99" s="28">
        <v>0</v>
      </c>
      <c r="R99" s="28">
        <v>0</v>
      </c>
      <c r="S99" s="280"/>
    </row>
    <row r="100" spans="1:19" ht="12.75">
      <c r="A100" s="28">
        <v>704</v>
      </c>
      <c r="B100" s="306" t="s">
        <v>493</v>
      </c>
      <c r="C100" s="28">
        <v>1300</v>
      </c>
      <c r="D100" s="379">
        <v>101</v>
      </c>
      <c r="E100" s="144">
        <v>101</v>
      </c>
      <c r="F100" s="193">
        <f>IF(C100&lt;972,E100+44,E100)</f>
        <v>101</v>
      </c>
      <c r="G100" s="193">
        <v>101</v>
      </c>
      <c r="H100" s="193">
        <v>101</v>
      </c>
      <c r="I100" s="359">
        <f t="shared" si="9"/>
        <v>704</v>
      </c>
      <c r="J100" s="303">
        <v>0</v>
      </c>
      <c r="K100" s="303">
        <v>136</v>
      </c>
      <c r="L100" s="303">
        <v>127</v>
      </c>
      <c r="M100" s="303">
        <v>272</v>
      </c>
      <c r="N100" s="386">
        <v>310</v>
      </c>
      <c r="O100" s="192">
        <f t="shared" si="7"/>
        <v>1673</v>
      </c>
      <c r="P100" s="30">
        <v>0</v>
      </c>
      <c r="Q100" s="28">
        <v>0</v>
      </c>
      <c r="R100" s="28">
        <v>0</v>
      </c>
      <c r="S100" s="280"/>
    </row>
    <row r="101" spans="1:19" ht="12.75">
      <c r="A101" s="28">
        <v>705</v>
      </c>
      <c r="B101" s="306" t="s">
        <v>494</v>
      </c>
      <c r="C101" s="28">
        <v>1300</v>
      </c>
      <c r="D101" s="379">
        <v>89</v>
      </c>
      <c r="E101" s="144">
        <v>89</v>
      </c>
      <c r="F101" s="193">
        <f>IF(C101&lt;972,E101+44,E101)</f>
        <v>89</v>
      </c>
      <c r="G101" s="193">
        <v>89</v>
      </c>
      <c r="H101" s="193">
        <v>89</v>
      </c>
      <c r="I101" s="359">
        <f t="shared" si="9"/>
        <v>705</v>
      </c>
      <c r="J101" s="303">
        <v>0</v>
      </c>
      <c r="K101" s="303">
        <v>175</v>
      </c>
      <c r="L101" s="303">
        <v>127</v>
      </c>
      <c r="M101" s="303">
        <v>350</v>
      </c>
      <c r="N101" s="386">
        <v>310</v>
      </c>
      <c r="O101" s="192">
        <f t="shared" si="7"/>
        <v>1739</v>
      </c>
      <c r="P101" s="30">
        <v>0</v>
      </c>
      <c r="Q101" s="28">
        <v>0</v>
      </c>
      <c r="R101" s="28">
        <v>0</v>
      </c>
      <c r="S101" s="280"/>
    </row>
    <row r="102" spans="1:19" ht="12.75">
      <c r="A102" s="28">
        <v>706</v>
      </c>
      <c r="B102" s="306" t="s">
        <v>495</v>
      </c>
      <c r="C102" s="28">
        <v>1250</v>
      </c>
      <c r="D102" s="379">
        <v>0</v>
      </c>
      <c r="E102" s="144">
        <v>0</v>
      </c>
      <c r="F102" s="193">
        <f>IF(C102&lt;972,E102+44,E102)</f>
        <v>0</v>
      </c>
      <c r="G102" s="193">
        <v>0</v>
      </c>
      <c r="H102" s="193">
        <v>0</v>
      </c>
      <c r="I102" s="359">
        <f t="shared" si="9"/>
        <v>706</v>
      </c>
      <c r="J102" s="303">
        <v>0</v>
      </c>
      <c r="K102" s="303">
        <f>D102*0.09</f>
        <v>0</v>
      </c>
      <c r="L102" s="303">
        <v>134</v>
      </c>
      <c r="M102" s="303">
        <v>0</v>
      </c>
      <c r="N102" s="386">
        <v>310</v>
      </c>
      <c r="O102" s="192">
        <f t="shared" si="7"/>
        <v>1250</v>
      </c>
      <c r="P102" s="30">
        <v>0</v>
      </c>
      <c r="Q102" s="28">
        <v>0</v>
      </c>
      <c r="R102" s="28">
        <v>0</v>
      </c>
      <c r="S102" s="280"/>
    </row>
    <row r="103" spans="1:19" ht="12.75">
      <c r="A103" s="28">
        <v>707</v>
      </c>
      <c r="B103" s="29" t="s">
        <v>437</v>
      </c>
      <c r="C103" s="28">
        <v>2913</v>
      </c>
      <c r="D103" s="379"/>
      <c r="E103" s="144"/>
      <c r="F103" s="193"/>
      <c r="G103" s="193">
        <v>0</v>
      </c>
      <c r="H103" s="193">
        <v>0</v>
      </c>
      <c r="I103" s="359">
        <f t="shared" si="9"/>
        <v>707</v>
      </c>
      <c r="J103" s="303"/>
      <c r="K103" s="303"/>
      <c r="L103" s="303">
        <v>0</v>
      </c>
      <c r="M103" s="303">
        <v>466</v>
      </c>
      <c r="N103" s="386">
        <v>776</v>
      </c>
      <c r="O103" s="192">
        <f t="shared" si="7"/>
        <v>3379</v>
      </c>
      <c r="P103" s="30">
        <v>0</v>
      </c>
      <c r="Q103" s="28">
        <v>0</v>
      </c>
      <c r="R103" s="28">
        <v>0</v>
      </c>
      <c r="S103" s="280"/>
    </row>
    <row r="104" spans="1:19" ht="12.75">
      <c r="A104" s="28">
        <v>708</v>
      </c>
      <c r="B104" s="29" t="s">
        <v>107</v>
      </c>
      <c r="C104" s="28">
        <v>3146</v>
      </c>
      <c r="D104" s="379">
        <v>0</v>
      </c>
      <c r="E104" s="144">
        <v>0</v>
      </c>
      <c r="F104" s="193">
        <f aca="true" t="shared" si="10" ref="F104:F127">IF(C104&lt;972,E104+44,E104)</f>
        <v>0</v>
      </c>
      <c r="G104" s="193">
        <v>0</v>
      </c>
      <c r="H104" s="193">
        <v>0</v>
      </c>
      <c r="I104" s="359">
        <f t="shared" si="9"/>
        <v>708</v>
      </c>
      <c r="J104" s="303">
        <v>0</v>
      </c>
      <c r="K104" s="303">
        <v>0</v>
      </c>
      <c r="L104" s="303">
        <v>0</v>
      </c>
      <c r="M104" s="303">
        <v>466</v>
      </c>
      <c r="N104" s="386">
        <v>776</v>
      </c>
      <c r="O104" s="192">
        <f t="shared" si="7"/>
        <v>3612</v>
      </c>
      <c r="P104" s="30">
        <v>0</v>
      </c>
      <c r="Q104" s="28">
        <v>0</v>
      </c>
      <c r="R104" s="28">
        <v>0</v>
      </c>
      <c r="S104" s="280"/>
    </row>
    <row r="105" spans="1:19" ht="12.75">
      <c r="A105" s="28">
        <v>709</v>
      </c>
      <c r="B105" s="29" t="s">
        <v>438</v>
      </c>
      <c r="C105" s="28">
        <v>2913</v>
      </c>
      <c r="D105" s="379">
        <v>0</v>
      </c>
      <c r="E105" s="144">
        <v>0</v>
      </c>
      <c r="F105" s="193">
        <f t="shared" si="10"/>
        <v>0</v>
      </c>
      <c r="G105" s="193">
        <v>0</v>
      </c>
      <c r="H105" s="193">
        <v>0</v>
      </c>
      <c r="I105" s="359">
        <f t="shared" si="9"/>
        <v>709</v>
      </c>
      <c r="J105" s="303">
        <v>0</v>
      </c>
      <c r="K105" s="344">
        <v>233</v>
      </c>
      <c r="L105" s="303">
        <v>0</v>
      </c>
      <c r="M105" s="344">
        <v>466</v>
      </c>
      <c r="N105" s="386">
        <v>776</v>
      </c>
      <c r="O105" s="192">
        <f t="shared" si="7"/>
        <v>3379</v>
      </c>
      <c r="P105" s="30">
        <v>0</v>
      </c>
      <c r="Q105" s="28">
        <v>0</v>
      </c>
      <c r="R105" s="28">
        <v>0</v>
      </c>
      <c r="S105" s="280"/>
    </row>
    <row r="106" spans="1:19" ht="12.75">
      <c r="A106" s="28">
        <v>710</v>
      </c>
      <c r="B106" s="29" t="s">
        <v>108</v>
      </c>
      <c r="C106" s="28">
        <v>2913</v>
      </c>
      <c r="D106" s="379">
        <v>0</v>
      </c>
      <c r="E106" s="144">
        <v>0</v>
      </c>
      <c r="F106" s="193">
        <f t="shared" si="10"/>
        <v>0</v>
      </c>
      <c r="G106" s="193">
        <v>0</v>
      </c>
      <c r="H106" s="193">
        <v>0</v>
      </c>
      <c r="I106" s="359">
        <f t="shared" si="9"/>
        <v>710</v>
      </c>
      <c r="J106" s="303">
        <v>0</v>
      </c>
      <c r="K106" s="344">
        <v>233</v>
      </c>
      <c r="L106" s="303">
        <v>0</v>
      </c>
      <c r="M106" s="344">
        <v>466</v>
      </c>
      <c r="N106" s="386">
        <v>776</v>
      </c>
      <c r="O106" s="192">
        <f t="shared" si="7"/>
        <v>3379</v>
      </c>
      <c r="P106" s="30">
        <v>20</v>
      </c>
      <c r="Q106" s="28">
        <v>0</v>
      </c>
      <c r="R106" s="28">
        <v>0</v>
      </c>
      <c r="S106" s="280"/>
    </row>
    <row r="107" spans="1:19" ht="12.75">
      <c r="A107" s="28">
        <v>711</v>
      </c>
      <c r="B107" s="29" t="s">
        <v>109</v>
      </c>
      <c r="C107" s="28">
        <v>2913</v>
      </c>
      <c r="D107" s="379">
        <v>0</v>
      </c>
      <c r="E107" s="144">
        <v>0</v>
      </c>
      <c r="F107" s="193">
        <f t="shared" si="10"/>
        <v>0</v>
      </c>
      <c r="G107" s="193">
        <v>0</v>
      </c>
      <c r="H107" s="193">
        <v>0</v>
      </c>
      <c r="I107" s="359">
        <f t="shared" si="9"/>
        <v>711</v>
      </c>
      <c r="J107" s="303">
        <v>0</v>
      </c>
      <c r="K107" s="344">
        <v>233</v>
      </c>
      <c r="L107" s="303">
        <v>0</v>
      </c>
      <c r="M107" s="344">
        <v>466</v>
      </c>
      <c r="N107" s="386">
        <v>776</v>
      </c>
      <c r="O107" s="192">
        <f t="shared" si="7"/>
        <v>3379</v>
      </c>
      <c r="P107" s="30">
        <v>0</v>
      </c>
      <c r="Q107" s="28">
        <v>0</v>
      </c>
      <c r="R107" s="28">
        <v>0</v>
      </c>
      <c r="S107" s="280"/>
    </row>
    <row r="108" spans="1:19" ht="12.75">
      <c r="A108" s="28">
        <v>712</v>
      </c>
      <c r="B108" s="29" t="s">
        <v>439</v>
      </c>
      <c r="C108" s="28">
        <v>2913</v>
      </c>
      <c r="D108" s="379">
        <v>0</v>
      </c>
      <c r="E108" s="144">
        <v>0</v>
      </c>
      <c r="F108" s="193">
        <f t="shared" si="10"/>
        <v>0</v>
      </c>
      <c r="G108" s="193">
        <v>0</v>
      </c>
      <c r="H108" s="193">
        <v>0</v>
      </c>
      <c r="I108" s="359">
        <f t="shared" si="9"/>
        <v>712</v>
      </c>
      <c r="J108" s="303">
        <v>0</v>
      </c>
      <c r="K108" s="344">
        <v>233</v>
      </c>
      <c r="L108" s="303">
        <v>0</v>
      </c>
      <c r="M108" s="344">
        <v>466</v>
      </c>
      <c r="N108" s="386">
        <v>776</v>
      </c>
      <c r="O108" s="192">
        <f t="shared" si="7"/>
        <v>3379</v>
      </c>
      <c r="P108" s="30">
        <v>0</v>
      </c>
      <c r="Q108" s="28">
        <v>0</v>
      </c>
      <c r="R108" s="28">
        <v>0</v>
      </c>
      <c r="S108" s="280"/>
    </row>
    <row r="109" spans="1:19" ht="12.75">
      <c r="A109" s="28">
        <v>713</v>
      </c>
      <c r="B109" s="29" t="s">
        <v>110</v>
      </c>
      <c r="C109" s="28">
        <v>2913</v>
      </c>
      <c r="D109" s="379">
        <v>0</v>
      </c>
      <c r="E109" s="144">
        <v>0</v>
      </c>
      <c r="F109" s="193">
        <f t="shared" si="10"/>
        <v>0</v>
      </c>
      <c r="G109" s="193">
        <v>0</v>
      </c>
      <c r="H109" s="193">
        <v>0</v>
      </c>
      <c r="I109" s="359">
        <f t="shared" si="9"/>
        <v>713</v>
      </c>
      <c r="J109" s="303">
        <v>0</v>
      </c>
      <c r="K109" s="344">
        <v>233</v>
      </c>
      <c r="L109" s="303">
        <v>0</v>
      </c>
      <c r="M109" s="344">
        <v>466</v>
      </c>
      <c r="N109" s="386">
        <v>776</v>
      </c>
      <c r="O109" s="192">
        <f t="shared" si="7"/>
        <v>3379</v>
      </c>
      <c r="P109" s="30">
        <v>0</v>
      </c>
      <c r="Q109" s="28">
        <v>0</v>
      </c>
      <c r="R109" s="28">
        <v>0</v>
      </c>
      <c r="S109" s="280"/>
    </row>
    <row r="110" spans="1:19" ht="12.75">
      <c r="A110" s="28">
        <v>714</v>
      </c>
      <c r="B110" s="29" t="s">
        <v>111</v>
      </c>
      <c r="C110" s="28">
        <v>2913</v>
      </c>
      <c r="D110" s="379">
        <v>0</v>
      </c>
      <c r="E110" s="144">
        <v>0</v>
      </c>
      <c r="F110" s="193">
        <f t="shared" si="10"/>
        <v>0</v>
      </c>
      <c r="G110" s="193">
        <v>0</v>
      </c>
      <c r="H110" s="193">
        <v>0</v>
      </c>
      <c r="I110" s="359">
        <f t="shared" si="9"/>
        <v>714</v>
      </c>
      <c r="J110" s="303">
        <v>0</v>
      </c>
      <c r="K110" s="303">
        <f>D110*0.09</f>
        <v>0</v>
      </c>
      <c r="L110" s="303">
        <v>0</v>
      </c>
      <c r="M110" s="303">
        <v>0</v>
      </c>
      <c r="N110" s="386">
        <f>M110*1.1</f>
        <v>0</v>
      </c>
      <c r="O110" s="192">
        <f t="shared" si="7"/>
        <v>2913</v>
      </c>
      <c r="P110" s="30">
        <v>0</v>
      </c>
      <c r="Q110" s="28">
        <v>0</v>
      </c>
      <c r="R110" s="28">
        <v>0</v>
      </c>
      <c r="S110" s="280"/>
    </row>
    <row r="111" spans="1:19" ht="12.75">
      <c r="A111" s="28">
        <v>715</v>
      </c>
      <c r="B111" s="29" t="s">
        <v>112</v>
      </c>
      <c r="C111" s="28">
        <v>1912</v>
      </c>
      <c r="D111" s="379">
        <v>47</v>
      </c>
      <c r="E111" s="144">
        <v>47</v>
      </c>
      <c r="F111" s="193">
        <f t="shared" si="10"/>
        <v>47</v>
      </c>
      <c r="G111" s="193">
        <v>47</v>
      </c>
      <c r="H111" s="193">
        <v>47</v>
      </c>
      <c r="I111" s="359">
        <f t="shared" si="9"/>
        <v>715</v>
      </c>
      <c r="J111" s="303">
        <v>0</v>
      </c>
      <c r="K111" s="303">
        <v>230</v>
      </c>
      <c r="L111" s="303">
        <v>47</v>
      </c>
      <c r="M111" s="303">
        <v>460</v>
      </c>
      <c r="N111" s="386">
        <f aca="true" t="shared" si="11" ref="N111:N127">M111*1.33333</f>
        <v>613.3317999999999</v>
      </c>
      <c r="O111" s="192">
        <f t="shared" si="7"/>
        <v>2419</v>
      </c>
      <c r="P111" s="30">
        <v>0</v>
      </c>
      <c r="Q111" s="28">
        <v>42</v>
      </c>
      <c r="R111" s="28">
        <v>0</v>
      </c>
      <c r="S111" s="280"/>
    </row>
    <row r="112" spans="1:19" ht="12.75">
      <c r="A112" s="28">
        <v>716</v>
      </c>
      <c r="B112" s="29" t="s">
        <v>113</v>
      </c>
      <c r="C112" s="28">
        <v>1942</v>
      </c>
      <c r="D112" s="379">
        <v>43</v>
      </c>
      <c r="E112" s="144">
        <v>43</v>
      </c>
      <c r="F112" s="193">
        <f t="shared" si="10"/>
        <v>43</v>
      </c>
      <c r="G112" s="193">
        <v>43</v>
      </c>
      <c r="H112" s="193">
        <v>43</v>
      </c>
      <c r="I112" s="359">
        <f t="shared" si="9"/>
        <v>716</v>
      </c>
      <c r="J112" s="303">
        <v>0</v>
      </c>
      <c r="K112" s="345">
        <v>194</v>
      </c>
      <c r="L112" s="303">
        <v>43</v>
      </c>
      <c r="M112" s="345">
        <v>388</v>
      </c>
      <c r="N112" s="386">
        <f t="shared" si="11"/>
        <v>517.33204</v>
      </c>
      <c r="O112" s="192">
        <f t="shared" si="7"/>
        <v>2373</v>
      </c>
      <c r="P112" s="30">
        <v>0</v>
      </c>
      <c r="Q112" s="28">
        <v>0</v>
      </c>
      <c r="R112" s="28">
        <v>0</v>
      </c>
      <c r="S112" s="281">
        <v>782</v>
      </c>
    </row>
    <row r="113" spans="1:19" ht="12.75">
      <c r="A113" s="28">
        <v>717</v>
      </c>
      <c r="B113" s="29" t="s">
        <v>448</v>
      </c>
      <c r="C113" s="28">
        <v>2100</v>
      </c>
      <c r="D113" s="379">
        <v>23</v>
      </c>
      <c r="E113" s="144">
        <v>23</v>
      </c>
      <c r="F113" s="193">
        <f t="shared" si="10"/>
        <v>23</v>
      </c>
      <c r="G113" s="193">
        <v>23</v>
      </c>
      <c r="H113" s="193">
        <v>23</v>
      </c>
      <c r="I113" s="359">
        <f t="shared" si="9"/>
        <v>717</v>
      </c>
      <c r="J113" s="303">
        <v>0</v>
      </c>
      <c r="K113" s="345">
        <v>194</v>
      </c>
      <c r="L113" s="303">
        <v>23</v>
      </c>
      <c r="M113" s="345">
        <v>388</v>
      </c>
      <c r="N113" s="386">
        <f t="shared" si="11"/>
        <v>517.33204</v>
      </c>
      <c r="O113" s="192">
        <f t="shared" si="7"/>
        <v>2511</v>
      </c>
      <c r="P113" s="30">
        <v>150</v>
      </c>
      <c r="Q113" s="28">
        <v>0</v>
      </c>
      <c r="R113" s="28">
        <v>0</v>
      </c>
      <c r="S113" s="280"/>
    </row>
    <row r="114" spans="1:19" ht="12.75">
      <c r="A114" s="28">
        <v>718</v>
      </c>
      <c r="B114" s="29" t="s">
        <v>114</v>
      </c>
      <c r="C114" s="28">
        <v>1942</v>
      </c>
      <c r="D114" s="379">
        <v>43</v>
      </c>
      <c r="E114" s="144">
        <v>43</v>
      </c>
      <c r="F114" s="193">
        <f t="shared" si="10"/>
        <v>43</v>
      </c>
      <c r="G114" s="193">
        <v>43</v>
      </c>
      <c r="H114" s="193">
        <v>43</v>
      </c>
      <c r="I114" s="359">
        <f t="shared" si="9"/>
        <v>718</v>
      </c>
      <c r="J114" s="303">
        <v>0</v>
      </c>
      <c r="K114" s="345">
        <v>194</v>
      </c>
      <c r="L114" s="303">
        <v>43</v>
      </c>
      <c r="M114" s="345">
        <v>388</v>
      </c>
      <c r="N114" s="386">
        <f t="shared" si="11"/>
        <v>517.33204</v>
      </c>
      <c r="O114" s="192">
        <f t="shared" si="7"/>
        <v>2373</v>
      </c>
      <c r="P114" s="30">
        <v>17</v>
      </c>
      <c r="Q114" s="28">
        <v>0</v>
      </c>
      <c r="R114" s="28">
        <v>0</v>
      </c>
      <c r="S114" s="280"/>
    </row>
    <row r="115" spans="1:19" ht="12.75">
      <c r="A115" s="28">
        <v>719</v>
      </c>
      <c r="B115" s="29" t="s">
        <v>115</v>
      </c>
      <c r="C115" s="28">
        <v>1782</v>
      </c>
      <c r="D115" s="379">
        <v>64</v>
      </c>
      <c r="E115" s="144">
        <v>64</v>
      </c>
      <c r="F115" s="193">
        <f t="shared" si="10"/>
        <v>64</v>
      </c>
      <c r="G115" s="193">
        <v>64</v>
      </c>
      <c r="H115" s="193">
        <v>64</v>
      </c>
      <c r="I115" s="359">
        <f t="shared" si="9"/>
        <v>719</v>
      </c>
      <c r="J115" s="303">
        <v>0</v>
      </c>
      <c r="K115" s="345">
        <v>175</v>
      </c>
      <c r="L115" s="303">
        <v>64</v>
      </c>
      <c r="M115" s="345">
        <v>349</v>
      </c>
      <c r="N115" s="386">
        <f t="shared" si="11"/>
        <v>465.33216999999996</v>
      </c>
      <c r="O115" s="192">
        <f t="shared" si="7"/>
        <v>2195</v>
      </c>
      <c r="P115" s="30">
        <v>0</v>
      </c>
      <c r="Q115" s="28">
        <v>0</v>
      </c>
      <c r="R115" s="28">
        <v>0</v>
      </c>
      <c r="S115" s="281">
        <v>782</v>
      </c>
    </row>
    <row r="116" spans="1:19" ht="12.75">
      <c r="A116" s="28">
        <v>720</v>
      </c>
      <c r="B116" s="29" t="s">
        <v>116</v>
      </c>
      <c r="C116" s="28">
        <v>1782</v>
      </c>
      <c r="D116" s="379">
        <v>64</v>
      </c>
      <c r="E116" s="144">
        <v>64</v>
      </c>
      <c r="F116" s="193">
        <f t="shared" si="10"/>
        <v>64</v>
      </c>
      <c r="G116" s="193">
        <v>64</v>
      </c>
      <c r="H116" s="193">
        <v>64</v>
      </c>
      <c r="I116" s="359">
        <f t="shared" si="9"/>
        <v>720</v>
      </c>
      <c r="J116" s="303">
        <v>0</v>
      </c>
      <c r="K116" s="345">
        <v>175</v>
      </c>
      <c r="L116" s="303">
        <v>64</v>
      </c>
      <c r="M116" s="345">
        <v>349</v>
      </c>
      <c r="N116" s="386">
        <f t="shared" si="11"/>
        <v>465.33216999999996</v>
      </c>
      <c r="O116" s="192">
        <f t="shared" si="7"/>
        <v>2195</v>
      </c>
      <c r="P116" s="30">
        <v>17</v>
      </c>
      <c r="Q116" s="28">
        <v>0</v>
      </c>
      <c r="R116" s="28">
        <v>0</v>
      </c>
      <c r="S116" s="280"/>
    </row>
    <row r="117" spans="1:19" ht="12.75">
      <c r="A117" s="28">
        <v>721</v>
      </c>
      <c r="B117" s="29" t="s">
        <v>117</v>
      </c>
      <c r="C117" s="28">
        <v>1942</v>
      </c>
      <c r="D117" s="379">
        <v>43</v>
      </c>
      <c r="E117" s="144">
        <v>43</v>
      </c>
      <c r="F117" s="193">
        <f t="shared" si="10"/>
        <v>43</v>
      </c>
      <c r="G117" s="193">
        <v>43</v>
      </c>
      <c r="H117" s="193">
        <v>43</v>
      </c>
      <c r="I117" s="359">
        <f t="shared" si="9"/>
        <v>721</v>
      </c>
      <c r="J117" s="303">
        <v>0</v>
      </c>
      <c r="K117" s="345">
        <v>194</v>
      </c>
      <c r="L117" s="303">
        <v>43</v>
      </c>
      <c r="M117" s="345">
        <v>388</v>
      </c>
      <c r="N117" s="386">
        <f t="shared" si="11"/>
        <v>517.33204</v>
      </c>
      <c r="O117" s="192">
        <f t="shared" si="7"/>
        <v>2373</v>
      </c>
      <c r="P117" s="30">
        <v>150</v>
      </c>
      <c r="Q117" s="28">
        <v>0</v>
      </c>
      <c r="R117" s="28">
        <v>0</v>
      </c>
      <c r="S117" s="280"/>
    </row>
    <row r="118" spans="1:19" ht="12.75">
      <c r="A118" s="28">
        <v>722</v>
      </c>
      <c r="B118" s="29" t="s">
        <v>118</v>
      </c>
      <c r="C118" s="28">
        <v>1692</v>
      </c>
      <c r="D118" s="379">
        <v>76</v>
      </c>
      <c r="E118" s="144">
        <v>76</v>
      </c>
      <c r="F118" s="193">
        <f t="shared" si="10"/>
        <v>76</v>
      </c>
      <c r="G118" s="193">
        <v>76</v>
      </c>
      <c r="H118" s="193">
        <v>76</v>
      </c>
      <c r="I118" s="359">
        <f t="shared" si="9"/>
        <v>722</v>
      </c>
      <c r="J118" s="303">
        <v>0</v>
      </c>
      <c r="K118" s="345">
        <v>136</v>
      </c>
      <c r="L118" s="303">
        <v>76</v>
      </c>
      <c r="M118" s="345">
        <v>272</v>
      </c>
      <c r="N118" s="386">
        <f t="shared" si="11"/>
        <v>362.66576</v>
      </c>
      <c r="O118" s="192">
        <f t="shared" si="7"/>
        <v>2040</v>
      </c>
      <c r="P118" s="30">
        <v>0</v>
      </c>
      <c r="Q118" s="28">
        <v>0</v>
      </c>
      <c r="R118" s="28">
        <v>0</v>
      </c>
      <c r="S118" s="281">
        <v>744</v>
      </c>
    </row>
    <row r="119" spans="1:19" ht="12.75">
      <c r="A119" s="28">
        <v>723</v>
      </c>
      <c r="B119" s="29" t="s">
        <v>119</v>
      </c>
      <c r="C119" s="28">
        <v>1700</v>
      </c>
      <c r="D119" s="379">
        <v>75</v>
      </c>
      <c r="E119" s="144">
        <v>75</v>
      </c>
      <c r="F119" s="193">
        <f t="shared" si="10"/>
        <v>75</v>
      </c>
      <c r="G119" s="193">
        <v>75</v>
      </c>
      <c r="H119" s="193">
        <v>75</v>
      </c>
      <c r="I119" s="359">
        <f t="shared" si="9"/>
        <v>723</v>
      </c>
      <c r="J119" s="303">
        <v>0</v>
      </c>
      <c r="K119" s="345">
        <v>116</v>
      </c>
      <c r="L119" s="303">
        <v>75</v>
      </c>
      <c r="M119" s="345">
        <v>233</v>
      </c>
      <c r="N119" s="386">
        <f t="shared" si="11"/>
        <v>310.66589</v>
      </c>
      <c r="O119" s="192">
        <f t="shared" si="7"/>
        <v>2008</v>
      </c>
      <c r="P119" s="30">
        <v>0</v>
      </c>
      <c r="Q119" s="28">
        <v>0</v>
      </c>
      <c r="R119" s="28">
        <v>0</v>
      </c>
      <c r="S119" s="281">
        <v>769</v>
      </c>
    </row>
    <row r="120" spans="1:19" ht="12.75">
      <c r="A120" s="28">
        <v>724</v>
      </c>
      <c r="B120" s="29" t="s">
        <v>120</v>
      </c>
      <c r="C120" s="28">
        <v>1942</v>
      </c>
      <c r="D120" s="379">
        <v>43</v>
      </c>
      <c r="E120" s="144">
        <v>43</v>
      </c>
      <c r="F120" s="193">
        <f t="shared" si="10"/>
        <v>43</v>
      </c>
      <c r="G120" s="193">
        <v>43</v>
      </c>
      <c r="H120" s="193">
        <v>43</v>
      </c>
      <c r="I120" s="359">
        <f t="shared" si="9"/>
        <v>724</v>
      </c>
      <c r="J120" s="303">
        <v>0</v>
      </c>
      <c r="K120" s="303">
        <v>233</v>
      </c>
      <c r="L120" s="303">
        <v>43</v>
      </c>
      <c r="M120" s="303">
        <v>466</v>
      </c>
      <c r="N120" s="386">
        <f t="shared" si="11"/>
        <v>621.33178</v>
      </c>
      <c r="O120" s="192">
        <f t="shared" si="7"/>
        <v>2451</v>
      </c>
      <c r="P120" s="30">
        <v>150</v>
      </c>
      <c r="Q120" s="28">
        <v>0</v>
      </c>
      <c r="R120" s="28">
        <v>0</v>
      </c>
      <c r="S120" s="280"/>
    </row>
    <row r="121" spans="1:19" ht="12.75">
      <c r="A121" s="28">
        <v>725</v>
      </c>
      <c r="B121" s="29" t="s">
        <v>121</v>
      </c>
      <c r="C121" s="28">
        <v>1592</v>
      </c>
      <c r="D121" s="379">
        <v>89</v>
      </c>
      <c r="E121" s="144">
        <v>89</v>
      </c>
      <c r="F121" s="193">
        <f t="shared" si="10"/>
        <v>89</v>
      </c>
      <c r="G121" s="193">
        <v>89</v>
      </c>
      <c r="H121" s="193">
        <v>89</v>
      </c>
      <c r="I121" s="359">
        <f t="shared" si="9"/>
        <v>725</v>
      </c>
      <c r="J121" s="303">
        <v>0</v>
      </c>
      <c r="K121" s="303">
        <v>116</v>
      </c>
      <c r="L121" s="303">
        <v>89</v>
      </c>
      <c r="M121" s="303">
        <v>233</v>
      </c>
      <c r="N121" s="386">
        <f t="shared" si="11"/>
        <v>310.66589</v>
      </c>
      <c r="O121" s="192">
        <f t="shared" si="7"/>
        <v>1914</v>
      </c>
      <c r="P121" s="30">
        <v>0</v>
      </c>
      <c r="Q121" s="28">
        <v>0</v>
      </c>
      <c r="R121" s="28">
        <v>0</v>
      </c>
      <c r="S121" s="281">
        <v>738</v>
      </c>
    </row>
    <row r="122" spans="1:19" ht="12.75">
      <c r="A122" s="28">
        <v>726</v>
      </c>
      <c r="B122" s="29" t="s">
        <v>122</v>
      </c>
      <c r="C122" s="28">
        <v>1500</v>
      </c>
      <c r="D122" s="379">
        <v>101</v>
      </c>
      <c r="E122" s="144">
        <v>101</v>
      </c>
      <c r="F122" s="193">
        <f t="shared" si="10"/>
        <v>101</v>
      </c>
      <c r="G122" s="193">
        <v>101</v>
      </c>
      <c r="H122" s="193">
        <v>101</v>
      </c>
      <c r="I122" s="359">
        <f t="shared" si="9"/>
        <v>726</v>
      </c>
      <c r="J122" s="303">
        <v>0</v>
      </c>
      <c r="K122" s="303">
        <v>0</v>
      </c>
      <c r="L122" s="303">
        <v>101</v>
      </c>
      <c r="M122" s="303">
        <v>0</v>
      </c>
      <c r="N122" s="386">
        <f>M122*1.1</f>
        <v>0</v>
      </c>
      <c r="O122" s="192">
        <f t="shared" si="7"/>
        <v>1601</v>
      </c>
      <c r="P122" s="30">
        <v>150</v>
      </c>
      <c r="Q122" s="28">
        <v>0</v>
      </c>
      <c r="R122" s="28">
        <v>0</v>
      </c>
      <c r="S122" s="280"/>
    </row>
    <row r="123" spans="1:19" ht="12.75">
      <c r="A123" s="32">
        <v>727</v>
      </c>
      <c r="B123" s="349" t="s">
        <v>123</v>
      </c>
      <c r="C123" s="350">
        <v>1600</v>
      </c>
      <c r="D123" s="379">
        <v>88</v>
      </c>
      <c r="E123" s="348">
        <v>88</v>
      </c>
      <c r="F123" s="345">
        <f t="shared" si="10"/>
        <v>88</v>
      </c>
      <c r="G123" s="345">
        <v>88</v>
      </c>
      <c r="H123" s="345">
        <v>88</v>
      </c>
      <c r="I123" s="361">
        <f t="shared" si="9"/>
        <v>727</v>
      </c>
      <c r="J123" s="345">
        <v>0</v>
      </c>
      <c r="K123" s="345">
        <v>116</v>
      </c>
      <c r="L123" s="303">
        <v>88</v>
      </c>
      <c r="M123" s="345">
        <v>233</v>
      </c>
      <c r="N123" s="386">
        <f t="shared" si="11"/>
        <v>310.66589</v>
      </c>
      <c r="O123" s="192">
        <f t="shared" si="7"/>
        <v>1921</v>
      </c>
      <c r="P123" s="33">
        <v>0</v>
      </c>
      <c r="Q123" s="32">
        <v>0</v>
      </c>
      <c r="R123" s="32">
        <v>0</v>
      </c>
      <c r="S123" s="281">
        <v>738</v>
      </c>
    </row>
    <row r="124" spans="1:19" ht="12.75">
      <c r="A124" s="28">
        <v>728</v>
      </c>
      <c r="B124" s="29" t="s">
        <v>124</v>
      </c>
      <c r="C124" s="28">
        <v>1360</v>
      </c>
      <c r="D124" s="379">
        <v>120</v>
      </c>
      <c r="E124" s="144">
        <v>120</v>
      </c>
      <c r="F124" s="193">
        <f t="shared" si="10"/>
        <v>120</v>
      </c>
      <c r="G124" s="193">
        <v>120</v>
      </c>
      <c r="H124" s="193">
        <v>120</v>
      </c>
      <c r="I124" s="359">
        <f t="shared" si="9"/>
        <v>728</v>
      </c>
      <c r="J124" s="303">
        <v>0</v>
      </c>
      <c r="K124" s="303">
        <v>116</v>
      </c>
      <c r="L124" s="303">
        <v>120</v>
      </c>
      <c r="M124" s="303">
        <v>233</v>
      </c>
      <c r="N124" s="386">
        <f t="shared" si="11"/>
        <v>310.66589</v>
      </c>
      <c r="O124" s="192">
        <f t="shared" si="7"/>
        <v>1713</v>
      </c>
      <c r="P124" s="30">
        <v>17</v>
      </c>
      <c r="Q124" s="28">
        <v>0</v>
      </c>
      <c r="R124" s="28">
        <v>0</v>
      </c>
      <c r="S124" s="280"/>
    </row>
    <row r="125" spans="1:19" ht="12.75">
      <c r="A125" s="28">
        <v>729</v>
      </c>
      <c r="B125" s="29" t="s">
        <v>125</v>
      </c>
      <c r="C125" s="28">
        <v>1692</v>
      </c>
      <c r="D125" s="379">
        <v>76</v>
      </c>
      <c r="E125" s="144">
        <v>76</v>
      </c>
      <c r="F125" s="193">
        <f t="shared" si="10"/>
        <v>76</v>
      </c>
      <c r="G125" s="193">
        <v>76</v>
      </c>
      <c r="H125" s="193">
        <v>76</v>
      </c>
      <c r="I125" s="359">
        <f t="shared" si="9"/>
        <v>729</v>
      </c>
      <c r="J125" s="303">
        <v>0</v>
      </c>
      <c r="K125" s="345">
        <v>194</v>
      </c>
      <c r="L125" s="303">
        <v>76</v>
      </c>
      <c r="M125" s="345">
        <v>388</v>
      </c>
      <c r="N125" s="386">
        <f t="shared" si="11"/>
        <v>517.33204</v>
      </c>
      <c r="O125" s="192">
        <f t="shared" si="7"/>
        <v>2156</v>
      </c>
      <c r="P125" s="30">
        <v>0</v>
      </c>
      <c r="Q125" s="28">
        <v>0</v>
      </c>
      <c r="R125" s="28">
        <v>0</v>
      </c>
      <c r="S125" s="280"/>
    </row>
    <row r="126" spans="1:19" ht="12.75">
      <c r="A126" s="28">
        <v>730</v>
      </c>
      <c r="B126" s="29" t="s">
        <v>126</v>
      </c>
      <c r="C126" s="28">
        <v>1700</v>
      </c>
      <c r="D126" s="379">
        <v>75</v>
      </c>
      <c r="E126" s="144">
        <v>75</v>
      </c>
      <c r="F126" s="193">
        <f t="shared" si="10"/>
        <v>75</v>
      </c>
      <c r="G126" s="193">
        <v>75</v>
      </c>
      <c r="H126" s="193">
        <v>75</v>
      </c>
      <c r="I126" s="359">
        <f t="shared" si="9"/>
        <v>730</v>
      </c>
      <c r="J126" s="303">
        <v>0</v>
      </c>
      <c r="K126" s="345">
        <v>194</v>
      </c>
      <c r="L126" s="303">
        <v>75</v>
      </c>
      <c r="M126" s="345">
        <v>388</v>
      </c>
      <c r="N126" s="386">
        <f t="shared" si="11"/>
        <v>517.33204</v>
      </c>
      <c r="O126" s="192">
        <f t="shared" si="7"/>
        <v>2163</v>
      </c>
      <c r="P126" s="30">
        <v>0</v>
      </c>
      <c r="Q126" s="28">
        <v>0</v>
      </c>
      <c r="R126" s="28">
        <v>0</v>
      </c>
      <c r="S126" s="280"/>
    </row>
    <row r="127" spans="1:19" ht="12.75">
      <c r="A127" s="28">
        <v>731</v>
      </c>
      <c r="B127" s="29" t="s">
        <v>127</v>
      </c>
      <c r="C127" s="28">
        <v>1592</v>
      </c>
      <c r="D127" s="379">
        <v>89</v>
      </c>
      <c r="E127" s="144">
        <v>89</v>
      </c>
      <c r="F127" s="193">
        <f t="shared" si="10"/>
        <v>89</v>
      </c>
      <c r="G127" s="193">
        <v>89</v>
      </c>
      <c r="H127" s="193">
        <v>89</v>
      </c>
      <c r="I127" s="359">
        <f t="shared" si="9"/>
        <v>731</v>
      </c>
      <c r="J127" s="303">
        <v>0</v>
      </c>
      <c r="K127" s="345">
        <v>175</v>
      </c>
      <c r="L127" s="303">
        <v>89</v>
      </c>
      <c r="M127" s="345">
        <v>349</v>
      </c>
      <c r="N127" s="386">
        <f t="shared" si="11"/>
        <v>465.33216999999996</v>
      </c>
      <c r="O127" s="192">
        <f t="shared" si="7"/>
        <v>2030</v>
      </c>
      <c r="P127" s="30">
        <v>0</v>
      </c>
      <c r="Q127" s="28">
        <v>0</v>
      </c>
      <c r="R127" s="28">
        <v>0</v>
      </c>
      <c r="S127" s="280"/>
    </row>
    <row r="128" spans="1:19" ht="12.75">
      <c r="A128" s="28">
        <v>732</v>
      </c>
      <c r="B128" s="29" t="s">
        <v>128</v>
      </c>
      <c r="C128" s="28">
        <v>971</v>
      </c>
      <c r="D128" s="379">
        <v>170</v>
      </c>
      <c r="E128" s="365">
        <v>216</v>
      </c>
      <c r="F128" s="193">
        <v>261</v>
      </c>
      <c r="G128" s="303">
        <v>327</v>
      </c>
      <c r="H128" s="303">
        <v>350</v>
      </c>
      <c r="I128" s="359">
        <f t="shared" si="9"/>
        <v>732</v>
      </c>
      <c r="J128" s="303">
        <v>0</v>
      </c>
      <c r="K128" s="303">
        <v>0</v>
      </c>
      <c r="L128" s="303">
        <v>414.7</v>
      </c>
      <c r="M128" s="303">
        <v>0</v>
      </c>
      <c r="N128" s="386">
        <f>M128*1.1</f>
        <v>0</v>
      </c>
      <c r="O128" s="192">
        <f t="shared" si="7"/>
        <v>1298</v>
      </c>
      <c r="P128" s="30">
        <v>150</v>
      </c>
      <c r="Q128" s="28">
        <v>0</v>
      </c>
      <c r="R128" s="28">
        <v>0</v>
      </c>
      <c r="S128" s="280"/>
    </row>
    <row r="129" spans="1:19" ht="12.75">
      <c r="A129" s="28">
        <v>733</v>
      </c>
      <c r="B129" s="29" t="s">
        <v>129</v>
      </c>
      <c r="C129" s="28">
        <v>1150</v>
      </c>
      <c r="D129" s="379">
        <v>147</v>
      </c>
      <c r="E129" s="144">
        <v>147</v>
      </c>
      <c r="F129" s="193">
        <f>IF(C129&lt;972,E129+44,E129)</f>
        <v>147</v>
      </c>
      <c r="G129" s="193">
        <v>147</v>
      </c>
      <c r="H129" s="193">
        <v>147</v>
      </c>
      <c r="I129" s="359">
        <f t="shared" si="9"/>
        <v>733</v>
      </c>
      <c r="J129" s="303">
        <v>0</v>
      </c>
      <c r="K129" s="303">
        <v>0</v>
      </c>
      <c r="L129" s="303">
        <v>147</v>
      </c>
      <c r="M129" s="303">
        <v>0</v>
      </c>
      <c r="N129" s="386">
        <f>M129*1.1</f>
        <v>0</v>
      </c>
      <c r="O129" s="192">
        <f t="shared" si="7"/>
        <v>1297</v>
      </c>
      <c r="P129" s="30">
        <v>0</v>
      </c>
      <c r="Q129" s="28">
        <v>0</v>
      </c>
      <c r="R129" s="28">
        <v>0</v>
      </c>
      <c r="S129" s="280"/>
    </row>
    <row r="130" spans="1:19" ht="12.75">
      <c r="A130" s="28">
        <v>734</v>
      </c>
      <c r="B130" s="29" t="s">
        <v>130</v>
      </c>
      <c r="C130" s="28">
        <v>1500</v>
      </c>
      <c r="D130" s="379">
        <v>101</v>
      </c>
      <c r="E130" s="144">
        <v>101</v>
      </c>
      <c r="F130" s="193">
        <f>IF(C130&lt;972,E130+44,E130)</f>
        <v>101</v>
      </c>
      <c r="G130" s="193">
        <v>101</v>
      </c>
      <c r="H130" s="193">
        <v>101</v>
      </c>
      <c r="I130" s="359">
        <f t="shared" si="9"/>
        <v>734</v>
      </c>
      <c r="J130" s="303">
        <v>0</v>
      </c>
      <c r="K130" s="303">
        <v>0</v>
      </c>
      <c r="L130" s="303">
        <v>101</v>
      </c>
      <c r="M130" s="303">
        <v>0</v>
      </c>
      <c r="N130" s="386">
        <f>M130*1.1</f>
        <v>0</v>
      </c>
      <c r="O130" s="192">
        <f t="shared" si="7"/>
        <v>1601</v>
      </c>
      <c r="P130" s="30">
        <v>150</v>
      </c>
      <c r="Q130" s="28">
        <v>0</v>
      </c>
      <c r="R130" s="28">
        <v>0</v>
      </c>
      <c r="S130" s="280"/>
    </row>
    <row r="131" spans="1:19" ht="12.75">
      <c r="A131" s="28">
        <v>735</v>
      </c>
      <c r="B131" s="29" t="s">
        <v>131</v>
      </c>
      <c r="C131" s="28">
        <v>971</v>
      </c>
      <c r="D131" s="379">
        <v>170</v>
      </c>
      <c r="E131" s="365">
        <v>216</v>
      </c>
      <c r="F131" s="193">
        <v>261</v>
      </c>
      <c r="G131" s="303">
        <v>327</v>
      </c>
      <c r="H131" s="303">
        <v>350</v>
      </c>
      <c r="I131" s="359">
        <f t="shared" si="9"/>
        <v>735</v>
      </c>
      <c r="J131" s="303">
        <v>0</v>
      </c>
      <c r="K131" s="303">
        <v>0</v>
      </c>
      <c r="L131" s="303">
        <v>414.7</v>
      </c>
      <c r="M131" s="303">
        <v>0</v>
      </c>
      <c r="N131" s="386">
        <f>M131*1.1</f>
        <v>0</v>
      </c>
      <c r="O131" s="192">
        <f aca="true" t="shared" si="12" ref="O131:O194">C131+G131+M131</f>
        <v>1298</v>
      </c>
      <c r="P131" s="30">
        <v>150</v>
      </c>
      <c r="Q131" s="28">
        <v>0</v>
      </c>
      <c r="R131" s="28">
        <v>0</v>
      </c>
      <c r="S131" s="280"/>
    </row>
    <row r="132" spans="1:19" ht="12.75">
      <c r="A132" s="28">
        <v>736</v>
      </c>
      <c r="B132" s="29" t="s">
        <v>132</v>
      </c>
      <c r="C132" s="28">
        <v>1600</v>
      </c>
      <c r="D132" s="379">
        <v>88</v>
      </c>
      <c r="E132" s="144">
        <v>88</v>
      </c>
      <c r="F132" s="193">
        <f>IF(C132&lt;972,E132+44,E132)</f>
        <v>88</v>
      </c>
      <c r="G132" s="193">
        <v>88</v>
      </c>
      <c r="H132" s="193">
        <v>88</v>
      </c>
      <c r="I132" s="359">
        <f t="shared" si="9"/>
        <v>736</v>
      </c>
      <c r="J132" s="303">
        <v>0</v>
      </c>
      <c r="K132" s="345">
        <v>194</v>
      </c>
      <c r="L132" s="303">
        <v>88</v>
      </c>
      <c r="M132" s="345">
        <v>388</v>
      </c>
      <c r="N132" s="386">
        <f>M132*1.33333</f>
        <v>517.33204</v>
      </c>
      <c r="O132" s="192">
        <f t="shared" si="12"/>
        <v>2076</v>
      </c>
      <c r="P132" s="30">
        <v>0</v>
      </c>
      <c r="Q132" s="28">
        <v>0</v>
      </c>
      <c r="R132" s="28">
        <v>0</v>
      </c>
      <c r="S132" s="280"/>
    </row>
    <row r="133" spans="1:19" ht="12.75">
      <c r="A133" s="28">
        <v>737</v>
      </c>
      <c r="B133" s="29" t="s">
        <v>133</v>
      </c>
      <c r="C133" s="28">
        <v>971</v>
      </c>
      <c r="D133" s="379">
        <v>170</v>
      </c>
      <c r="E133" s="365">
        <v>216</v>
      </c>
      <c r="F133" s="193">
        <v>261</v>
      </c>
      <c r="G133" s="303">
        <v>327</v>
      </c>
      <c r="H133" s="303">
        <v>350</v>
      </c>
      <c r="I133" s="359">
        <f t="shared" si="9"/>
        <v>737</v>
      </c>
      <c r="J133" s="303">
        <v>0</v>
      </c>
      <c r="K133" s="303">
        <v>0</v>
      </c>
      <c r="L133" s="303">
        <v>414.7</v>
      </c>
      <c r="M133" s="303">
        <v>0</v>
      </c>
      <c r="N133" s="386">
        <f>M133*1.1</f>
        <v>0</v>
      </c>
      <c r="O133" s="192">
        <f t="shared" si="12"/>
        <v>1298</v>
      </c>
      <c r="P133" s="30">
        <v>150</v>
      </c>
      <c r="Q133" s="28">
        <v>0</v>
      </c>
      <c r="R133" s="28">
        <v>0</v>
      </c>
      <c r="S133" s="280"/>
    </row>
    <row r="134" spans="1:19" ht="12.75">
      <c r="A134" s="28">
        <v>738</v>
      </c>
      <c r="B134" s="29" t="s">
        <v>134</v>
      </c>
      <c r="C134" s="28">
        <v>971</v>
      </c>
      <c r="D134" s="379">
        <v>170</v>
      </c>
      <c r="E134" s="365">
        <v>216</v>
      </c>
      <c r="F134" s="193">
        <v>261</v>
      </c>
      <c r="G134" s="303">
        <v>327</v>
      </c>
      <c r="H134" s="303">
        <v>350</v>
      </c>
      <c r="I134" s="359">
        <f aca="true" t="shared" si="13" ref="I134:I198">A134</f>
        <v>738</v>
      </c>
      <c r="J134" s="303">
        <v>0</v>
      </c>
      <c r="K134" s="303">
        <v>0</v>
      </c>
      <c r="L134" s="303">
        <v>414.7</v>
      </c>
      <c r="M134" s="303">
        <v>0</v>
      </c>
      <c r="N134" s="386">
        <f>M134*1.1</f>
        <v>0</v>
      </c>
      <c r="O134" s="192">
        <f t="shared" si="12"/>
        <v>1298</v>
      </c>
      <c r="P134" s="30">
        <v>17</v>
      </c>
      <c r="Q134" s="28">
        <v>0</v>
      </c>
      <c r="R134" s="28">
        <v>0</v>
      </c>
      <c r="S134" s="280"/>
    </row>
    <row r="135" spans="1:19" ht="12.75">
      <c r="A135" s="28">
        <v>739</v>
      </c>
      <c r="B135" s="29" t="s">
        <v>135</v>
      </c>
      <c r="C135" s="28">
        <v>971</v>
      </c>
      <c r="D135" s="379">
        <v>170</v>
      </c>
      <c r="E135" s="365">
        <v>216</v>
      </c>
      <c r="F135" s="193">
        <v>261</v>
      </c>
      <c r="G135" s="303">
        <v>327</v>
      </c>
      <c r="H135" s="303">
        <v>350</v>
      </c>
      <c r="I135" s="359">
        <f t="shared" si="13"/>
        <v>739</v>
      </c>
      <c r="J135" s="303">
        <v>0</v>
      </c>
      <c r="K135" s="303">
        <v>0</v>
      </c>
      <c r="L135" s="303">
        <v>414.7</v>
      </c>
      <c r="M135" s="303">
        <v>0</v>
      </c>
      <c r="N135" s="386">
        <f>M135*1.1</f>
        <v>0</v>
      </c>
      <c r="O135" s="192">
        <f t="shared" si="12"/>
        <v>1298</v>
      </c>
      <c r="P135" s="30">
        <v>150</v>
      </c>
      <c r="Q135" s="28">
        <v>0</v>
      </c>
      <c r="R135" s="28">
        <v>0</v>
      </c>
      <c r="S135" s="280"/>
    </row>
    <row r="136" spans="1:19" ht="12.75">
      <c r="A136" s="28">
        <v>740</v>
      </c>
      <c r="B136" s="29" t="s">
        <v>136</v>
      </c>
      <c r="C136" s="28">
        <v>971</v>
      </c>
      <c r="D136" s="379">
        <v>170</v>
      </c>
      <c r="E136" s="365">
        <v>216</v>
      </c>
      <c r="F136" s="193">
        <v>261</v>
      </c>
      <c r="G136" s="303">
        <v>327</v>
      </c>
      <c r="H136" s="303">
        <v>350</v>
      </c>
      <c r="I136" s="359">
        <f t="shared" si="13"/>
        <v>740</v>
      </c>
      <c r="J136" s="303">
        <v>0</v>
      </c>
      <c r="K136" s="303">
        <v>0</v>
      </c>
      <c r="L136" s="303">
        <v>414.7</v>
      </c>
      <c r="M136" s="303">
        <v>0</v>
      </c>
      <c r="N136" s="386">
        <f>M136*1.1</f>
        <v>0</v>
      </c>
      <c r="O136" s="192">
        <f t="shared" si="12"/>
        <v>1298</v>
      </c>
      <c r="P136" s="30">
        <v>150</v>
      </c>
      <c r="Q136" s="28">
        <v>0</v>
      </c>
      <c r="R136" s="28">
        <v>0</v>
      </c>
      <c r="S136" s="280"/>
    </row>
    <row r="137" spans="1:19" ht="12.75">
      <c r="A137" s="28">
        <v>741</v>
      </c>
      <c r="B137" s="29" t="s">
        <v>137</v>
      </c>
      <c r="C137" s="28">
        <v>1300</v>
      </c>
      <c r="D137" s="379">
        <v>127</v>
      </c>
      <c r="E137" s="144">
        <v>127</v>
      </c>
      <c r="F137" s="193">
        <f>IF(C137&lt;972,E137+44,E137)</f>
        <v>127</v>
      </c>
      <c r="G137" s="193">
        <v>127</v>
      </c>
      <c r="H137" s="193">
        <v>127</v>
      </c>
      <c r="I137" s="359">
        <f t="shared" si="13"/>
        <v>741</v>
      </c>
      <c r="J137" s="303">
        <v>0</v>
      </c>
      <c r="K137" s="345">
        <v>116</v>
      </c>
      <c r="L137" s="303">
        <v>127</v>
      </c>
      <c r="M137" s="345">
        <v>233</v>
      </c>
      <c r="N137" s="386">
        <f>M137*1.33333</f>
        <v>310.66589</v>
      </c>
      <c r="O137" s="192">
        <f t="shared" si="12"/>
        <v>1660</v>
      </c>
      <c r="P137" s="30">
        <v>0</v>
      </c>
      <c r="Q137" s="28">
        <v>0</v>
      </c>
      <c r="R137" s="28">
        <v>0</v>
      </c>
      <c r="S137" s="280"/>
    </row>
    <row r="138" spans="1:19" ht="12.75">
      <c r="A138" s="28">
        <v>742</v>
      </c>
      <c r="B138" s="29" t="s">
        <v>138</v>
      </c>
      <c r="C138" s="28">
        <v>971</v>
      </c>
      <c r="D138" s="379">
        <v>170</v>
      </c>
      <c r="E138" s="365">
        <v>216</v>
      </c>
      <c r="F138" s="193">
        <v>261</v>
      </c>
      <c r="G138" s="303">
        <v>327</v>
      </c>
      <c r="H138" s="303">
        <v>350</v>
      </c>
      <c r="I138" s="359">
        <f t="shared" si="13"/>
        <v>742</v>
      </c>
      <c r="J138" s="303">
        <v>0</v>
      </c>
      <c r="K138" s="303">
        <v>0</v>
      </c>
      <c r="L138" s="303">
        <v>414.7</v>
      </c>
      <c r="M138" s="303">
        <v>0</v>
      </c>
      <c r="N138" s="386">
        <f>M138*1.1</f>
        <v>0</v>
      </c>
      <c r="O138" s="192">
        <f t="shared" si="12"/>
        <v>1298</v>
      </c>
      <c r="P138" s="30">
        <v>150</v>
      </c>
      <c r="Q138" s="28">
        <v>0</v>
      </c>
      <c r="R138" s="28">
        <v>0</v>
      </c>
      <c r="S138" s="280"/>
    </row>
    <row r="139" spans="1:19" ht="12.75">
      <c r="A139" s="34">
        <v>743</v>
      </c>
      <c r="B139" s="35" t="s">
        <v>139</v>
      </c>
      <c r="C139" s="34">
        <v>971</v>
      </c>
      <c r="D139" s="379">
        <v>170</v>
      </c>
      <c r="E139" s="365">
        <v>216</v>
      </c>
      <c r="F139" s="193">
        <v>261</v>
      </c>
      <c r="G139" s="303">
        <v>327</v>
      </c>
      <c r="H139" s="303">
        <v>350</v>
      </c>
      <c r="I139" s="359">
        <f t="shared" si="13"/>
        <v>743</v>
      </c>
      <c r="J139" s="303">
        <v>0</v>
      </c>
      <c r="K139" s="303">
        <v>0</v>
      </c>
      <c r="L139" s="303">
        <v>414.7</v>
      </c>
      <c r="M139" s="303">
        <v>0</v>
      </c>
      <c r="N139" s="386">
        <f>M139*1.1</f>
        <v>0</v>
      </c>
      <c r="O139" s="192">
        <f t="shared" si="12"/>
        <v>1298</v>
      </c>
      <c r="P139" s="36">
        <v>17</v>
      </c>
      <c r="Q139" s="34">
        <v>0</v>
      </c>
      <c r="R139" s="34">
        <v>0</v>
      </c>
      <c r="S139" s="280"/>
    </row>
    <row r="140" spans="1:19" ht="12.75">
      <c r="A140" s="28">
        <v>744</v>
      </c>
      <c r="B140" s="29" t="s">
        <v>140</v>
      </c>
      <c r="C140" s="28">
        <v>1400</v>
      </c>
      <c r="D140" s="379">
        <v>114</v>
      </c>
      <c r="E140" s="144">
        <v>114</v>
      </c>
      <c r="F140" s="193">
        <f>IF(C140&lt;972,E140+44,E140)</f>
        <v>114</v>
      </c>
      <c r="G140" s="193">
        <v>114</v>
      </c>
      <c r="H140" s="193">
        <v>114</v>
      </c>
      <c r="I140" s="359">
        <f t="shared" si="13"/>
        <v>744</v>
      </c>
      <c r="J140" s="303">
        <v>0</v>
      </c>
      <c r="K140" s="351">
        <v>116</v>
      </c>
      <c r="L140" s="303">
        <v>114</v>
      </c>
      <c r="M140" s="351">
        <v>233</v>
      </c>
      <c r="N140" s="386">
        <f>M140*1.33333</f>
        <v>310.66589</v>
      </c>
      <c r="O140" s="192">
        <f t="shared" si="12"/>
        <v>1747</v>
      </c>
      <c r="P140" s="30">
        <v>0</v>
      </c>
      <c r="Q140" s="28">
        <v>0</v>
      </c>
      <c r="R140" s="28">
        <v>0</v>
      </c>
      <c r="S140" s="280"/>
    </row>
    <row r="141" spans="1:19" ht="12.75">
      <c r="A141" s="28">
        <v>745</v>
      </c>
      <c r="B141" s="29" t="s">
        <v>141</v>
      </c>
      <c r="C141" s="28">
        <v>1450</v>
      </c>
      <c r="D141" s="379">
        <v>107</v>
      </c>
      <c r="E141" s="144">
        <v>107</v>
      </c>
      <c r="F141" s="193">
        <f>IF(C141&lt;972,E141+44,E141)</f>
        <v>107</v>
      </c>
      <c r="G141" s="193">
        <v>107</v>
      </c>
      <c r="H141" s="193">
        <v>107</v>
      </c>
      <c r="I141" s="359">
        <f t="shared" si="13"/>
        <v>745</v>
      </c>
      <c r="J141" s="303">
        <v>0</v>
      </c>
      <c r="K141" s="303">
        <v>0</v>
      </c>
      <c r="L141" s="303">
        <v>107</v>
      </c>
      <c r="M141" s="303">
        <v>0</v>
      </c>
      <c r="N141" s="386">
        <f>M141*1.1</f>
        <v>0</v>
      </c>
      <c r="O141" s="192">
        <f t="shared" si="12"/>
        <v>1557</v>
      </c>
      <c r="P141" s="30">
        <v>0</v>
      </c>
      <c r="Q141" s="28">
        <v>0</v>
      </c>
      <c r="R141" s="28">
        <v>0</v>
      </c>
      <c r="S141" s="280"/>
    </row>
    <row r="142" spans="1:19" ht="12.75">
      <c r="A142" s="28">
        <v>746</v>
      </c>
      <c r="B142" s="29" t="s">
        <v>142</v>
      </c>
      <c r="C142" s="28">
        <v>971</v>
      </c>
      <c r="D142" s="379">
        <v>170</v>
      </c>
      <c r="E142" s="365">
        <v>216</v>
      </c>
      <c r="F142" s="193">
        <v>261</v>
      </c>
      <c r="G142" s="303">
        <v>327</v>
      </c>
      <c r="H142" s="303">
        <v>350</v>
      </c>
      <c r="I142" s="359">
        <f t="shared" si="13"/>
        <v>746</v>
      </c>
      <c r="J142" s="303">
        <v>0</v>
      </c>
      <c r="K142" s="303">
        <v>0</v>
      </c>
      <c r="L142" s="303">
        <v>414.7</v>
      </c>
      <c r="M142" s="303">
        <v>0</v>
      </c>
      <c r="N142" s="386">
        <f>M142*1.1</f>
        <v>0</v>
      </c>
      <c r="O142" s="192">
        <f t="shared" si="12"/>
        <v>1298</v>
      </c>
      <c r="P142" s="30">
        <v>150</v>
      </c>
      <c r="Q142" s="28">
        <v>0</v>
      </c>
      <c r="R142" s="28">
        <v>0</v>
      </c>
      <c r="S142" s="280"/>
    </row>
    <row r="143" spans="1:19" ht="12.75">
      <c r="A143" s="28">
        <v>747</v>
      </c>
      <c r="B143" s="29" t="s">
        <v>143</v>
      </c>
      <c r="C143" s="28">
        <v>971</v>
      </c>
      <c r="D143" s="379">
        <v>170</v>
      </c>
      <c r="E143" s="365">
        <v>216</v>
      </c>
      <c r="F143" s="193">
        <v>261</v>
      </c>
      <c r="G143" s="303">
        <v>327</v>
      </c>
      <c r="H143" s="303">
        <v>350</v>
      </c>
      <c r="I143" s="359">
        <f t="shared" si="13"/>
        <v>747</v>
      </c>
      <c r="J143" s="303">
        <v>0</v>
      </c>
      <c r="K143" s="303">
        <v>0</v>
      </c>
      <c r="L143" s="303">
        <v>414.7</v>
      </c>
      <c r="M143" s="303">
        <v>0</v>
      </c>
      <c r="N143" s="386">
        <f>M143*1.1</f>
        <v>0</v>
      </c>
      <c r="O143" s="192">
        <f t="shared" si="12"/>
        <v>1298</v>
      </c>
      <c r="P143" s="30">
        <v>0</v>
      </c>
      <c r="Q143" s="28">
        <v>0</v>
      </c>
      <c r="R143" s="28">
        <v>0</v>
      </c>
      <c r="S143" s="280"/>
    </row>
    <row r="144" spans="1:19" ht="12.75">
      <c r="A144" s="28">
        <v>748</v>
      </c>
      <c r="B144" s="29" t="s">
        <v>144</v>
      </c>
      <c r="C144" s="28">
        <v>1250</v>
      </c>
      <c r="D144" s="379">
        <v>134</v>
      </c>
      <c r="E144" s="144">
        <v>134</v>
      </c>
      <c r="F144" s="193">
        <f>IF(C144&lt;972,E144+44,E144)</f>
        <v>134</v>
      </c>
      <c r="G144" s="193">
        <v>134</v>
      </c>
      <c r="H144" s="193">
        <v>134</v>
      </c>
      <c r="I144" s="359">
        <f t="shared" si="13"/>
        <v>748</v>
      </c>
      <c r="J144" s="303">
        <v>0</v>
      </c>
      <c r="K144" s="345">
        <v>116</v>
      </c>
      <c r="L144" s="303">
        <v>134</v>
      </c>
      <c r="M144" s="345">
        <v>233</v>
      </c>
      <c r="N144" s="386">
        <f>M144*1.33333</f>
        <v>310.66589</v>
      </c>
      <c r="O144" s="192">
        <f t="shared" si="12"/>
        <v>1617</v>
      </c>
      <c r="P144" s="30">
        <v>0</v>
      </c>
      <c r="Q144" s="28">
        <v>0</v>
      </c>
      <c r="R144" s="28">
        <v>0</v>
      </c>
      <c r="S144" s="280"/>
    </row>
    <row r="145" spans="1:19" s="311" customFormat="1" ht="12.75">
      <c r="A145" s="305">
        <v>749</v>
      </c>
      <c r="B145" s="306" t="s">
        <v>52</v>
      </c>
      <c r="C145" s="305">
        <v>971</v>
      </c>
      <c r="D145" s="380">
        <v>170</v>
      </c>
      <c r="E145" s="366">
        <v>216</v>
      </c>
      <c r="F145" s="193">
        <v>261</v>
      </c>
      <c r="G145" s="303">
        <v>327</v>
      </c>
      <c r="H145" s="303">
        <v>350</v>
      </c>
      <c r="I145" s="360">
        <f t="shared" si="13"/>
        <v>749</v>
      </c>
      <c r="J145" s="307">
        <v>0</v>
      </c>
      <c r="K145" s="307">
        <v>0</v>
      </c>
      <c r="L145" s="303">
        <v>414.7</v>
      </c>
      <c r="M145" s="307">
        <v>0</v>
      </c>
      <c r="N145" s="386">
        <f>M145*1.1</f>
        <v>0</v>
      </c>
      <c r="O145" s="192">
        <f t="shared" si="12"/>
        <v>1298</v>
      </c>
      <c r="P145" s="309">
        <v>0</v>
      </c>
      <c r="Q145" s="305">
        <v>0</v>
      </c>
      <c r="R145" s="305">
        <v>0</v>
      </c>
      <c r="S145" s="310"/>
    </row>
    <row r="146" spans="1:19" ht="12.75">
      <c r="A146" s="28">
        <v>750</v>
      </c>
      <c r="B146" s="29" t="s">
        <v>51</v>
      </c>
      <c r="C146" s="28">
        <v>971</v>
      </c>
      <c r="D146" s="379">
        <v>170</v>
      </c>
      <c r="E146" s="365">
        <v>216</v>
      </c>
      <c r="F146" s="193">
        <v>261</v>
      </c>
      <c r="G146" s="303">
        <v>327</v>
      </c>
      <c r="H146" s="303">
        <v>350</v>
      </c>
      <c r="I146" s="359">
        <f t="shared" si="13"/>
        <v>750</v>
      </c>
      <c r="J146" s="303">
        <v>0</v>
      </c>
      <c r="K146" s="303">
        <v>0</v>
      </c>
      <c r="L146" s="303">
        <v>414.7</v>
      </c>
      <c r="M146" s="303">
        <v>0</v>
      </c>
      <c r="N146" s="386">
        <f>M146*1.1</f>
        <v>0</v>
      </c>
      <c r="O146" s="192">
        <f t="shared" si="12"/>
        <v>1298</v>
      </c>
      <c r="P146" s="30">
        <v>0</v>
      </c>
      <c r="Q146" s="28">
        <v>0</v>
      </c>
      <c r="R146" s="28">
        <v>0</v>
      </c>
      <c r="S146" s="280"/>
    </row>
    <row r="147" spans="1:19" ht="12.75">
      <c r="A147" s="28">
        <v>751</v>
      </c>
      <c r="B147" s="346" t="s">
        <v>424</v>
      </c>
      <c r="C147" s="28">
        <v>1500</v>
      </c>
      <c r="D147" s="379">
        <v>101</v>
      </c>
      <c r="E147" s="144">
        <v>101</v>
      </c>
      <c r="F147" s="193">
        <f>IF(C147&lt;972,E147+44,E147)</f>
        <v>101</v>
      </c>
      <c r="G147" s="193">
        <v>101</v>
      </c>
      <c r="H147" s="193">
        <v>101</v>
      </c>
      <c r="I147" s="359">
        <f t="shared" si="13"/>
        <v>751</v>
      </c>
      <c r="J147" s="303">
        <v>0</v>
      </c>
      <c r="K147" s="345">
        <v>116</v>
      </c>
      <c r="L147" s="303">
        <v>101</v>
      </c>
      <c r="M147" s="345">
        <v>233</v>
      </c>
      <c r="N147" s="386">
        <f>M147*1.33333</f>
        <v>310.66589</v>
      </c>
      <c r="O147" s="192">
        <f t="shared" si="12"/>
        <v>1834</v>
      </c>
      <c r="P147" s="30">
        <v>150</v>
      </c>
      <c r="Q147" s="28">
        <v>0</v>
      </c>
      <c r="R147" s="28">
        <v>0</v>
      </c>
      <c r="S147" s="280"/>
    </row>
    <row r="148" spans="1:19" ht="12.75">
      <c r="A148" s="28">
        <v>752</v>
      </c>
      <c r="B148" s="29" t="s">
        <v>146</v>
      </c>
      <c r="C148" s="28">
        <v>2913</v>
      </c>
      <c r="D148" s="379">
        <v>0</v>
      </c>
      <c r="E148" s="144">
        <v>0</v>
      </c>
      <c r="F148" s="193">
        <f>IF(C148&lt;972,E148+44,E148)</f>
        <v>0</v>
      </c>
      <c r="G148" s="193">
        <v>0</v>
      </c>
      <c r="H148" s="193">
        <v>0</v>
      </c>
      <c r="I148" s="359">
        <f t="shared" si="13"/>
        <v>752</v>
      </c>
      <c r="J148" s="303">
        <v>0</v>
      </c>
      <c r="K148" s="303">
        <v>0</v>
      </c>
      <c r="L148" s="303">
        <v>0</v>
      </c>
      <c r="M148" s="303">
        <v>0</v>
      </c>
      <c r="N148" s="386">
        <f>M148*1.1</f>
        <v>0</v>
      </c>
      <c r="O148" s="192">
        <f t="shared" si="12"/>
        <v>2913</v>
      </c>
      <c r="P148" s="30">
        <v>20</v>
      </c>
      <c r="Q148" s="28">
        <v>0</v>
      </c>
      <c r="R148" s="28">
        <v>0</v>
      </c>
      <c r="S148" s="280"/>
    </row>
    <row r="149" spans="1:19" ht="12.75">
      <c r="A149" s="28">
        <v>753</v>
      </c>
      <c r="B149" s="29" t="s">
        <v>147</v>
      </c>
      <c r="C149" s="28">
        <v>1942</v>
      </c>
      <c r="D149" s="379">
        <v>43</v>
      </c>
      <c r="E149" s="144">
        <v>43</v>
      </c>
      <c r="F149" s="193">
        <f>IF(C149&lt;972,E149+44,E149)</f>
        <v>43</v>
      </c>
      <c r="G149" s="193">
        <v>43</v>
      </c>
      <c r="H149" s="193">
        <v>43</v>
      </c>
      <c r="I149" s="359">
        <f t="shared" si="13"/>
        <v>753</v>
      </c>
      <c r="J149" s="303">
        <v>0</v>
      </c>
      <c r="K149" s="303">
        <v>233</v>
      </c>
      <c r="L149" s="303">
        <v>43</v>
      </c>
      <c r="M149" s="303">
        <v>466</v>
      </c>
      <c r="N149" s="386">
        <f>M149*1.33333</f>
        <v>621.33178</v>
      </c>
      <c r="O149" s="192">
        <f t="shared" si="12"/>
        <v>2451</v>
      </c>
      <c r="P149" s="30">
        <v>150</v>
      </c>
      <c r="Q149" s="28">
        <v>0</v>
      </c>
      <c r="R149" s="28">
        <v>0</v>
      </c>
      <c r="S149" s="280"/>
    </row>
    <row r="150" spans="1:19" ht="12.75">
      <c r="A150" s="28">
        <v>754</v>
      </c>
      <c r="B150" s="29" t="s">
        <v>148</v>
      </c>
      <c r="C150" s="28">
        <v>971</v>
      </c>
      <c r="D150" s="379">
        <v>170</v>
      </c>
      <c r="E150" s="365">
        <v>216</v>
      </c>
      <c r="F150" s="193">
        <v>261</v>
      </c>
      <c r="G150" s="303">
        <v>327</v>
      </c>
      <c r="H150" s="303">
        <v>350</v>
      </c>
      <c r="I150" s="359">
        <f t="shared" si="13"/>
        <v>754</v>
      </c>
      <c r="J150" s="303">
        <v>0</v>
      </c>
      <c r="K150" s="303">
        <v>0</v>
      </c>
      <c r="L150" s="303">
        <v>414.7</v>
      </c>
      <c r="M150" s="303">
        <v>0</v>
      </c>
      <c r="N150" s="386">
        <f>M150*1.1</f>
        <v>0</v>
      </c>
      <c r="O150" s="192">
        <f t="shared" si="12"/>
        <v>1298</v>
      </c>
      <c r="P150" s="30">
        <v>0</v>
      </c>
      <c r="Q150" s="28">
        <v>0</v>
      </c>
      <c r="R150" s="28">
        <v>0</v>
      </c>
      <c r="S150" s="280"/>
    </row>
    <row r="151" spans="1:19" ht="12.75">
      <c r="A151" s="28">
        <v>755</v>
      </c>
      <c r="B151" s="29" t="s">
        <v>149</v>
      </c>
      <c r="C151" s="28">
        <v>971</v>
      </c>
      <c r="D151" s="379">
        <v>170</v>
      </c>
      <c r="E151" s="365">
        <v>216</v>
      </c>
      <c r="F151" s="193">
        <v>261</v>
      </c>
      <c r="G151" s="303">
        <v>327</v>
      </c>
      <c r="H151" s="303">
        <v>350</v>
      </c>
      <c r="I151" s="359">
        <f t="shared" si="13"/>
        <v>755</v>
      </c>
      <c r="J151" s="303">
        <v>0</v>
      </c>
      <c r="K151" s="303">
        <v>0</v>
      </c>
      <c r="L151" s="303">
        <v>414.7</v>
      </c>
      <c r="M151" s="303">
        <v>0</v>
      </c>
      <c r="N151" s="386">
        <f>M151*1.1</f>
        <v>0</v>
      </c>
      <c r="O151" s="192">
        <f t="shared" si="12"/>
        <v>1298</v>
      </c>
      <c r="P151" s="30">
        <v>0</v>
      </c>
      <c r="Q151" s="28">
        <v>0</v>
      </c>
      <c r="R151" s="28">
        <v>0</v>
      </c>
      <c r="S151" s="280"/>
    </row>
    <row r="152" spans="1:19" ht="12.75">
      <c r="A152" s="28">
        <v>756</v>
      </c>
      <c r="B152" s="29" t="s">
        <v>150</v>
      </c>
      <c r="C152" s="28">
        <v>1290</v>
      </c>
      <c r="D152" s="379">
        <v>128</v>
      </c>
      <c r="E152" s="144">
        <v>128</v>
      </c>
      <c r="F152" s="193">
        <f>IF(C152&lt;972,E152+44,E152)</f>
        <v>128</v>
      </c>
      <c r="G152" s="193">
        <v>128</v>
      </c>
      <c r="H152" s="193">
        <v>128</v>
      </c>
      <c r="I152" s="359">
        <f t="shared" si="13"/>
        <v>756</v>
      </c>
      <c r="J152" s="303">
        <v>0</v>
      </c>
      <c r="K152" s="345">
        <v>116</v>
      </c>
      <c r="L152" s="303">
        <v>128</v>
      </c>
      <c r="M152" s="345">
        <v>232</v>
      </c>
      <c r="N152" s="386">
        <f>M152*1.33333</f>
        <v>309.33256</v>
      </c>
      <c r="O152" s="192">
        <f t="shared" si="12"/>
        <v>1650</v>
      </c>
      <c r="P152" s="30">
        <v>0</v>
      </c>
      <c r="Q152" s="28">
        <v>0</v>
      </c>
      <c r="R152" s="28">
        <v>0</v>
      </c>
      <c r="S152" s="280"/>
    </row>
    <row r="153" spans="1:19" ht="12.75">
      <c r="A153" s="28">
        <v>757</v>
      </c>
      <c r="B153" s="29" t="s">
        <v>151</v>
      </c>
      <c r="C153" s="28">
        <v>971</v>
      </c>
      <c r="D153" s="379">
        <v>170</v>
      </c>
      <c r="E153" s="365">
        <v>216</v>
      </c>
      <c r="F153" s="193">
        <v>261</v>
      </c>
      <c r="G153" s="303">
        <v>327</v>
      </c>
      <c r="H153" s="303">
        <v>350</v>
      </c>
      <c r="I153" s="359">
        <f t="shared" si="13"/>
        <v>757</v>
      </c>
      <c r="J153" s="303">
        <v>0</v>
      </c>
      <c r="K153" s="303">
        <v>0</v>
      </c>
      <c r="L153" s="303">
        <v>414.7</v>
      </c>
      <c r="M153" s="303">
        <v>0</v>
      </c>
      <c r="N153" s="386">
        <f>M153*1.1</f>
        <v>0</v>
      </c>
      <c r="O153" s="192">
        <f t="shared" si="12"/>
        <v>1298</v>
      </c>
      <c r="P153" s="30">
        <v>0</v>
      </c>
      <c r="Q153" s="28">
        <v>0</v>
      </c>
      <c r="R153" s="28">
        <v>0</v>
      </c>
      <c r="S153" s="280"/>
    </row>
    <row r="154" spans="1:19" ht="12.75">
      <c r="A154" s="28">
        <v>758</v>
      </c>
      <c r="B154" s="29" t="s">
        <v>152</v>
      </c>
      <c r="C154" s="28">
        <v>971</v>
      </c>
      <c r="D154" s="379">
        <v>170</v>
      </c>
      <c r="E154" s="365">
        <v>216</v>
      </c>
      <c r="F154" s="193">
        <v>261</v>
      </c>
      <c r="G154" s="303">
        <v>327</v>
      </c>
      <c r="H154" s="303">
        <v>350</v>
      </c>
      <c r="I154" s="359">
        <f t="shared" si="13"/>
        <v>758</v>
      </c>
      <c r="J154" s="303">
        <v>0</v>
      </c>
      <c r="K154" s="303">
        <v>0</v>
      </c>
      <c r="L154" s="303">
        <v>414.7</v>
      </c>
      <c r="M154" s="303">
        <v>0</v>
      </c>
      <c r="N154" s="386">
        <f>M154*1.1</f>
        <v>0</v>
      </c>
      <c r="O154" s="192">
        <f t="shared" si="12"/>
        <v>1298</v>
      </c>
      <c r="P154" s="30">
        <v>0</v>
      </c>
      <c r="Q154" s="28">
        <v>0</v>
      </c>
      <c r="R154" s="28">
        <v>0</v>
      </c>
      <c r="S154" s="280"/>
    </row>
    <row r="155" spans="1:19" ht="12.75">
      <c r="A155" s="28">
        <v>759</v>
      </c>
      <c r="B155" s="29" t="s">
        <v>153</v>
      </c>
      <c r="C155" s="28">
        <v>971</v>
      </c>
      <c r="D155" s="379">
        <v>170</v>
      </c>
      <c r="E155" s="365">
        <v>216</v>
      </c>
      <c r="F155" s="193">
        <v>261</v>
      </c>
      <c r="G155" s="303">
        <v>327</v>
      </c>
      <c r="H155" s="303">
        <v>350</v>
      </c>
      <c r="I155" s="359">
        <f t="shared" si="13"/>
        <v>759</v>
      </c>
      <c r="J155" s="303">
        <v>0</v>
      </c>
      <c r="K155" s="303">
        <v>0</v>
      </c>
      <c r="L155" s="303">
        <v>414.7</v>
      </c>
      <c r="M155" s="303">
        <v>0</v>
      </c>
      <c r="N155" s="386">
        <f>M155*1.1</f>
        <v>0</v>
      </c>
      <c r="O155" s="192">
        <f t="shared" si="12"/>
        <v>1298</v>
      </c>
      <c r="P155" s="30">
        <v>150</v>
      </c>
      <c r="Q155" s="28">
        <v>0</v>
      </c>
      <c r="R155" s="28">
        <v>0</v>
      </c>
      <c r="S155" s="280"/>
    </row>
    <row r="156" spans="1:19" ht="12.75">
      <c r="A156" s="28">
        <v>760</v>
      </c>
      <c r="B156" s="29" t="s">
        <v>154</v>
      </c>
      <c r="C156" s="28">
        <v>1400</v>
      </c>
      <c r="D156" s="379">
        <v>114</v>
      </c>
      <c r="E156" s="144">
        <v>114</v>
      </c>
      <c r="F156" s="193">
        <f>IF(C156&lt;972,E156+44,E156)</f>
        <v>114</v>
      </c>
      <c r="G156" s="193">
        <v>114</v>
      </c>
      <c r="H156" s="193">
        <v>114</v>
      </c>
      <c r="I156" s="359">
        <f t="shared" si="13"/>
        <v>760</v>
      </c>
      <c r="J156" s="303">
        <v>0</v>
      </c>
      <c r="K156" s="303">
        <v>0</v>
      </c>
      <c r="L156" s="303">
        <v>114</v>
      </c>
      <c r="M156" s="303">
        <v>0</v>
      </c>
      <c r="N156" s="386">
        <f>M156*1.1</f>
        <v>0</v>
      </c>
      <c r="O156" s="192">
        <f t="shared" si="12"/>
        <v>1514</v>
      </c>
      <c r="P156" s="30">
        <v>0</v>
      </c>
      <c r="Q156" s="28">
        <v>0</v>
      </c>
      <c r="R156" s="28">
        <v>0</v>
      </c>
      <c r="S156" s="280"/>
    </row>
    <row r="157" spans="1:19" ht="12.75">
      <c r="A157" s="28">
        <v>761</v>
      </c>
      <c r="B157" s="29" t="s">
        <v>155</v>
      </c>
      <c r="C157" s="28">
        <v>1700</v>
      </c>
      <c r="D157" s="379">
        <v>75</v>
      </c>
      <c r="E157" s="144">
        <v>75</v>
      </c>
      <c r="F157" s="193">
        <f>IF(C157&lt;972,E157+44,E157)</f>
        <v>75</v>
      </c>
      <c r="G157" s="193">
        <v>75</v>
      </c>
      <c r="H157" s="193">
        <v>75</v>
      </c>
      <c r="I157" s="359">
        <f t="shared" si="13"/>
        <v>761</v>
      </c>
      <c r="J157" s="303">
        <v>0</v>
      </c>
      <c r="K157" s="303">
        <v>136</v>
      </c>
      <c r="L157" s="303">
        <v>75</v>
      </c>
      <c r="M157" s="303">
        <v>272</v>
      </c>
      <c r="N157" s="386">
        <f>M157*1.33333</f>
        <v>362.66576</v>
      </c>
      <c r="O157" s="192">
        <f t="shared" si="12"/>
        <v>2047</v>
      </c>
      <c r="P157" s="30">
        <v>150</v>
      </c>
      <c r="Q157" s="28">
        <v>0</v>
      </c>
      <c r="R157" s="28">
        <v>0</v>
      </c>
      <c r="S157" s="280"/>
    </row>
    <row r="158" spans="1:19" ht="12.75">
      <c r="A158" s="28">
        <v>762</v>
      </c>
      <c r="B158" s="29" t="s">
        <v>156</v>
      </c>
      <c r="C158" s="28">
        <v>971</v>
      </c>
      <c r="D158" s="379">
        <v>170</v>
      </c>
      <c r="E158" s="365">
        <v>216</v>
      </c>
      <c r="F158" s="193">
        <v>261</v>
      </c>
      <c r="G158" s="303">
        <v>327</v>
      </c>
      <c r="H158" s="303">
        <v>350</v>
      </c>
      <c r="I158" s="359">
        <f t="shared" si="13"/>
        <v>762</v>
      </c>
      <c r="J158" s="303">
        <v>0</v>
      </c>
      <c r="K158" s="303">
        <v>0</v>
      </c>
      <c r="L158" s="303">
        <v>414.7</v>
      </c>
      <c r="M158" s="303">
        <v>0</v>
      </c>
      <c r="N158" s="386">
        <f>M158*1.1</f>
        <v>0</v>
      </c>
      <c r="O158" s="192">
        <f t="shared" si="12"/>
        <v>1298</v>
      </c>
      <c r="P158" s="30">
        <v>0</v>
      </c>
      <c r="Q158" s="28">
        <v>0</v>
      </c>
      <c r="R158" s="28">
        <v>0</v>
      </c>
      <c r="S158" s="280"/>
    </row>
    <row r="159" spans="1:19" ht="12.75">
      <c r="A159" s="28">
        <v>763</v>
      </c>
      <c r="B159" s="29" t="s">
        <v>157</v>
      </c>
      <c r="C159" s="28">
        <v>971</v>
      </c>
      <c r="D159" s="379">
        <v>170</v>
      </c>
      <c r="E159" s="365">
        <v>216</v>
      </c>
      <c r="F159" s="193">
        <v>261</v>
      </c>
      <c r="G159" s="303">
        <v>327</v>
      </c>
      <c r="H159" s="303">
        <v>350</v>
      </c>
      <c r="I159" s="359">
        <f t="shared" si="13"/>
        <v>763</v>
      </c>
      <c r="J159" s="303">
        <v>0</v>
      </c>
      <c r="K159" s="303">
        <v>0</v>
      </c>
      <c r="L159" s="303">
        <v>414.7</v>
      </c>
      <c r="M159" s="303">
        <v>0</v>
      </c>
      <c r="N159" s="386">
        <f>M159*1.1</f>
        <v>0</v>
      </c>
      <c r="O159" s="192">
        <f t="shared" si="12"/>
        <v>1298</v>
      </c>
      <c r="P159" s="30">
        <v>0</v>
      </c>
      <c r="Q159" s="28">
        <v>0</v>
      </c>
      <c r="R159" s="28">
        <v>0</v>
      </c>
      <c r="S159" s="280"/>
    </row>
    <row r="160" spans="1:19" ht="12.75">
      <c r="A160" s="28">
        <v>764</v>
      </c>
      <c r="B160" s="29" t="s">
        <v>158</v>
      </c>
      <c r="C160" s="28">
        <v>1500</v>
      </c>
      <c r="D160" s="379">
        <v>101</v>
      </c>
      <c r="E160" s="144">
        <v>101</v>
      </c>
      <c r="F160" s="193">
        <f>IF(C160&lt;972,E160+44,E160)</f>
        <v>101</v>
      </c>
      <c r="G160" s="193">
        <v>101</v>
      </c>
      <c r="H160" s="193">
        <v>101</v>
      </c>
      <c r="I160" s="359">
        <f t="shared" si="13"/>
        <v>764</v>
      </c>
      <c r="J160" s="303">
        <v>0</v>
      </c>
      <c r="K160" s="303">
        <v>0</v>
      </c>
      <c r="L160" s="303">
        <v>101</v>
      </c>
      <c r="M160" s="303">
        <v>0</v>
      </c>
      <c r="N160" s="386">
        <f>M160*1.1</f>
        <v>0</v>
      </c>
      <c r="O160" s="192">
        <f t="shared" si="12"/>
        <v>1601</v>
      </c>
      <c r="P160" s="30">
        <v>150</v>
      </c>
      <c r="Q160" s="28">
        <v>0</v>
      </c>
      <c r="R160" s="28">
        <v>0</v>
      </c>
      <c r="S160" s="280"/>
    </row>
    <row r="161" spans="1:19" ht="12.75">
      <c r="A161" s="28">
        <v>765</v>
      </c>
      <c r="B161" s="29" t="s">
        <v>159</v>
      </c>
      <c r="C161" s="28">
        <v>1500</v>
      </c>
      <c r="D161" s="379">
        <v>101</v>
      </c>
      <c r="E161" s="144">
        <v>101</v>
      </c>
      <c r="F161" s="193">
        <f>IF(C161&lt;972,E161+44,E161)</f>
        <v>101</v>
      </c>
      <c r="G161" s="193">
        <v>101</v>
      </c>
      <c r="H161" s="193">
        <v>101</v>
      </c>
      <c r="I161" s="359">
        <f t="shared" si="13"/>
        <v>765</v>
      </c>
      <c r="J161" s="303">
        <v>0</v>
      </c>
      <c r="K161" s="303">
        <v>0</v>
      </c>
      <c r="L161" s="303">
        <v>101</v>
      </c>
      <c r="M161" s="303">
        <v>0</v>
      </c>
      <c r="N161" s="386">
        <f>M161*1.1</f>
        <v>0</v>
      </c>
      <c r="O161" s="192">
        <f t="shared" si="12"/>
        <v>1601</v>
      </c>
      <c r="P161" s="30">
        <v>150</v>
      </c>
      <c r="Q161" s="28">
        <v>0</v>
      </c>
      <c r="R161" s="28">
        <v>0</v>
      </c>
      <c r="S161" s="280"/>
    </row>
    <row r="162" spans="1:19" ht="12.75">
      <c r="A162" s="28">
        <v>766</v>
      </c>
      <c r="B162" s="29" t="s">
        <v>160</v>
      </c>
      <c r="C162" s="28">
        <v>1942</v>
      </c>
      <c r="D162" s="379">
        <v>43</v>
      </c>
      <c r="E162" s="144">
        <v>43</v>
      </c>
      <c r="F162" s="193">
        <f>IF(C162&lt;972,E162+44,E162)</f>
        <v>43</v>
      </c>
      <c r="G162" s="193">
        <v>43</v>
      </c>
      <c r="H162" s="193">
        <v>43</v>
      </c>
      <c r="I162" s="359">
        <f t="shared" si="13"/>
        <v>766</v>
      </c>
      <c r="J162" s="303">
        <v>0</v>
      </c>
      <c r="K162" s="303">
        <v>233</v>
      </c>
      <c r="L162" s="303">
        <v>43</v>
      </c>
      <c r="M162" s="303">
        <v>466</v>
      </c>
      <c r="N162" s="386">
        <f>M162*1.33333</f>
        <v>621.33178</v>
      </c>
      <c r="O162" s="192">
        <f t="shared" si="12"/>
        <v>2451</v>
      </c>
      <c r="P162" s="30">
        <v>150</v>
      </c>
      <c r="Q162" s="28">
        <v>0</v>
      </c>
      <c r="R162" s="28">
        <v>0</v>
      </c>
      <c r="S162" s="280"/>
    </row>
    <row r="163" spans="1:19" ht="12.75">
      <c r="A163" s="28">
        <v>767</v>
      </c>
      <c r="B163" s="29" t="s">
        <v>161</v>
      </c>
      <c r="C163" s="28">
        <v>1700</v>
      </c>
      <c r="D163" s="379">
        <v>75</v>
      </c>
      <c r="E163" s="144">
        <v>75</v>
      </c>
      <c r="F163" s="193">
        <f>IF(C163&lt;972,E163+44,E163)</f>
        <v>75</v>
      </c>
      <c r="G163" s="193">
        <v>75</v>
      </c>
      <c r="H163" s="193">
        <v>75</v>
      </c>
      <c r="I163" s="359">
        <f t="shared" si="13"/>
        <v>767</v>
      </c>
      <c r="J163" s="303">
        <v>0</v>
      </c>
      <c r="K163" s="345">
        <v>116</v>
      </c>
      <c r="L163" s="303">
        <v>75</v>
      </c>
      <c r="M163" s="345">
        <v>232</v>
      </c>
      <c r="N163" s="386">
        <f>M163*1.33333</f>
        <v>309.33256</v>
      </c>
      <c r="O163" s="192">
        <f t="shared" si="12"/>
        <v>2007</v>
      </c>
      <c r="P163" s="30">
        <v>150</v>
      </c>
      <c r="Q163" s="28">
        <v>0</v>
      </c>
      <c r="R163" s="28">
        <v>0</v>
      </c>
      <c r="S163" s="280"/>
    </row>
    <row r="164" spans="1:19" ht="12.75">
      <c r="A164" s="28">
        <v>768</v>
      </c>
      <c r="B164" s="29" t="s">
        <v>162</v>
      </c>
      <c r="C164" s="28">
        <v>971</v>
      </c>
      <c r="D164" s="379">
        <v>170</v>
      </c>
      <c r="E164" s="365">
        <v>216</v>
      </c>
      <c r="F164" s="193">
        <v>261</v>
      </c>
      <c r="G164" s="303">
        <v>327</v>
      </c>
      <c r="H164" s="303">
        <v>350</v>
      </c>
      <c r="I164" s="359">
        <f t="shared" si="13"/>
        <v>768</v>
      </c>
      <c r="J164" s="303">
        <v>0</v>
      </c>
      <c r="K164" s="303">
        <v>0</v>
      </c>
      <c r="L164" s="303">
        <v>414.7</v>
      </c>
      <c r="M164" s="303">
        <v>0</v>
      </c>
      <c r="N164" s="386">
        <f>M164*1.1</f>
        <v>0</v>
      </c>
      <c r="O164" s="192">
        <f t="shared" si="12"/>
        <v>1298</v>
      </c>
      <c r="P164" s="30">
        <v>150</v>
      </c>
      <c r="Q164" s="28">
        <v>0</v>
      </c>
      <c r="R164" s="28">
        <v>0</v>
      </c>
      <c r="S164" s="280"/>
    </row>
    <row r="165" spans="1:19" ht="12.75">
      <c r="A165" s="28">
        <v>769</v>
      </c>
      <c r="B165" s="29" t="s">
        <v>163</v>
      </c>
      <c r="C165" s="28">
        <v>2913</v>
      </c>
      <c r="D165" s="379">
        <v>0</v>
      </c>
      <c r="E165" s="144">
        <v>0</v>
      </c>
      <c r="F165" s="193">
        <f>IF(C165&lt;972,E165+44,E165)</f>
        <v>0</v>
      </c>
      <c r="G165" s="193">
        <v>0</v>
      </c>
      <c r="H165" s="193">
        <v>0</v>
      </c>
      <c r="I165" s="359">
        <f t="shared" si="13"/>
        <v>769</v>
      </c>
      <c r="J165" s="303">
        <v>0</v>
      </c>
      <c r="K165" s="303">
        <f>D165*0.09</f>
        <v>0</v>
      </c>
      <c r="L165" s="303">
        <v>0</v>
      </c>
      <c r="M165" s="303">
        <v>0</v>
      </c>
      <c r="N165" s="386">
        <f>M165*1.1</f>
        <v>0</v>
      </c>
      <c r="O165" s="192">
        <f t="shared" si="12"/>
        <v>2913</v>
      </c>
      <c r="P165" s="30">
        <v>0</v>
      </c>
      <c r="Q165" s="28">
        <v>0</v>
      </c>
      <c r="R165" s="28">
        <v>0</v>
      </c>
      <c r="S165" s="280"/>
    </row>
    <row r="166" spans="1:19" ht="12.75">
      <c r="A166" s="28">
        <v>770</v>
      </c>
      <c r="B166" s="29" t="s">
        <v>164</v>
      </c>
      <c r="C166" s="28">
        <v>2913</v>
      </c>
      <c r="D166" s="379">
        <v>0</v>
      </c>
      <c r="E166" s="144">
        <v>0</v>
      </c>
      <c r="F166" s="193">
        <f>IF(C166&lt;972,E166+44,E166)</f>
        <v>0</v>
      </c>
      <c r="G166" s="193">
        <v>0</v>
      </c>
      <c r="H166" s="193">
        <v>0</v>
      </c>
      <c r="I166" s="359">
        <f t="shared" si="13"/>
        <v>770</v>
      </c>
      <c r="J166" s="303">
        <v>0</v>
      </c>
      <c r="K166" s="344">
        <v>233</v>
      </c>
      <c r="L166" s="303">
        <v>0</v>
      </c>
      <c r="M166" s="344">
        <v>776</v>
      </c>
      <c r="N166" s="386">
        <f>M166*1.33333</f>
        <v>1034.66408</v>
      </c>
      <c r="O166" s="192">
        <f t="shared" si="12"/>
        <v>3689</v>
      </c>
      <c r="P166" s="30">
        <v>0</v>
      </c>
      <c r="Q166" s="28">
        <v>0</v>
      </c>
      <c r="R166" s="28">
        <v>0</v>
      </c>
      <c r="S166" s="280"/>
    </row>
    <row r="167" spans="1:19" ht="12.75">
      <c r="A167" s="28">
        <v>771</v>
      </c>
      <c r="B167" s="29" t="s">
        <v>165</v>
      </c>
      <c r="C167" s="28">
        <v>971</v>
      </c>
      <c r="D167" s="379">
        <v>170</v>
      </c>
      <c r="E167" s="365">
        <v>216</v>
      </c>
      <c r="F167" s="193">
        <v>261</v>
      </c>
      <c r="G167" s="303">
        <v>327</v>
      </c>
      <c r="H167" s="303">
        <v>350</v>
      </c>
      <c r="I167" s="359">
        <f t="shared" si="13"/>
        <v>771</v>
      </c>
      <c r="J167" s="303">
        <v>0</v>
      </c>
      <c r="K167" s="303">
        <v>0</v>
      </c>
      <c r="L167" s="303">
        <v>414.7</v>
      </c>
      <c r="M167" s="303">
        <v>0</v>
      </c>
      <c r="N167" s="386">
        <f>M167*1.1</f>
        <v>0</v>
      </c>
      <c r="O167" s="192">
        <f t="shared" si="12"/>
        <v>1298</v>
      </c>
      <c r="P167" s="30">
        <v>0</v>
      </c>
      <c r="Q167" s="28">
        <v>0</v>
      </c>
      <c r="R167" s="28">
        <v>620</v>
      </c>
      <c r="S167" s="280"/>
    </row>
    <row r="168" spans="1:19" ht="12.75">
      <c r="A168" s="28">
        <v>772</v>
      </c>
      <c r="B168" s="29" t="s">
        <v>166</v>
      </c>
      <c r="C168" s="28">
        <v>971</v>
      </c>
      <c r="D168" s="379">
        <v>170</v>
      </c>
      <c r="E168" s="365">
        <v>216</v>
      </c>
      <c r="F168" s="193">
        <v>261</v>
      </c>
      <c r="G168" s="303">
        <v>327</v>
      </c>
      <c r="H168" s="303">
        <v>350</v>
      </c>
      <c r="I168" s="359">
        <f t="shared" si="13"/>
        <v>772</v>
      </c>
      <c r="J168" s="303">
        <v>0</v>
      </c>
      <c r="K168" s="303">
        <v>0</v>
      </c>
      <c r="L168" s="303">
        <v>414.7</v>
      </c>
      <c r="M168" s="303">
        <v>0</v>
      </c>
      <c r="N168" s="386">
        <f>M168*1.1</f>
        <v>0</v>
      </c>
      <c r="O168" s="192">
        <f t="shared" si="12"/>
        <v>1298</v>
      </c>
      <c r="P168" s="30">
        <v>0</v>
      </c>
      <c r="Q168" s="28">
        <v>0</v>
      </c>
      <c r="R168" s="28">
        <v>620</v>
      </c>
      <c r="S168" s="280"/>
    </row>
    <row r="169" spans="1:19" ht="12.75">
      <c r="A169" s="28">
        <v>773</v>
      </c>
      <c r="B169" s="29" t="s">
        <v>451</v>
      </c>
      <c r="C169" s="28">
        <v>1942</v>
      </c>
      <c r="D169" s="379">
        <v>43</v>
      </c>
      <c r="E169" s="144">
        <v>43</v>
      </c>
      <c r="F169" s="193">
        <f>IF(C169&lt;972,E169+44,E169)</f>
        <v>43</v>
      </c>
      <c r="G169" s="193">
        <v>43</v>
      </c>
      <c r="H169" s="193">
        <v>43</v>
      </c>
      <c r="I169" s="359">
        <f t="shared" si="13"/>
        <v>773</v>
      </c>
      <c r="J169" s="303">
        <v>0</v>
      </c>
      <c r="K169" s="303">
        <v>233</v>
      </c>
      <c r="L169" s="303">
        <v>43</v>
      </c>
      <c r="M169" s="303">
        <v>466</v>
      </c>
      <c r="N169" s="386">
        <f>M169*1.33333</f>
        <v>621.33178</v>
      </c>
      <c r="O169" s="192">
        <f t="shared" si="12"/>
        <v>2451</v>
      </c>
      <c r="P169" s="30">
        <v>0</v>
      </c>
      <c r="Q169" s="28">
        <v>0</v>
      </c>
      <c r="R169" s="28">
        <v>669</v>
      </c>
      <c r="S169" s="280"/>
    </row>
    <row r="170" spans="1:19" ht="12.75">
      <c r="A170" s="28">
        <v>774</v>
      </c>
      <c r="B170" s="29" t="s">
        <v>450</v>
      </c>
      <c r="C170" s="28">
        <v>1700</v>
      </c>
      <c r="D170" s="379">
        <v>75</v>
      </c>
      <c r="E170" s="144">
        <v>75</v>
      </c>
      <c r="F170" s="193">
        <f>IF(C170&lt;972,E170+44,E170)</f>
        <v>75</v>
      </c>
      <c r="G170" s="193">
        <v>75</v>
      </c>
      <c r="H170" s="193">
        <v>75</v>
      </c>
      <c r="I170" s="359">
        <f t="shared" si="13"/>
        <v>774</v>
      </c>
      <c r="J170" s="303">
        <v>0</v>
      </c>
      <c r="K170" s="303">
        <v>155</v>
      </c>
      <c r="L170" s="303">
        <v>75</v>
      </c>
      <c r="M170" s="303">
        <v>310</v>
      </c>
      <c r="N170" s="386">
        <f>M170*1.33333</f>
        <v>413.3323</v>
      </c>
      <c r="O170" s="192">
        <f t="shared" si="12"/>
        <v>2085</v>
      </c>
      <c r="P170" s="30">
        <v>0</v>
      </c>
      <c r="Q170" s="28">
        <v>0</v>
      </c>
      <c r="R170" s="28">
        <v>657</v>
      </c>
      <c r="S170" s="280"/>
    </row>
    <row r="171" spans="1:19" ht="12.75">
      <c r="A171" s="28">
        <v>775</v>
      </c>
      <c r="B171" s="29" t="s">
        <v>266</v>
      </c>
      <c r="C171" s="28">
        <v>1400</v>
      </c>
      <c r="D171" s="379">
        <v>114</v>
      </c>
      <c r="E171" s="144">
        <v>114</v>
      </c>
      <c r="F171" s="193">
        <f>IF(C171&lt;972,E171+44,E171)</f>
        <v>114</v>
      </c>
      <c r="G171" s="193">
        <v>114</v>
      </c>
      <c r="H171" s="193">
        <v>114</v>
      </c>
      <c r="I171" s="359">
        <f t="shared" si="13"/>
        <v>775</v>
      </c>
      <c r="J171" s="303">
        <v>0</v>
      </c>
      <c r="K171" s="345">
        <v>116</v>
      </c>
      <c r="L171" s="303">
        <v>114</v>
      </c>
      <c r="M171" s="345">
        <v>233</v>
      </c>
      <c r="N171" s="386">
        <f>M171*1.33333</f>
        <v>310.66589</v>
      </c>
      <c r="O171" s="192">
        <f t="shared" si="12"/>
        <v>1747</v>
      </c>
      <c r="P171" s="30">
        <v>150</v>
      </c>
      <c r="Q171" s="28">
        <v>0</v>
      </c>
      <c r="R171" s="28">
        <v>0</v>
      </c>
      <c r="S171" s="280"/>
    </row>
    <row r="172" spans="1:19" ht="12.75">
      <c r="A172" s="28">
        <v>776</v>
      </c>
      <c r="B172" s="29" t="s">
        <v>167</v>
      </c>
      <c r="C172" s="28">
        <v>971</v>
      </c>
      <c r="D172" s="379">
        <v>170</v>
      </c>
      <c r="E172" s="365">
        <v>216</v>
      </c>
      <c r="F172" s="193">
        <v>261</v>
      </c>
      <c r="G172" s="303">
        <v>327</v>
      </c>
      <c r="H172" s="303">
        <v>350</v>
      </c>
      <c r="I172" s="359">
        <f t="shared" si="13"/>
        <v>776</v>
      </c>
      <c r="J172" s="303">
        <v>0</v>
      </c>
      <c r="K172" s="303">
        <v>0</v>
      </c>
      <c r="L172" s="303">
        <v>414.7</v>
      </c>
      <c r="M172" s="303">
        <v>0</v>
      </c>
      <c r="N172" s="386">
        <f>M172*1.1</f>
        <v>0</v>
      </c>
      <c r="O172" s="192">
        <f t="shared" si="12"/>
        <v>1298</v>
      </c>
      <c r="P172" s="30">
        <v>0</v>
      </c>
      <c r="Q172" s="28">
        <v>0</v>
      </c>
      <c r="R172" s="28">
        <v>0</v>
      </c>
      <c r="S172" s="280"/>
    </row>
    <row r="173" spans="1:19" ht="12.75">
      <c r="A173" s="28">
        <v>777</v>
      </c>
      <c r="B173" s="29" t="s">
        <v>168</v>
      </c>
      <c r="C173" s="28">
        <v>971</v>
      </c>
      <c r="D173" s="379">
        <v>170</v>
      </c>
      <c r="E173" s="365">
        <v>216</v>
      </c>
      <c r="F173" s="193">
        <v>261</v>
      </c>
      <c r="G173" s="303">
        <v>327</v>
      </c>
      <c r="H173" s="303">
        <v>350</v>
      </c>
      <c r="I173" s="359">
        <f t="shared" si="13"/>
        <v>777</v>
      </c>
      <c r="J173" s="303">
        <v>0</v>
      </c>
      <c r="K173" s="303">
        <v>0</v>
      </c>
      <c r="L173" s="303">
        <v>414.7</v>
      </c>
      <c r="M173" s="303">
        <v>0</v>
      </c>
      <c r="N173" s="386">
        <f>M173*1.1</f>
        <v>0</v>
      </c>
      <c r="O173" s="192">
        <f t="shared" si="12"/>
        <v>1298</v>
      </c>
      <c r="P173" s="30">
        <v>0</v>
      </c>
      <c r="Q173" s="28">
        <v>0</v>
      </c>
      <c r="R173" s="28">
        <v>155</v>
      </c>
      <c r="S173" s="280"/>
    </row>
    <row r="174" spans="1:19" ht="12.75">
      <c r="A174" s="28">
        <v>778</v>
      </c>
      <c r="B174" s="29" t="s">
        <v>169</v>
      </c>
      <c r="C174" s="28">
        <v>1692</v>
      </c>
      <c r="D174" s="379">
        <v>76</v>
      </c>
      <c r="E174" s="144">
        <v>76</v>
      </c>
      <c r="F174" s="193">
        <f>IF(C174&lt;972,E174+44,E174)</f>
        <v>76</v>
      </c>
      <c r="G174" s="193">
        <v>76</v>
      </c>
      <c r="H174" s="193">
        <v>76</v>
      </c>
      <c r="I174" s="359">
        <f t="shared" si="13"/>
        <v>778</v>
      </c>
      <c r="J174" s="303">
        <v>0</v>
      </c>
      <c r="K174" s="345">
        <v>136</v>
      </c>
      <c r="L174" s="303">
        <v>76</v>
      </c>
      <c r="M174" s="345">
        <v>272</v>
      </c>
      <c r="N174" s="386">
        <f>M174*1.33333</f>
        <v>362.66576</v>
      </c>
      <c r="O174" s="192">
        <f t="shared" si="12"/>
        <v>2040</v>
      </c>
      <c r="P174" s="30">
        <v>17</v>
      </c>
      <c r="Q174" s="28">
        <v>0</v>
      </c>
      <c r="R174" s="28">
        <v>0</v>
      </c>
      <c r="S174" s="280"/>
    </row>
    <row r="175" spans="1:19" ht="12.75">
      <c r="A175" s="28">
        <v>779</v>
      </c>
      <c r="B175" s="31" t="s">
        <v>170</v>
      </c>
      <c r="C175" s="28">
        <v>853</v>
      </c>
      <c r="D175" s="379">
        <v>170</v>
      </c>
      <c r="E175" s="365">
        <v>216</v>
      </c>
      <c r="F175" s="193">
        <v>261</v>
      </c>
      <c r="G175" s="303">
        <v>327</v>
      </c>
      <c r="H175" s="303">
        <v>350</v>
      </c>
      <c r="I175" s="359">
        <f t="shared" si="13"/>
        <v>779</v>
      </c>
      <c r="J175" s="303">
        <v>0</v>
      </c>
      <c r="K175" s="303">
        <v>0</v>
      </c>
      <c r="L175" s="303">
        <v>414.7</v>
      </c>
      <c r="M175" s="303">
        <v>0</v>
      </c>
      <c r="N175" s="386">
        <f>M175*1.1</f>
        <v>0</v>
      </c>
      <c r="O175" s="192">
        <f t="shared" si="12"/>
        <v>1180</v>
      </c>
      <c r="P175" s="30">
        <v>0</v>
      </c>
      <c r="Q175" s="28">
        <v>0</v>
      </c>
      <c r="R175" s="28">
        <v>0</v>
      </c>
      <c r="S175" s="280"/>
    </row>
    <row r="176" spans="1:19" ht="12.75">
      <c r="A176" s="28">
        <v>780</v>
      </c>
      <c r="B176" s="29" t="s">
        <v>171</v>
      </c>
      <c r="C176" s="28">
        <v>3146</v>
      </c>
      <c r="D176" s="379">
        <v>0</v>
      </c>
      <c r="E176" s="144">
        <v>0</v>
      </c>
      <c r="F176" s="193">
        <f>IF(C176&lt;972,E176+44,E176)</f>
        <v>0</v>
      </c>
      <c r="G176" s="193">
        <v>0</v>
      </c>
      <c r="H176" s="193">
        <v>0</v>
      </c>
      <c r="I176" s="359">
        <f t="shared" si="13"/>
        <v>780</v>
      </c>
      <c r="J176" s="303">
        <v>0</v>
      </c>
      <c r="K176" s="303">
        <f>D176*0.09</f>
        <v>0</v>
      </c>
      <c r="L176" s="303">
        <v>0</v>
      </c>
      <c r="M176" s="303">
        <v>0</v>
      </c>
      <c r="N176" s="386">
        <f>M176*1.1</f>
        <v>0</v>
      </c>
      <c r="O176" s="192">
        <f t="shared" si="12"/>
        <v>3146</v>
      </c>
      <c r="P176" s="30">
        <v>0</v>
      </c>
      <c r="Q176" s="28">
        <v>0</v>
      </c>
      <c r="R176" s="28">
        <v>0</v>
      </c>
      <c r="S176" s="280"/>
    </row>
    <row r="177" spans="1:19" ht="12.75">
      <c r="A177" s="28">
        <v>781</v>
      </c>
      <c r="B177" s="29" t="s">
        <v>172</v>
      </c>
      <c r="C177" s="28">
        <v>2288</v>
      </c>
      <c r="D177" s="379">
        <v>0</v>
      </c>
      <c r="E177" s="144">
        <v>0</v>
      </c>
      <c r="F177" s="193">
        <f>IF(C177&lt;972,E177+44,E177)</f>
        <v>0</v>
      </c>
      <c r="G177" s="193">
        <v>0</v>
      </c>
      <c r="H177" s="193">
        <v>0</v>
      </c>
      <c r="I177" s="359">
        <f t="shared" si="13"/>
        <v>781</v>
      </c>
      <c r="J177" s="303">
        <v>0</v>
      </c>
      <c r="K177" s="303">
        <f>D177*0.09</f>
        <v>0</v>
      </c>
      <c r="L177" s="303">
        <v>0</v>
      </c>
      <c r="M177" s="303">
        <v>0</v>
      </c>
      <c r="N177" s="386">
        <f>M177*1.1</f>
        <v>0</v>
      </c>
      <c r="O177" s="192">
        <f t="shared" si="12"/>
        <v>2288</v>
      </c>
      <c r="P177" s="30">
        <v>0</v>
      </c>
      <c r="Q177" s="28">
        <v>0</v>
      </c>
      <c r="R177" s="28">
        <v>0</v>
      </c>
      <c r="S177" s="280"/>
    </row>
    <row r="178" spans="1:19" ht="12.75">
      <c r="A178" s="28">
        <v>783</v>
      </c>
      <c r="B178" s="29" t="s">
        <v>477</v>
      </c>
      <c r="C178" s="28">
        <v>690</v>
      </c>
      <c r="D178" s="379">
        <v>170</v>
      </c>
      <c r="E178" s="365">
        <v>216</v>
      </c>
      <c r="F178" s="193">
        <v>261</v>
      </c>
      <c r="G178" s="303">
        <v>327</v>
      </c>
      <c r="H178" s="303">
        <v>350</v>
      </c>
      <c r="I178" s="359">
        <f t="shared" si="13"/>
        <v>783</v>
      </c>
      <c r="J178" s="303">
        <v>0</v>
      </c>
      <c r="K178" s="303">
        <v>0</v>
      </c>
      <c r="L178" s="303">
        <v>414.7</v>
      </c>
      <c r="M178" s="303">
        <v>0</v>
      </c>
      <c r="N178" s="386">
        <f>M178*1.1</f>
        <v>0</v>
      </c>
      <c r="O178" s="192">
        <f t="shared" si="12"/>
        <v>1017</v>
      </c>
      <c r="P178" s="30">
        <v>0</v>
      </c>
      <c r="Q178" s="28">
        <v>0</v>
      </c>
      <c r="R178" s="28">
        <v>0</v>
      </c>
      <c r="S178" s="280"/>
    </row>
    <row r="179" spans="1:19" ht="12.75">
      <c r="A179" s="28">
        <v>784</v>
      </c>
      <c r="B179" s="346" t="s">
        <v>423</v>
      </c>
      <c r="C179" s="347">
        <v>1600</v>
      </c>
      <c r="D179" s="379">
        <v>88</v>
      </c>
      <c r="E179" s="348">
        <v>88</v>
      </c>
      <c r="F179" s="345">
        <v>88</v>
      </c>
      <c r="G179" s="345">
        <v>88</v>
      </c>
      <c r="H179" s="345">
        <v>88</v>
      </c>
      <c r="I179" s="361">
        <f t="shared" si="13"/>
        <v>784</v>
      </c>
      <c r="J179" s="345">
        <v>0</v>
      </c>
      <c r="K179" s="345">
        <v>116</v>
      </c>
      <c r="L179" s="303">
        <v>88</v>
      </c>
      <c r="M179" s="345">
        <v>233</v>
      </c>
      <c r="N179" s="386">
        <f>M179*1.33333</f>
        <v>310.66589</v>
      </c>
      <c r="O179" s="192">
        <f t="shared" si="12"/>
        <v>1921</v>
      </c>
      <c r="P179" s="30">
        <v>0</v>
      </c>
      <c r="Q179" s="28">
        <v>0</v>
      </c>
      <c r="R179" s="28">
        <v>0</v>
      </c>
      <c r="S179" s="280"/>
    </row>
    <row r="180" spans="1:19" ht="12.75">
      <c r="A180" s="347">
        <v>785</v>
      </c>
      <c r="B180" s="346" t="s">
        <v>420</v>
      </c>
      <c r="C180" s="347">
        <v>1782</v>
      </c>
      <c r="D180" s="379">
        <v>64</v>
      </c>
      <c r="E180" s="348">
        <v>64</v>
      </c>
      <c r="F180" s="345">
        <v>64</v>
      </c>
      <c r="G180" s="345">
        <v>64</v>
      </c>
      <c r="H180" s="345">
        <v>64</v>
      </c>
      <c r="I180" s="361">
        <f t="shared" si="13"/>
        <v>785</v>
      </c>
      <c r="J180" s="345"/>
      <c r="K180" s="345">
        <v>194</v>
      </c>
      <c r="L180" s="303">
        <v>64</v>
      </c>
      <c r="M180" s="345">
        <v>388</v>
      </c>
      <c r="N180" s="386">
        <f>M180*1.33333</f>
        <v>517.33204</v>
      </c>
      <c r="O180" s="192">
        <f t="shared" si="12"/>
        <v>2234</v>
      </c>
      <c r="P180" s="30">
        <v>17</v>
      </c>
      <c r="Q180" s="28">
        <v>0</v>
      </c>
      <c r="R180" s="28">
        <v>0</v>
      </c>
      <c r="S180" s="280"/>
    </row>
    <row r="181" spans="1:19" ht="12.75">
      <c r="A181" s="347">
        <v>787</v>
      </c>
      <c r="B181" s="346" t="s">
        <v>421</v>
      </c>
      <c r="C181" s="347">
        <v>1700</v>
      </c>
      <c r="D181" s="379">
        <v>75</v>
      </c>
      <c r="E181" s="348">
        <v>75</v>
      </c>
      <c r="F181" s="345">
        <v>75</v>
      </c>
      <c r="G181" s="345">
        <v>75</v>
      </c>
      <c r="H181" s="345">
        <v>75</v>
      </c>
      <c r="I181" s="361">
        <f t="shared" si="13"/>
        <v>787</v>
      </c>
      <c r="J181" s="345"/>
      <c r="K181" s="345">
        <v>116</v>
      </c>
      <c r="L181" s="303">
        <v>75</v>
      </c>
      <c r="M181" s="345">
        <v>233</v>
      </c>
      <c r="N181" s="386">
        <f>M181*1.33333</f>
        <v>310.66589</v>
      </c>
      <c r="O181" s="192">
        <f t="shared" si="12"/>
        <v>2008</v>
      </c>
      <c r="P181" s="30">
        <v>17</v>
      </c>
      <c r="Q181" s="28">
        <v>0</v>
      </c>
      <c r="R181" s="28">
        <v>0</v>
      </c>
      <c r="S181" s="280"/>
    </row>
    <row r="182" spans="1:19" ht="12.75">
      <c r="A182" s="28">
        <v>788</v>
      </c>
      <c r="B182" s="29" t="s">
        <v>173</v>
      </c>
      <c r="C182" s="28">
        <v>2000</v>
      </c>
      <c r="D182" s="379">
        <v>36</v>
      </c>
      <c r="E182" s="144">
        <v>36</v>
      </c>
      <c r="F182" s="193">
        <f>IF(C182&lt;972,E182+44,E182)</f>
        <v>36</v>
      </c>
      <c r="G182" s="193">
        <v>36</v>
      </c>
      <c r="H182" s="193">
        <v>36</v>
      </c>
      <c r="I182" s="359">
        <f t="shared" si="13"/>
        <v>788</v>
      </c>
      <c r="J182" s="303">
        <v>0</v>
      </c>
      <c r="K182" s="303">
        <v>0</v>
      </c>
      <c r="L182" s="303">
        <v>36</v>
      </c>
      <c r="M182" s="303">
        <v>0</v>
      </c>
      <c r="N182" s="386">
        <f>M182*1.1</f>
        <v>0</v>
      </c>
      <c r="O182" s="192">
        <f t="shared" si="12"/>
        <v>2036</v>
      </c>
      <c r="P182" s="30">
        <v>0</v>
      </c>
      <c r="Q182" s="28">
        <v>0</v>
      </c>
      <c r="R182" s="28">
        <v>0</v>
      </c>
      <c r="S182" s="280"/>
    </row>
    <row r="183" spans="1:19" ht="12.75">
      <c r="A183" s="28">
        <v>789</v>
      </c>
      <c r="B183" s="29" t="s">
        <v>174</v>
      </c>
      <c r="C183" s="28">
        <v>971</v>
      </c>
      <c r="D183" s="379">
        <v>170</v>
      </c>
      <c r="E183" s="365">
        <v>216</v>
      </c>
      <c r="F183" s="193">
        <v>261</v>
      </c>
      <c r="G183" s="303">
        <v>327</v>
      </c>
      <c r="H183" s="303">
        <v>350</v>
      </c>
      <c r="I183" s="359">
        <f t="shared" si="13"/>
        <v>789</v>
      </c>
      <c r="J183" s="303">
        <v>0</v>
      </c>
      <c r="K183" s="303">
        <v>0</v>
      </c>
      <c r="L183" s="303">
        <v>414.7</v>
      </c>
      <c r="M183" s="303">
        <v>0</v>
      </c>
      <c r="N183" s="386">
        <f>M183*1.1</f>
        <v>0</v>
      </c>
      <c r="O183" s="192">
        <f t="shared" si="12"/>
        <v>1298</v>
      </c>
      <c r="P183" s="30">
        <v>0</v>
      </c>
      <c r="Q183" s="28">
        <v>0</v>
      </c>
      <c r="R183" s="28">
        <v>0</v>
      </c>
      <c r="S183" s="280"/>
    </row>
    <row r="184" spans="1:19" ht="12.75">
      <c r="A184" s="28">
        <v>791</v>
      </c>
      <c r="B184" s="29" t="s">
        <v>175</v>
      </c>
      <c r="C184" s="28">
        <v>2913</v>
      </c>
      <c r="D184" s="379">
        <v>0</v>
      </c>
      <c r="E184" s="144">
        <v>0</v>
      </c>
      <c r="F184" s="193">
        <f aca="true" t="shared" si="14" ref="F184:F190">IF(C184&lt;972,E184+44,E184)</f>
        <v>0</v>
      </c>
      <c r="G184" s="193">
        <v>0</v>
      </c>
      <c r="H184" s="193">
        <v>0</v>
      </c>
      <c r="I184" s="359">
        <f t="shared" si="13"/>
        <v>791</v>
      </c>
      <c r="J184" s="303">
        <v>0</v>
      </c>
      <c r="K184" s="344">
        <v>233</v>
      </c>
      <c r="L184" s="303">
        <v>0</v>
      </c>
      <c r="M184" s="344">
        <v>466</v>
      </c>
      <c r="N184" s="386">
        <v>776</v>
      </c>
      <c r="O184" s="192">
        <f t="shared" si="12"/>
        <v>3379</v>
      </c>
      <c r="P184" s="30">
        <v>17</v>
      </c>
      <c r="Q184" s="28">
        <v>0</v>
      </c>
      <c r="R184" s="28">
        <v>0</v>
      </c>
      <c r="S184" s="280"/>
    </row>
    <row r="185" spans="1:19" ht="12.75">
      <c r="A185" s="28">
        <v>792</v>
      </c>
      <c r="B185" s="29" t="s">
        <v>176</v>
      </c>
      <c r="C185" s="28">
        <v>2913</v>
      </c>
      <c r="D185" s="379">
        <v>0</v>
      </c>
      <c r="E185" s="144">
        <v>0</v>
      </c>
      <c r="F185" s="193">
        <f t="shared" si="14"/>
        <v>0</v>
      </c>
      <c r="G185" s="193">
        <v>0</v>
      </c>
      <c r="H185" s="193">
        <v>0</v>
      </c>
      <c r="I185" s="359">
        <f t="shared" si="13"/>
        <v>792</v>
      </c>
      <c r="J185" s="303">
        <v>0</v>
      </c>
      <c r="K185">
        <v>233</v>
      </c>
      <c r="L185" s="303">
        <v>0</v>
      </c>
      <c r="M185">
        <v>466</v>
      </c>
      <c r="N185" s="386">
        <v>776</v>
      </c>
      <c r="O185" s="192">
        <f t="shared" si="12"/>
        <v>3379</v>
      </c>
      <c r="P185" s="30">
        <v>0</v>
      </c>
      <c r="Q185" s="28">
        <v>0</v>
      </c>
      <c r="R185" s="28">
        <v>0</v>
      </c>
      <c r="S185" s="280"/>
    </row>
    <row r="186" spans="1:19" ht="12.75">
      <c r="A186" s="28">
        <v>793</v>
      </c>
      <c r="B186" s="29" t="s">
        <v>177</v>
      </c>
      <c r="C186" s="28">
        <v>2913</v>
      </c>
      <c r="D186" s="379">
        <v>0</v>
      </c>
      <c r="E186" s="144">
        <v>0</v>
      </c>
      <c r="F186" s="193">
        <f t="shared" si="14"/>
        <v>0</v>
      </c>
      <c r="G186" s="193">
        <v>0</v>
      </c>
      <c r="H186" s="193">
        <v>0</v>
      </c>
      <c r="I186" s="359">
        <f t="shared" si="13"/>
        <v>793</v>
      </c>
      <c r="J186" s="303">
        <v>0</v>
      </c>
      <c r="K186" s="344">
        <v>233</v>
      </c>
      <c r="L186" s="303">
        <v>0</v>
      </c>
      <c r="M186" s="344">
        <v>466</v>
      </c>
      <c r="N186" s="386">
        <v>776</v>
      </c>
      <c r="O186" s="192">
        <f t="shared" si="12"/>
        <v>3379</v>
      </c>
      <c r="P186" s="30">
        <v>0</v>
      </c>
      <c r="Q186" s="28">
        <v>0</v>
      </c>
      <c r="R186" s="28">
        <v>0</v>
      </c>
      <c r="S186" s="280"/>
    </row>
    <row r="187" spans="1:19" ht="12.75">
      <c r="A187" s="28">
        <v>794</v>
      </c>
      <c r="B187" s="29" t="s">
        <v>178</v>
      </c>
      <c r="C187" s="28">
        <v>1840</v>
      </c>
      <c r="D187" s="379">
        <v>57</v>
      </c>
      <c r="E187" s="144">
        <v>57</v>
      </c>
      <c r="F187" s="193">
        <f t="shared" si="14"/>
        <v>57</v>
      </c>
      <c r="G187" s="193">
        <v>57</v>
      </c>
      <c r="H187" s="193">
        <v>57</v>
      </c>
      <c r="I187" s="359">
        <f t="shared" si="13"/>
        <v>794</v>
      </c>
      <c r="J187" s="303">
        <v>0</v>
      </c>
      <c r="K187" s="303">
        <v>175</v>
      </c>
      <c r="L187" s="303">
        <v>57</v>
      </c>
      <c r="M187" s="303">
        <v>349</v>
      </c>
      <c r="N187" s="386">
        <f>M187*1.33333</f>
        <v>465.33216999999996</v>
      </c>
      <c r="O187" s="192">
        <f t="shared" si="12"/>
        <v>2246</v>
      </c>
      <c r="P187" s="30">
        <v>0</v>
      </c>
      <c r="Q187" s="28">
        <v>0</v>
      </c>
      <c r="R187" s="28">
        <v>0</v>
      </c>
      <c r="S187" s="280"/>
    </row>
    <row r="188" spans="1:19" ht="12.75">
      <c r="A188" s="28">
        <v>795</v>
      </c>
      <c r="B188" s="29" t="s">
        <v>179</v>
      </c>
      <c r="C188" s="347">
        <v>1610</v>
      </c>
      <c r="D188" s="379">
        <v>107</v>
      </c>
      <c r="E188" s="348">
        <v>107</v>
      </c>
      <c r="F188" s="345">
        <f t="shared" si="14"/>
        <v>107</v>
      </c>
      <c r="G188" s="345">
        <v>107</v>
      </c>
      <c r="H188" s="345">
        <v>107</v>
      </c>
      <c r="I188" s="361">
        <f t="shared" si="13"/>
        <v>795</v>
      </c>
      <c r="J188" s="345">
        <v>0</v>
      </c>
      <c r="K188" s="345">
        <v>116</v>
      </c>
      <c r="L188" s="303">
        <v>107</v>
      </c>
      <c r="M188" s="345">
        <v>233</v>
      </c>
      <c r="N188" s="386">
        <f>M188*1.33333</f>
        <v>310.66589</v>
      </c>
      <c r="O188" s="192">
        <f t="shared" si="12"/>
        <v>1950</v>
      </c>
      <c r="P188" s="30">
        <v>0</v>
      </c>
      <c r="Q188" s="28">
        <v>0</v>
      </c>
      <c r="R188" s="28">
        <v>0</v>
      </c>
      <c r="S188" s="280"/>
    </row>
    <row r="189" spans="1:19" ht="12.75">
      <c r="A189" s="28">
        <v>796</v>
      </c>
      <c r="B189" s="29" t="s">
        <v>180</v>
      </c>
      <c r="C189" s="28">
        <v>1340</v>
      </c>
      <c r="D189" s="379">
        <v>122</v>
      </c>
      <c r="E189" s="144">
        <v>122</v>
      </c>
      <c r="F189" s="193">
        <f t="shared" si="14"/>
        <v>122</v>
      </c>
      <c r="G189" s="193">
        <v>122</v>
      </c>
      <c r="H189" s="193">
        <v>122</v>
      </c>
      <c r="I189" s="359">
        <f t="shared" si="13"/>
        <v>796</v>
      </c>
      <c r="J189" s="303">
        <v>0</v>
      </c>
      <c r="K189" s="345">
        <v>116</v>
      </c>
      <c r="L189" s="303">
        <v>122</v>
      </c>
      <c r="M189" s="345">
        <v>233</v>
      </c>
      <c r="N189" s="386">
        <f>M189*1.33333</f>
        <v>310.66589</v>
      </c>
      <c r="O189" s="192">
        <f t="shared" si="12"/>
        <v>1695</v>
      </c>
      <c r="P189" s="30">
        <v>0</v>
      </c>
      <c r="Q189" s="28">
        <v>0</v>
      </c>
      <c r="R189" s="28">
        <v>0</v>
      </c>
      <c r="S189" s="280"/>
    </row>
    <row r="190" spans="1:19" ht="12.75">
      <c r="A190" s="28">
        <v>797</v>
      </c>
      <c r="B190" s="29" t="s">
        <v>181</v>
      </c>
      <c r="C190" s="28">
        <v>1170</v>
      </c>
      <c r="D190" s="379">
        <v>144</v>
      </c>
      <c r="E190" s="144">
        <v>144</v>
      </c>
      <c r="F190" s="193">
        <f t="shared" si="14"/>
        <v>144</v>
      </c>
      <c r="G190" s="193">
        <v>144</v>
      </c>
      <c r="H190" s="193">
        <v>144</v>
      </c>
      <c r="I190" s="359">
        <f t="shared" si="13"/>
        <v>797</v>
      </c>
      <c r="J190" s="303">
        <v>0</v>
      </c>
      <c r="K190" s="303">
        <v>0</v>
      </c>
      <c r="L190" s="303">
        <v>144</v>
      </c>
      <c r="M190" s="303">
        <v>0</v>
      </c>
      <c r="N190" s="386">
        <f>M190*1.1</f>
        <v>0</v>
      </c>
      <c r="O190" s="192">
        <f t="shared" si="12"/>
        <v>1314</v>
      </c>
      <c r="P190" s="30">
        <v>0</v>
      </c>
      <c r="Q190" s="28">
        <v>0</v>
      </c>
      <c r="R190" s="28">
        <v>0</v>
      </c>
      <c r="S190" s="280"/>
    </row>
    <row r="191" spans="1:19" ht="12.75">
      <c r="A191" s="28">
        <v>798</v>
      </c>
      <c r="B191" s="29" t="s">
        <v>182</v>
      </c>
      <c r="C191" s="28">
        <v>961</v>
      </c>
      <c r="D191" s="379">
        <v>170</v>
      </c>
      <c r="E191" s="365">
        <v>216</v>
      </c>
      <c r="F191" s="193">
        <v>261</v>
      </c>
      <c r="G191" s="303">
        <v>327</v>
      </c>
      <c r="H191" s="303">
        <v>350</v>
      </c>
      <c r="I191" s="359">
        <f t="shared" si="13"/>
        <v>798</v>
      </c>
      <c r="J191" s="303">
        <v>0</v>
      </c>
      <c r="K191" s="303">
        <v>0</v>
      </c>
      <c r="L191" s="303">
        <v>414.7</v>
      </c>
      <c r="M191" s="303">
        <v>0</v>
      </c>
      <c r="N191" s="386">
        <f>M191*1.1</f>
        <v>0</v>
      </c>
      <c r="O191" s="192">
        <f t="shared" si="12"/>
        <v>1288</v>
      </c>
      <c r="P191" s="30">
        <v>0</v>
      </c>
      <c r="Q191" s="28">
        <v>0</v>
      </c>
      <c r="R191" s="28">
        <v>0</v>
      </c>
      <c r="S191" s="280"/>
    </row>
    <row r="192" spans="1:19" ht="12.75">
      <c r="A192" s="305">
        <v>800</v>
      </c>
      <c r="B192" s="306" t="s">
        <v>445</v>
      </c>
      <c r="C192" s="305">
        <v>1942</v>
      </c>
      <c r="D192" s="379"/>
      <c r="E192" s="365"/>
      <c r="F192" s="193"/>
      <c r="G192" s="303">
        <v>43</v>
      </c>
      <c r="H192" s="303">
        <v>43</v>
      </c>
      <c r="I192" s="359">
        <f t="shared" si="13"/>
        <v>800</v>
      </c>
      <c r="J192" s="303"/>
      <c r="K192" s="303"/>
      <c r="L192" s="303">
        <v>43</v>
      </c>
      <c r="M192" s="303">
        <v>233</v>
      </c>
      <c r="N192" s="386">
        <f>M192*1.33333</f>
        <v>310.66589</v>
      </c>
      <c r="O192" s="192">
        <f t="shared" si="12"/>
        <v>2218</v>
      </c>
      <c r="P192" s="368">
        <v>17</v>
      </c>
      <c r="Q192" s="28">
        <v>0</v>
      </c>
      <c r="R192" s="28">
        <v>0</v>
      </c>
      <c r="S192" s="280"/>
    </row>
    <row r="193" spans="1:19" ht="12.75">
      <c r="A193" s="305">
        <v>801</v>
      </c>
      <c r="B193" s="306" t="s">
        <v>446</v>
      </c>
      <c r="C193" s="305">
        <v>1782</v>
      </c>
      <c r="D193" s="379"/>
      <c r="E193" s="365"/>
      <c r="F193" s="193"/>
      <c r="G193" s="303">
        <v>64</v>
      </c>
      <c r="H193" s="303">
        <v>64</v>
      </c>
      <c r="I193" s="359">
        <f t="shared" si="13"/>
        <v>801</v>
      </c>
      <c r="J193" s="303"/>
      <c r="K193" s="303"/>
      <c r="L193" s="303">
        <v>64</v>
      </c>
      <c r="M193" s="303">
        <v>233</v>
      </c>
      <c r="N193" s="386">
        <f>M193*1.33333</f>
        <v>310.66589</v>
      </c>
      <c r="O193" s="192">
        <f t="shared" si="12"/>
        <v>2079</v>
      </c>
      <c r="P193" s="368">
        <v>17</v>
      </c>
      <c r="Q193" s="28">
        <v>0</v>
      </c>
      <c r="R193" s="28">
        <v>0</v>
      </c>
      <c r="S193" s="280"/>
    </row>
    <row r="194" spans="1:19" ht="12.75">
      <c r="A194" s="305">
        <v>802</v>
      </c>
      <c r="B194" s="306" t="s">
        <v>449</v>
      </c>
      <c r="C194" s="305">
        <v>1700</v>
      </c>
      <c r="D194" s="379"/>
      <c r="E194" s="365"/>
      <c r="F194" s="193"/>
      <c r="G194" s="303">
        <v>75</v>
      </c>
      <c r="H194" s="303">
        <v>75</v>
      </c>
      <c r="I194" s="359">
        <f t="shared" si="13"/>
        <v>802</v>
      </c>
      <c r="J194" s="303"/>
      <c r="K194" s="303"/>
      <c r="L194" s="303">
        <v>75</v>
      </c>
      <c r="M194" s="303">
        <v>233</v>
      </c>
      <c r="N194" s="386">
        <f>M194*1.33333</f>
        <v>310.66589</v>
      </c>
      <c r="O194" s="192">
        <f t="shared" si="12"/>
        <v>2008</v>
      </c>
      <c r="P194" s="368">
        <v>17</v>
      </c>
      <c r="Q194" s="28">
        <v>0</v>
      </c>
      <c r="R194" s="28">
        <v>0</v>
      </c>
      <c r="S194" s="280"/>
    </row>
    <row r="195" spans="1:19" s="311" customFormat="1" ht="12.75">
      <c r="A195" s="305">
        <v>804</v>
      </c>
      <c r="B195" s="306" t="s">
        <v>431</v>
      </c>
      <c r="C195" s="305">
        <v>971</v>
      </c>
      <c r="D195" s="380">
        <v>170</v>
      </c>
      <c r="E195" s="366">
        <v>216</v>
      </c>
      <c r="F195" s="364">
        <v>261</v>
      </c>
      <c r="G195" s="303">
        <v>327</v>
      </c>
      <c r="H195" s="303">
        <v>350</v>
      </c>
      <c r="I195" s="364">
        <f t="shared" si="13"/>
        <v>804</v>
      </c>
      <c r="J195" s="307">
        <v>0</v>
      </c>
      <c r="K195" s="307">
        <v>0</v>
      </c>
      <c r="L195" s="303">
        <v>414.7</v>
      </c>
      <c r="M195" s="308">
        <v>0</v>
      </c>
      <c r="N195" s="386">
        <f>M195*1.1</f>
        <v>0</v>
      </c>
      <c r="O195" s="192">
        <f aca="true" t="shared" si="15" ref="O195:O259">C195+G195+M195</f>
        <v>1298</v>
      </c>
      <c r="P195" s="305">
        <v>0</v>
      </c>
      <c r="Q195" s="305">
        <v>413</v>
      </c>
      <c r="R195" s="310">
        <v>0</v>
      </c>
      <c r="S195" s="310"/>
    </row>
    <row r="196" spans="1:19" s="311" customFormat="1" ht="12.75">
      <c r="A196" s="305">
        <v>807</v>
      </c>
      <c r="B196" s="306" t="s">
        <v>490</v>
      </c>
      <c r="C196" s="305">
        <v>1942</v>
      </c>
      <c r="D196" s="380"/>
      <c r="E196" s="366"/>
      <c r="F196" s="364"/>
      <c r="G196" s="303"/>
      <c r="H196" s="303"/>
      <c r="I196" s="364">
        <f t="shared" si="13"/>
        <v>807</v>
      </c>
      <c r="J196" s="307"/>
      <c r="K196" s="307"/>
      <c r="L196" s="303">
        <v>43</v>
      </c>
      <c r="M196" s="364"/>
      <c r="N196" s="386">
        <v>518</v>
      </c>
      <c r="O196" s="192">
        <v>0</v>
      </c>
      <c r="P196" s="660">
        <v>0</v>
      </c>
      <c r="Q196" s="305">
        <v>0</v>
      </c>
      <c r="R196" s="310">
        <v>0</v>
      </c>
      <c r="S196" s="310">
        <v>0</v>
      </c>
    </row>
    <row r="197" spans="1:19" ht="12.75">
      <c r="A197" s="28">
        <v>808</v>
      </c>
      <c r="B197" s="29" t="s">
        <v>183</v>
      </c>
      <c r="C197" s="28">
        <v>1942</v>
      </c>
      <c r="D197" s="379">
        <v>43</v>
      </c>
      <c r="E197" s="144">
        <v>43</v>
      </c>
      <c r="F197" s="193">
        <f>IF(C197&lt;972,E197+44,E197)</f>
        <v>43</v>
      </c>
      <c r="G197" s="193">
        <v>43</v>
      </c>
      <c r="H197" s="193">
        <v>43</v>
      </c>
      <c r="I197" s="359">
        <f t="shared" si="13"/>
        <v>808</v>
      </c>
      <c r="J197" s="303">
        <v>0</v>
      </c>
      <c r="K197" s="345">
        <v>116</v>
      </c>
      <c r="L197" s="303">
        <v>43</v>
      </c>
      <c r="M197" s="345">
        <v>233</v>
      </c>
      <c r="N197" s="386">
        <f>M197*1.33333</f>
        <v>310.66589</v>
      </c>
      <c r="O197" s="192">
        <f t="shared" si="15"/>
        <v>2218</v>
      </c>
      <c r="P197" s="30">
        <v>0</v>
      </c>
      <c r="Q197" s="28">
        <v>0</v>
      </c>
      <c r="R197" s="28">
        <v>669</v>
      </c>
      <c r="S197" s="280"/>
    </row>
    <row r="198" spans="1:19" ht="12.75">
      <c r="A198" s="28">
        <v>809</v>
      </c>
      <c r="B198" s="29" t="s">
        <v>184</v>
      </c>
      <c r="C198" s="28">
        <v>1782</v>
      </c>
      <c r="D198" s="379">
        <v>64</v>
      </c>
      <c r="E198" s="144">
        <v>64</v>
      </c>
      <c r="F198" s="193">
        <f>IF(C198&lt;972,E198+44,E198)</f>
        <v>64</v>
      </c>
      <c r="G198" s="193">
        <v>64</v>
      </c>
      <c r="H198" s="193">
        <v>64</v>
      </c>
      <c r="I198" s="359">
        <f t="shared" si="13"/>
        <v>809</v>
      </c>
      <c r="J198" s="303">
        <v>0</v>
      </c>
      <c r="K198" s="345">
        <v>116</v>
      </c>
      <c r="L198" s="303">
        <v>64</v>
      </c>
      <c r="M198" s="345">
        <v>233</v>
      </c>
      <c r="N198" s="386">
        <f>M198*1.33333</f>
        <v>310.66589</v>
      </c>
      <c r="O198" s="192">
        <f t="shared" si="15"/>
        <v>2079</v>
      </c>
      <c r="P198" s="30">
        <v>0</v>
      </c>
      <c r="Q198" s="28">
        <v>0</v>
      </c>
      <c r="R198" s="28">
        <v>669</v>
      </c>
      <c r="S198" s="280"/>
    </row>
    <row r="199" spans="1:19" ht="12.75">
      <c r="A199" s="28">
        <v>810</v>
      </c>
      <c r="B199" s="29" t="s">
        <v>185</v>
      </c>
      <c r="C199" s="28">
        <v>1692</v>
      </c>
      <c r="D199" s="379">
        <v>76</v>
      </c>
      <c r="E199" s="144">
        <v>76</v>
      </c>
      <c r="F199" s="193">
        <f>IF(C199&lt;972,E199+44,E199)</f>
        <v>76</v>
      </c>
      <c r="G199" s="193">
        <v>76</v>
      </c>
      <c r="H199" s="193">
        <v>76</v>
      </c>
      <c r="I199" s="359">
        <f aca="true" t="shared" si="16" ref="I199:I262">A199</f>
        <v>810</v>
      </c>
      <c r="J199" s="303">
        <v>0</v>
      </c>
      <c r="K199" s="345">
        <v>116</v>
      </c>
      <c r="L199" s="303">
        <v>76</v>
      </c>
      <c r="M199" s="345">
        <v>233</v>
      </c>
      <c r="N199" s="386">
        <f>M199*1.33333</f>
        <v>310.66589</v>
      </c>
      <c r="O199" s="192">
        <f t="shared" si="15"/>
        <v>2001</v>
      </c>
      <c r="P199" s="30">
        <v>0</v>
      </c>
      <c r="Q199" s="28">
        <v>0</v>
      </c>
      <c r="R199" s="28">
        <v>663</v>
      </c>
      <c r="S199" s="280"/>
    </row>
    <row r="200" spans="1:19" ht="12.75">
      <c r="A200" s="28">
        <v>811</v>
      </c>
      <c r="B200" s="29" t="s">
        <v>186</v>
      </c>
      <c r="C200" s="28">
        <v>1592</v>
      </c>
      <c r="D200" s="379">
        <v>89</v>
      </c>
      <c r="E200" s="144">
        <v>89</v>
      </c>
      <c r="F200" s="193">
        <f>IF(C200&lt;972,E200+44,E200)</f>
        <v>89</v>
      </c>
      <c r="G200" s="193">
        <v>89</v>
      </c>
      <c r="H200" s="193">
        <v>89</v>
      </c>
      <c r="I200" s="359">
        <f t="shared" si="16"/>
        <v>811</v>
      </c>
      <c r="J200" s="303">
        <v>0</v>
      </c>
      <c r="K200" s="345">
        <v>116</v>
      </c>
      <c r="L200" s="303">
        <v>89</v>
      </c>
      <c r="M200" s="345">
        <v>233</v>
      </c>
      <c r="N200" s="386">
        <f>M200*1.33333</f>
        <v>310.66589</v>
      </c>
      <c r="O200" s="192">
        <f t="shared" si="15"/>
        <v>1914</v>
      </c>
      <c r="P200" s="30">
        <v>0</v>
      </c>
      <c r="Q200" s="28">
        <v>0</v>
      </c>
      <c r="R200" s="28">
        <v>657</v>
      </c>
      <c r="S200" s="280"/>
    </row>
    <row r="201" spans="1:19" ht="12.75">
      <c r="A201" s="28">
        <v>812</v>
      </c>
      <c r="B201" s="29" t="s">
        <v>187</v>
      </c>
      <c r="C201" s="28">
        <v>1600</v>
      </c>
      <c r="D201" s="379">
        <v>88</v>
      </c>
      <c r="E201" s="144">
        <v>88</v>
      </c>
      <c r="F201" s="193">
        <f>IF(C201&lt;972,E201+44,E201)</f>
        <v>88</v>
      </c>
      <c r="G201" s="193">
        <v>88</v>
      </c>
      <c r="H201" s="193">
        <v>88</v>
      </c>
      <c r="I201" s="359">
        <f t="shared" si="16"/>
        <v>812</v>
      </c>
      <c r="J201" s="303">
        <v>0</v>
      </c>
      <c r="K201" s="345">
        <v>116</v>
      </c>
      <c r="L201" s="303">
        <v>88</v>
      </c>
      <c r="M201" s="345">
        <v>233</v>
      </c>
      <c r="N201" s="386">
        <f>M201*1.33333</f>
        <v>310.66589</v>
      </c>
      <c r="O201" s="192">
        <f t="shared" si="15"/>
        <v>1921</v>
      </c>
      <c r="P201" s="30">
        <v>0</v>
      </c>
      <c r="Q201" s="28">
        <v>0</v>
      </c>
      <c r="R201" s="28">
        <v>657</v>
      </c>
      <c r="S201" s="280"/>
    </row>
    <row r="202" spans="1:19" ht="12.75">
      <c r="A202" s="28">
        <v>813</v>
      </c>
      <c r="B202" s="29" t="s">
        <v>188</v>
      </c>
      <c r="C202" s="28">
        <v>971</v>
      </c>
      <c r="D202" s="379">
        <v>170</v>
      </c>
      <c r="E202" s="144">
        <v>170</v>
      </c>
      <c r="F202" s="193">
        <v>170</v>
      </c>
      <c r="G202" s="303">
        <v>214</v>
      </c>
      <c r="H202" s="303">
        <v>214</v>
      </c>
      <c r="I202" s="359">
        <f t="shared" si="16"/>
        <v>813</v>
      </c>
      <c r="J202" s="303">
        <v>0</v>
      </c>
      <c r="K202" s="303">
        <v>0</v>
      </c>
      <c r="L202" s="303">
        <v>214</v>
      </c>
      <c r="M202" s="303">
        <v>0</v>
      </c>
      <c r="N202" s="386">
        <f>M202*1.1</f>
        <v>0</v>
      </c>
      <c r="O202" s="192">
        <f t="shared" si="15"/>
        <v>1185</v>
      </c>
      <c r="P202" s="30">
        <v>0</v>
      </c>
      <c r="Q202" s="28">
        <v>0</v>
      </c>
      <c r="R202" s="28">
        <v>620</v>
      </c>
      <c r="S202" s="280"/>
    </row>
    <row r="203" spans="1:19" ht="12.75">
      <c r="A203" s="28">
        <v>814</v>
      </c>
      <c r="B203" s="29" t="s">
        <v>189</v>
      </c>
      <c r="C203" s="28">
        <v>971</v>
      </c>
      <c r="D203" s="379">
        <v>170</v>
      </c>
      <c r="E203" s="144">
        <v>170</v>
      </c>
      <c r="F203" s="193">
        <v>170</v>
      </c>
      <c r="G203" s="303">
        <v>214</v>
      </c>
      <c r="H203" s="303">
        <v>214</v>
      </c>
      <c r="I203" s="359">
        <f t="shared" si="16"/>
        <v>814</v>
      </c>
      <c r="J203" s="303">
        <v>0</v>
      </c>
      <c r="K203" s="303">
        <v>0</v>
      </c>
      <c r="L203" s="303">
        <v>214</v>
      </c>
      <c r="M203" s="303">
        <v>0</v>
      </c>
      <c r="N203" s="386">
        <f>M203*1.1</f>
        <v>0</v>
      </c>
      <c r="O203" s="192">
        <f t="shared" si="15"/>
        <v>1185</v>
      </c>
      <c r="P203" s="30">
        <v>0</v>
      </c>
      <c r="Q203" s="28">
        <v>0</v>
      </c>
      <c r="R203" s="28">
        <v>155</v>
      </c>
      <c r="S203" s="280"/>
    </row>
    <row r="204" spans="1:19" ht="12.75">
      <c r="A204" s="28">
        <v>815</v>
      </c>
      <c r="B204" s="29" t="s">
        <v>190</v>
      </c>
      <c r="C204" s="28">
        <v>971</v>
      </c>
      <c r="D204" s="379">
        <v>170</v>
      </c>
      <c r="E204" s="144">
        <v>170</v>
      </c>
      <c r="F204" s="193">
        <v>170</v>
      </c>
      <c r="G204" s="303">
        <v>214</v>
      </c>
      <c r="H204" s="303">
        <v>214</v>
      </c>
      <c r="I204" s="359">
        <f t="shared" si="16"/>
        <v>815</v>
      </c>
      <c r="J204" s="303">
        <v>0</v>
      </c>
      <c r="K204" s="303">
        <v>0</v>
      </c>
      <c r="L204" s="303">
        <v>214</v>
      </c>
      <c r="M204" s="303">
        <v>0</v>
      </c>
      <c r="N204" s="386">
        <f>M204*1.1</f>
        <v>0</v>
      </c>
      <c r="O204" s="192">
        <f t="shared" si="15"/>
        <v>1185</v>
      </c>
      <c r="P204" s="30">
        <v>17</v>
      </c>
      <c r="Q204" s="28">
        <v>0</v>
      </c>
      <c r="R204" s="28">
        <v>0</v>
      </c>
      <c r="S204" s="280"/>
    </row>
    <row r="205" spans="1:19" ht="12.75">
      <c r="A205" s="28">
        <v>816</v>
      </c>
      <c r="B205" s="29" t="s">
        <v>191</v>
      </c>
      <c r="C205" s="28">
        <v>1600</v>
      </c>
      <c r="D205" s="379">
        <v>88</v>
      </c>
      <c r="E205" s="144">
        <v>88</v>
      </c>
      <c r="F205" s="193">
        <f>IF(C205&lt;972,E205+44,E205)</f>
        <v>88</v>
      </c>
      <c r="G205" s="193">
        <v>88</v>
      </c>
      <c r="H205" s="193">
        <v>88</v>
      </c>
      <c r="I205" s="359">
        <f t="shared" si="16"/>
        <v>816</v>
      </c>
      <c r="J205" s="303">
        <v>0</v>
      </c>
      <c r="K205" s="345">
        <v>116</v>
      </c>
      <c r="L205" s="303">
        <v>88</v>
      </c>
      <c r="M205" s="345">
        <v>233</v>
      </c>
      <c r="N205" s="386">
        <f>M205*1.33333</f>
        <v>310.66589</v>
      </c>
      <c r="O205" s="192">
        <f t="shared" si="15"/>
        <v>1921</v>
      </c>
      <c r="P205" s="30">
        <v>17</v>
      </c>
      <c r="Q205" s="28">
        <v>0</v>
      </c>
      <c r="R205" s="28">
        <v>0</v>
      </c>
      <c r="S205" s="280"/>
    </row>
    <row r="206" spans="1:19" ht="12.75">
      <c r="A206" s="28">
        <v>817</v>
      </c>
      <c r="B206" s="29" t="s">
        <v>192</v>
      </c>
      <c r="C206" s="28">
        <v>1782</v>
      </c>
      <c r="D206" s="379">
        <v>64</v>
      </c>
      <c r="E206" s="144">
        <v>64</v>
      </c>
      <c r="F206" s="193">
        <f>IF(C206&lt;972,E206+44,E206)</f>
        <v>64</v>
      </c>
      <c r="G206" s="193">
        <v>64</v>
      </c>
      <c r="H206" s="193">
        <v>64</v>
      </c>
      <c r="I206" s="359">
        <f t="shared" si="16"/>
        <v>817</v>
      </c>
      <c r="J206" s="303">
        <v>0</v>
      </c>
      <c r="K206" s="303">
        <v>175</v>
      </c>
      <c r="L206" s="303">
        <v>64</v>
      </c>
      <c r="M206" s="303">
        <v>349</v>
      </c>
      <c r="N206" s="386">
        <f>M206*1.33333</f>
        <v>465.33216999999996</v>
      </c>
      <c r="O206" s="192">
        <f t="shared" si="15"/>
        <v>2195</v>
      </c>
      <c r="P206" s="30">
        <v>0</v>
      </c>
      <c r="Q206" s="28">
        <v>0</v>
      </c>
      <c r="R206" s="28">
        <v>839</v>
      </c>
      <c r="S206" s="280"/>
    </row>
    <row r="207" spans="1:19" ht="12.75">
      <c r="A207" s="28">
        <v>818</v>
      </c>
      <c r="B207" s="29" t="s">
        <v>193</v>
      </c>
      <c r="C207" s="28">
        <v>971</v>
      </c>
      <c r="D207" s="379">
        <v>170</v>
      </c>
      <c r="E207" s="144">
        <v>170</v>
      </c>
      <c r="F207" s="193">
        <v>170</v>
      </c>
      <c r="G207" s="303">
        <v>214</v>
      </c>
      <c r="H207" s="303">
        <v>214</v>
      </c>
      <c r="I207" s="359">
        <f t="shared" si="16"/>
        <v>818</v>
      </c>
      <c r="J207" s="303">
        <v>0</v>
      </c>
      <c r="K207" s="303">
        <v>0</v>
      </c>
      <c r="L207" s="303">
        <v>214</v>
      </c>
      <c r="M207" s="303">
        <v>0</v>
      </c>
      <c r="N207" s="386">
        <f>M207*1.1</f>
        <v>0</v>
      </c>
      <c r="O207" s="192">
        <f t="shared" si="15"/>
        <v>1185</v>
      </c>
      <c r="P207" s="30">
        <v>0</v>
      </c>
      <c r="Q207" s="28">
        <v>0</v>
      </c>
      <c r="R207" s="28">
        <v>659</v>
      </c>
      <c r="S207" s="280"/>
    </row>
    <row r="208" spans="1:19" ht="12.75">
      <c r="A208" s="28">
        <v>819</v>
      </c>
      <c r="B208" s="29" t="s">
        <v>194</v>
      </c>
      <c r="C208" s="28">
        <v>971</v>
      </c>
      <c r="D208" s="379">
        <v>170</v>
      </c>
      <c r="E208" s="144">
        <v>170</v>
      </c>
      <c r="F208" s="193">
        <v>170</v>
      </c>
      <c r="G208" s="303">
        <v>214</v>
      </c>
      <c r="H208" s="303">
        <v>214</v>
      </c>
      <c r="I208" s="359">
        <f t="shared" si="16"/>
        <v>819</v>
      </c>
      <c r="J208" s="303">
        <v>0</v>
      </c>
      <c r="K208" s="303">
        <v>0</v>
      </c>
      <c r="L208" s="303">
        <v>214</v>
      </c>
      <c r="M208" s="303">
        <v>0</v>
      </c>
      <c r="N208" s="386">
        <f>M208*1.1</f>
        <v>0</v>
      </c>
      <c r="O208" s="192">
        <f t="shared" si="15"/>
        <v>1185</v>
      </c>
      <c r="P208" s="30">
        <v>0</v>
      </c>
      <c r="Q208" s="28">
        <v>0</v>
      </c>
      <c r="R208" s="28">
        <v>155</v>
      </c>
      <c r="S208" s="280"/>
    </row>
    <row r="209" spans="1:19" ht="12.75">
      <c r="A209" s="28">
        <v>820</v>
      </c>
      <c r="B209" s="29" t="s">
        <v>195</v>
      </c>
      <c r="C209" s="28">
        <v>1692</v>
      </c>
      <c r="D209" s="379">
        <v>76</v>
      </c>
      <c r="E209" s="144">
        <v>76</v>
      </c>
      <c r="F209" s="193">
        <f>IF(C209&lt;972,E209+44,E209)</f>
        <v>76</v>
      </c>
      <c r="G209" s="193">
        <v>76</v>
      </c>
      <c r="H209" s="193">
        <v>76</v>
      </c>
      <c r="I209" s="359">
        <f t="shared" si="16"/>
        <v>820</v>
      </c>
      <c r="J209" s="303">
        <v>0</v>
      </c>
      <c r="K209" s="345">
        <v>136</v>
      </c>
      <c r="L209" s="303">
        <v>76</v>
      </c>
      <c r="M209" s="345">
        <v>272</v>
      </c>
      <c r="N209" s="386">
        <f>M209*1.33333</f>
        <v>362.66576</v>
      </c>
      <c r="O209" s="192">
        <f t="shared" si="15"/>
        <v>2040</v>
      </c>
      <c r="P209" s="30">
        <v>0</v>
      </c>
      <c r="Q209" s="28">
        <v>0</v>
      </c>
      <c r="R209" s="28">
        <v>839</v>
      </c>
      <c r="S209" s="280"/>
    </row>
    <row r="210" spans="1:19" ht="12.75">
      <c r="A210" s="28">
        <v>821</v>
      </c>
      <c r="B210" s="29" t="s">
        <v>196</v>
      </c>
      <c r="C210" s="28">
        <v>1592</v>
      </c>
      <c r="D210" s="379">
        <v>89</v>
      </c>
      <c r="E210" s="144">
        <v>89</v>
      </c>
      <c r="F210" s="193">
        <f>IF(C210&lt;972,E210+44,E210)</f>
        <v>89</v>
      </c>
      <c r="G210" s="193">
        <v>89</v>
      </c>
      <c r="H210" s="193">
        <v>89</v>
      </c>
      <c r="I210" s="359">
        <f t="shared" si="16"/>
        <v>821</v>
      </c>
      <c r="J210" s="303">
        <v>0</v>
      </c>
      <c r="K210" s="345">
        <v>116</v>
      </c>
      <c r="L210" s="303">
        <v>89</v>
      </c>
      <c r="M210" s="345">
        <v>233</v>
      </c>
      <c r="N210" s="386">
        <f>M210*1.33333</f>
        <v>310.66589</v>
      </c>
      <c r="O210" s="192">
        <f t="shared" si="15"/>
        <v>1914</v>
      </c>
      <c r="P210" s="30">
        <v>0</v>
      </c>
      <c r="Q210" s="28">
        <v>0</v>
      </c>
      <c r="R210" s="28">
        <v>839</v>
      </c>
      <c r="S210" s="280"/>
    </row>
    <row r="211" spans="1:19" ht="12.75">
      <c r="A211" s="28">
        <v>822</v>
      </c>
      <c r="B211" s="29" t="s">
        <v>197</v>
      </c>
      <c r="C211" s="28">
        <v>971</v>
      </c>
      <c r="D211" s="379">
        <v>170</v>
      </c>
      <c r="E211" s="365">
        <v>216</v>
      </c>
      <c r="F211" s="193">
        <v>261</v>
      </c>
      <c r="G211" s="303">
        <v>327</v>
      </c>
      <c r="H211" s="303">
        <v>350</v>
      </c>
      <c r="I211" s="359">
        <f t="shared" si="16"/>
        <v>822</v>
      </c>
      <c r="J211" s="303">
        <v>0</v>
      </c>
      <c r="K211" s="303">
        <v>0</v>
      </c>
      <c r="L211" s="303">
        <v>414.7</v>
      </c>
      <c r="M211" s="303">
        <v>0</v>
      </c>
      <c r="N211" s="386">
        <f>M211*1.1</f>
        <v>0</v>
      </c>
      <c r="O211" s="192">
        <f t="shared" si="15"/>
        <v>1298</v>
      </c>
      <c r="P211" s="30">
        <v>0</v>
      </c>
      <c r="Q211" s="28">
        <v>0</v>
      </c>
      <c r="R211" s="28">
        <v>155</v>
      </c>
      <c r="S211" s="280"/>
    </row>
    <row r="212" spans="1:19" ht="12.75">
      <c r="A212" s="28">
        <v>823</v>
      </c>
      <c r="B212" s="29" t="s">
        <v>198</v>
      </c>
      <c r="C212" s="28">
        <v>1700</v>
      </c>
      <c r="D212" s="379">
        <v>75</v>
      </c>
      <c r="E212" s="144">
        <v>75</v>
      </c>
      <c r="F212" s="193">
        <f>IF(C212&lt;972,E212+44,E212)</f>
        <v>75</v>
      </c>
      <c r="G212" s="193">
        <v>75</v>
      </c>
      <c r="H212" s="193">
        <v>75</v>
      </c>
      <c r="I212" s="359">
        <f t="shared" si="16"/>
        <v>823</v>
      </c>
      <c r="J212" s="303">
        <v>0</v>
      </c>
      <c r="K212" s="345">
        <v>116</v>
      </c>
      <c r="L212" s="303">
        <v>75</v>
      </c>
      <c r="M212" s="345">
        <v>233</v>
      </c>
      <c r="N212" s="386">
        <f>M212*1.33333</f>
        <v>310.66589</v>
      </c>
      <c r="O212" s="192">
        <f t="shared" si="15"/>
        <v>2008</v>
      </c>
      <c r="P212" s="30">
        <v>0</v>
      </c>
      <c r="Q212" s="28">
        <v>0</v>
      </c>
      <c r="R212" s="28">
        <v>657</v>
      </c>
      <c r="S212" s="280"/>
    </row>
    <row r="213" spans="1:19" ht="12.75">
      <c r="A213" s="28">
        <v>824</v>
      </c>
      <c r="B213" s="29" t="s">
        <v>199</v>
      </c>
      <c r="C213" s="28">
        <v>1400</v>
      </c>
      <c r="D213" s="379">
        <v>114</v>
      </c>
      <c r="E213" s="144">
        <v>114</v>
      </c>
      <c r="F213" s="193">
        <f>IF(C213&lt;972,E213+44,E213)</f>
        <v>114</v>
      </c>
      <c r="G213" s="193">
        <v>114</v>
      </c>
      <c r="H213" s="193">
        <v>114</v>
      </c>
      <c r="I213" s="359">
        <f t="shared" si="16"/>
        <v>824</v>
      </c>
      <c r="J213" s="303">
        <v>0</v>
      </c>
      <c r="K213" s="345">
        <v>116</v>
      </c>
      <c r="L213" s="303">
        <v>114</v>
      </c>
      <c r="M213" s="345">
        <v>233</v>
      </c>
      <c r="N213" s="386">
        <f>M213*1.33333</f>
        <v>310.66589</v>
      </c>
      <c r="O213" s="192">
        <f t="shared" si="15"/>
        <v>1747</v>
      </c>
      <c r="P213" s="30">
        <v>0</v>
      </c>
      <c r="Q213" s="28">
        <v>0</v>
      </c>
      <c r="R213" s="28">
        <v>657</v>
      </c>
      <c r="S213" s="280"/>
    </row>
    <row r="214" spans="1:19" ht="12.75">
      <c r="A214" s="28">
        <v>825</v>
      </c>
      <c r="B214" s="29" t="s">
        <v>200</v>
      </c>
      <c r="C214" s="28">
        <v>1300</v>
      </c>
      <c r="D214" s="379">
        <v>127</v>
      </c>
      <c r="E214" s="144">
        <v>127</v>
      </c>
      <c r="F214" s="193">
        <f>IF(C214&lt;972,E214+44,E214)</f>
        <v>127</v>
      </c>
      <c r="G214" s="193">
        <v>127</v>
      </c>
      <c r="H214" s="193">
        <v>127</v>
      </c>
      <c r="I214" s="359">
        <f t="shared" si="16"/>
        <v>825</v>
      </c>
      <c r="J214" s="303">
        <v>0</v>
      </c>
      <c r="K214" s="345">
        <v>116</v>
      </c>
      <c r="L214" s="303">
        <v>127</v>
      </c>
      <c r="M214" s="345">
        <v>233</v>
      </c>
      <c r="N214" s="386">
        <f>M214*1.33333</f>
        <v>310.66589</v>
      </c>
      <c r="O214" s="192">
        <f t="shared" si="15"/>
        <v>1660</v>
      </c>
      <c r="P214" s="30">
        <v>0</v>
      </c>
      <c r="Q214" s="28">
        <v>0</v>
      </c>
      <c r="R214" s="28">
        <v>657</v>
      </c>
      <c r="S214" s="280"/>
    </row>
    <row r="215" spans="1:19" ht="12.75">
      <c r="A215" s="28">
        <v>826</v>
      </c>
      <c r="B215" s="29" t="s">
        <v>201</v>
      </c>
      <c r="C215" s="28">
        <v>1250</v>
      </c>
      <c r="D215" s="379">
        <v>134</v>
      </c>
      <c r="E215" s="144">
        <v>134</v>
      </c>
      <c r="F215" s="193">
        <f>IF(C215&lt;972,E215+44,E215)</f>
        <v>134</v>
      </c>
      <c r="G215" s="193">
        <v>134</v>
      </c>
      <c r="H215" s="193">
        <v>134</v>
      </c>
      <c r="I215" s="359">
        <f t="shared" si="16"/>
        <v>826</v>
      </c>
      <c r="J215" s="303">
        <v>0</v>
      </c>
      <c r="K215" s="345">
        <v>116</v>
      </c>
      <c r="L215" s="303">
        <v>134</v>
      </c>
      <c r="M215" s="345">
        <v>233</v>
      </c>
      <c r="N215" s="386">
        <f>M215*1.33333</f>
        <v>310.66589</v>
      </c>
      <c r="O215" s="192">
        <f t="shared" si="15"/>
        <v>1617</v>
      </c>
      <c r="P215" s="30">
        <v>0</v>
      </c>
      <c r="Q215" s="28">
        <v>0</v>
      </c>
      <c r="R215" s="28">
        <v>657</v>
      </c>
      <c r="S215" s="280"/>
    </row>
    <row r="216" spans="1:19" ht="12.75">
      <c r="A216" s="28">
        <v>827</v>
      </c>
      <c r="B216" s="346" t="s">
        <v>419</v>
      </c>
      <c r="C216" s="347">
        <v>1942</v>
      </c>
      <c r="D216" s="379">
        <v>43</v>
      </c>
      <c r="E216" s="348">
        <v>43</v>
      </c>
      <c r="F216" s="345">
        <v>43</v>
      </c>
      <c r="G216" s="345">
        <v>43</v>
      </c>
      <c r="H216" s="345">
        <v>43</v>
      </c>
      <c r="I216" s="361">
        <f t="shared" si="16"/>
        <v>827</v>
      </c>
      <c r="J216" s="345">
        <v>0</v>
      </c>
      <c r="K216" s="345">
        <v>194</v>
      </c>
      <c r="L216" s="303">
        <v>43</v>
      </c>
      <c r="M216" s="345">
        <v>388</v>
      </c>
      <c r="N216" s="386">
        <f>M216*1.33333</f>
        <v>517.33204</v>
      </c>
      <c r="O216" s="192">
        <f t="shared" si="15"/>
        <v>2373</v>
      </c>
      <c r="P216" s="30">
        <v>0</v>
      </c>
      <c r="Q216" s="28">
        <v>0</v>
      </c>
      <c r="R216" s="28">
        <v>0</v>
      </c>
      <c r="S216" s="280"/>
    </row>
    <row r="217" spans="1:19" ht="12.75">
      <c r="A217" s="28">
        <v>828</v>
      </c>
      <c r="B217" s="29" t="s">
        <v>202</v>
      </c>
      <c r="C217" s="28">
        <v>2913</v>
      </c>
      <c r="D217" s="379">
        <v>0</v>
      </c>
      <c r="E217" s="144">
        <v>0</v>
      </c>
      <c r="F217" s="193">
        <f>IF(C217&lt;972,E217+44,E217)</f>
        <v>0</v>
      </c>
      <c r="G217" s="193">
        <v>0</v>
      </c>
      <c r="H217" s="193">
        <v>0</v>
      </c>
      <c r="I217" s="359">
        <f t="shared" si="16"/>
        <v>828</v>
      </c>
      <c r="J217" s="303">
        <v>0</v>
      </c>
      <c r="K217" s="303">
        <v>0</v>
      </c>
      <c r="L217" s="303">
        <v>0</v>
      </c>
      <c r="M217" s="303">
        <v>0</v>
      </c>
      <c r="N217" s="386">
        <f>M217*1.1</f>
        <v>0</v>
      </c>
      <c r="O217" s="192">
        <f t="shared" si="15"/>
        <v>2913</v>
      </c>
      <c r="P217" s="30">
        <v>0</v>
      </c>
      <c r="Q217" s="28">
        <v>0</v>
      </c>
      <c r="R217" s="28">
        <v>0</v>
      </c>
      <c r="S217" s="280"/>
    </row>
    <row r="218" spans="1:19" ht="12.75">
      <c r="A218" s="28">
        <v>829</v>
      </c>
      <c r="B218" s="346" t="s">
        <v>447</v>
      </c>
      <c r="C218" s="347">
        <v>1782</v>
      </c>
      <c r="D218" s="379">
        <v>64</v>
      </c>
      <c r="E218" s="348">
        <v>64</v>
      </c>
      <c r="F218" s="193">
        <v>64</v>
      </c>
      <c r="G218" s="193">
        <v>64</v>
      </c>
      <c r="H218" s="193">
        <v>64</v>
      </c>
      <c r="I218" s="359">
        <f t="shared" si="16"/>
        <v>829</v>
      </c>
      <c r="J218" s="303">
        <v>0</v>
      </c>
      <c r="K218" s="345">
        <v>175</v>
      </c>
      <c r="L218" s="303">
        <v>64</v>
      </c>
      <c r="M218" s="345">
        <v>349</v>
      </c>
      <c r="N218" s="386">
        <f>M218*1.33333</f>
        <v>465.33216999999996</v>
      </c>
      <c r="O218" s="192">
        <f t="shared" si="15"/>
        <v>2195</v>
      </c>
      <c r="P218" s="30">
        <v>0</v>
      </c>
      <c r="Q218" s="28">
        <v>0</v>
      </c>
      <c r="R218" s="28">
        <v>0</v>
      </c>
      <c r="S218" s="280"/>
    </row>
    <row r="219" spans="1:19" ht="12.75">
      <c r="A219" s="28">
        <v>830</v>
      </c>
      <c r="B219" s="29" t="s">
        <v>203</v>
      </c>
      <c r="C219" s="28">
        <v>1740</v>
      </c>
      <c r="D219" s="379">
        <v>70</v>
      </c>
      <c r="E219" s="144">
        <v>70</v>
      </c>
      <c r="F219" s="193">
        <f>IF(C219&lt;972,E219+44,E219)</f>
        <v>70</v>
      </c>
      <c r="G219" s="193">
        <v>70</v>
      </c>
      <c r="H219" s="193">
        <v>70</v>
      </c>
      <c r="I219" s="359">
        <f t="shared" si="16"/>
        <v>830</v>
      </c>
      <c r="J219" s="303">
        <v>0</v>
      </c>
      <c r="K219" s="303">
        <v>0</v>
      </c>
      <c r="L219" s="303">
        <v>70</v>
      </c>
      <c r="M219" s="303">
        <v>0</v>
      </c>
      <c r="N219" s="386">
        <f>M219*1.1</f>
        <v>0</v>
      </c>
      <c r="O219" s="192">
        <f t="shared" si="15"/>
        <v>1810</v>
      </c>
      <c r="P219" s="30">
        <v>0</v>
      </c>
      <c r="Q219" s="28">
        <v>0</v>
      </c>
      <c r="R219" s="28">
        <v>0</v>
      </c>
      <c r="S219" s="280"/>
    </row>
    <row r="220" spans="1:19" ht="12.75">
      <c r="A220" s="28">
        <v>831</v>
      </c>
      <c r="B220" s="29" t="s">
        <v>204</v>
      </c>
      <c r="C220" s="28">
        <v>971</v>
      </c>
      <c r="D220" s="379">
        <v>170</v>
      </c>
      <c r="E220" s="365">
        <v>216</v>
      </c>
      <c r="F220" s="193">
        <v>261</v>
      </c>
      <c r="G220" s="303">
        <v>327</v>
      </c>
      <c r="H220" s="303">
        <v>350</v>
      </c>
      <c r="I220" s="359">
        <f t="shared" si="16"/>
        <v>831</v>
      </c>
      <c r="J220" s="303">
        <v>0</v>
      </c>
      <c r="K220" s="303">
        <v>0</v>
      </c>
      <c r="L220" s="303">
        <v>414.7</v>
      </c>
      <c r="M220" s="303">
        <v>0</v>
      </c>
      <c r="N220" s="386">
        <f>M220*1.1</f>
        <v>0</v>
      </c>
      <c r="O220" s="192">
        <f t="shared" si="15"/>
        <v>1298</v>
      </c>
      <c r="P220" s="30">
        <v>0</v>
      </c>
      <c r="Q220" s="28">
        <v>0</v>
      </c>
      <c r="R220" s="28">
        <v>0</v>
      </c>
      <c r="S220" s="280"/>
    </row>
    <row r="221" spans="1:19" ht="12.75">
      <c r="A221" s="347">
        <v>832</v>
      </c>
      <c r="B221" s="346" t="s">
        <v>422</v>
      </c>
      <c r="C221" s="347">
        <v>1700</v>
      </c>
      <c r="D221" s="379">
        <v>0</v>
      </c>
      <c r="E221" s="348">
        <v>0</v>
      </c>
      <c r="F221" s="345">
        <f>IF(C221&lt;972,E221+44,E221)</f>
        <v>0</v>
      </c>
      <c r="G221" s="345">
        <v>75</v>
      </c>
      <c r="H221" s="345">
        <v>75</v>
      </c>
      <c r="I221" s="361">
        <f t="shared" si="16"/>
        <v>832</v>
      </c>
      <c r="J221" s="345">
        <v>0</v>
      </c>
      <c r="K221" s="345">
        <v>116</v>
      </c>
      <c r="L221" s="303">
        <v>75</v>
      </c>
      <c r="M221" s="345">
        <v>233</v>
      </c>
      <c r="N221" s="386">
        <f>M221*1.33333</f>
        <v>310.66589</v>
      </c>
      <c r="O221" s="192">
        <f t="shared" si="15"/>
        <v>2008</v>
      </c>
      <c r="P221" s="30">
        <v>0</v>
      </c>
      <c r="Q221" s="28">
        <v>0</v>
      </c>
      <c r="R221" s="28">
        <v>0</v>
      </c>
      <c r="S221" s="280"/>
    </row>
    <row r="222" spans="1:19" ht="12.75">
      <c r="A222" s="28">
        <v>833</v>
      </c>
      <c r="B222" s="29" t="s">
        <v>205</v>
      </c>
      <c r="C222" s="28">
        <v>971</v>
      </c>
      <c r="D222" s="379">
        <v>170</v>
      </c>
      <c r="E222" s="365">
        <v>216</v>
      </c>
      <c r="F222" s="193">
        <v>261</v>
      </c>
      <c r="G222" s="303">
        <v>327</v>
      </c>
      <c r="H222" s="303">
        <v>214</v>
      </c>
      <c r="I222" s="359">
        <f>A222</f>
        <v>833</v>
      </c>
      <c r="J222" s="303">
        <v>0</v>
      </c>
      <c r="K222" s="303">
        <v>0</v>
      </c>
      <c r="L222" s="303">
        <v>214</v>
      </c>
      <c r="M222" s="303">
        <v>0</v>
      </c>
      <c r="N222" s="386">
        <f aca="true" t="shared" si="17" ref="N222:N228">M222*1.1</f>
        <v>0</v>
      </c>
      <c r="O222" s="192">
        <f t="shared" si="15"/>
        <v>1298</v>
      </c>
      <c r="P222" s="30">
        <v>0</v>
      </c>
      <c r="Q222" s="28">
        <v>0</v>
      </c>
      <c r="R222" s="28">
        <v>155</v>
      </c>
      <c r="S222" s="280"/>
    </row>
    <row r="223" spans="1:19" ht="12.75">
      <c r="A223" s="28">
        <v>834</v>
      </c>
      <c r="B223" s="29" t="s">
        <v>206</v>
      </c>
      <c r="C223" s="28">
        <v>971</v>
      </c>
      <c r="D223" s="379">
        <v>170</v>
      </c>
      <c r="E223" s="365">
        <v>216</v>
      </c>
      <c r="F223" s="193">
        <v>261</v>
      </c>
      <c r="G223" s="303">
        <v>327</v>
      </c>
      <c r="H223" s="303">
        <v>214</v>
      </c>
      <c r="I223" s="359">
        <f>A223</f>
        <v>834</v>
      </c>
      <c r="J223" s="303">
        <v>0</v>
      </c>
      <c r="K223" s="303">
        <v>0</v>
      </c>
      <c r="L223" s="303">
        <v>214</v>
      </c>
      <c r="M223" s="303">
        <v>0</v>
      </c>
      <c r="N223" s="386">
        <f t="shared" si="17"/>
        <v>0</v>
      </c>
      <c r="O223" s="192">
        <f t="shared" si="15"/>
        <v>1298</v>
      </c>
      <c r="P223" s="30">
        <v>0</v>
      </c>
      <c r="Q223" s="28">
        <v>0</v>
      </c>
      <c r="R223" s="28">
        <v>155</v>
      </c>
      <c r="S223" s="280"/>
    </row>
    <row r="224" spans="1:19" ht="12.75">
      <c r="A224" s="28">
        <v>835</v>
      </c>
      <c r="B224" s="29" t="s">
        <v>207</v>
      </c>
      <c r="C224" s="28">
        <v>971</v>
      </c>
      <c r="D224" s="379">
        <v>170</v>
      </c>
      <c r="E224" s="365">
        <v>216</v>
      </c>
      <c r="F224" s="193">
        <v>261</v>
      </c>
      <c r="G224" s="303">
        <v>327</v>
      </c>
      <c r="H224" s="303">
        <v>350</v>
      </c>
      <c r="I224" s="359">
        <f t="shared" si="16"/>
        <v>835</v>
      </c>
      <c r="J224" s="303">
        <v>0</v>
      </c>
      <c r="K224" s="303">
        <v>0</v>
      </c>
      <c r="L224" s="303">
        <v>414.7</v>
      </c>
      <c r="M224" s="303">
        <v>0</v>
      </c>
      <c r="N224" s="386">
        <f t="shared" si="17"/>
        <v>0</v>
      </c>
      <c r="O224" s="192">
        <f t="shared" si="15"/>
        <v>1298</v>
      </c>
      <c r="P224" s="30">
        <v>0</v>
      </c>
      <c r="Q224" s="28">
        <v>0</v>
      </c>
      <c r="R224" s="28">
        <v>0</v>
      </c>
      <c r="S224" s="280"/>
    </row>
    <row r="225" spans="1:19" ht="12.75">
      <c r="A225" s="28">
        <v>836</v>
      </c>
      <c r="B225" s="29" t="s">
        <v>208</v>
      </c>
      <c r="C225" s="28">
        <v>971</v>
      </c>
      <c r="D225" s="379">
        <v>170</v>
      </c>
      <c r="E225" s="365">
        <v>216</v>
      </c>
      <c r="F225" s="193">
        <v>261</v>
      </c>
      <c r="G225" s="303">
        <v>327</v>
      </c>
      <c r="H225" s="303">
        <v>350</v>
      </c>
      <c r="I225" s="359">
        <f t="shared" si="16"/>
        <v>836</v>
      </c>
      <c r="J225" s="303">
        <v>0</v>
      </c>
      <c r="K225" s="303">
        <v>0</v>
      </c>
      <c r="L225" s="303">
        <v>414.7</v>
      </c>
      <c r="M225" s="303">
        <v>0</v>
      </c>
      <c r="N225" s="386">
        <f t="shared" si="17"/>
        <v>0</v>
      </c>
      <c r="O225" s="192">
        <f t="shared" si="15"/>
        <v>1298</v>
      </c>
      <c r="P225" s="30">
        <v>0</v>
      </c>
      <c r="Q225" s="28">
        <v>0</v>
      </c>
      <c r="R225" s="28">
        <v>155</v>
      </c>
      <c r="S225" s="280"/>
    </row>
    <row r="226" spans="1:19" ht="12.75">
      <c r="A226" s="28">
        <v>837</v>
      </c>
      <c r="B226" s="29" t="s">
        <v>209</v>
      </c>
      <c r="C226" s="28">
        <v>971</v>
      </c>
      <c r="D226" s="379">
        <v>170</v>
      </c>
      <c r="E226" s="365">
        <v>216</v>
      </c>
      <c r="F226" s="193">
        <v>261</v>
      </c>
      <c r="G226" s="303">
        <v>327</v>
      </c>
      <c r="H226" s="303">
        <v>350</v>
      </c>
      <c r="I226" s="359">
        <f t="shared" si="16"/>
        <v>837</v>
      </c>
      <c r="J226" s="303">
        <v>0</v>
      </c>
      <c r="K226" s="303">
        <v>0</v>
      </c>
      <c r="L226" s="303">
        <v>414.7</v>
      </c>
      <c r="M226" s="303">
        <v>0</v>
      </c>
      <c r="N226" s="386">
        <f t="shared" si="17"/>
        <v>0</v>
      </c>
      <c r="O226" s="192">
        <f t="shared" si="15"/>
        <v>1298</v>
      </c>
      <c r="P226" s="30">
        <v>0</v>
      </c>
      <c r="Q226" s="28">
        <v>0</v>
      </c>
      <c r="R226" s="28">
        <v>155</v>
      </c>
      <c r="S226" s="280"/>
    </row>
    <row r="227" spans="1:19" ht="12.75">
      <c r="A227" s="28">
        <v>839</v>
      </c>
      <c r="B227" s="29" t="s">
        <v>210</v>
      </c>
      <c r="C227" s="28">
        <v>971</v>
      </c>
      <c r="D227" s="379">
        <v>170</v>
      </c>
      <c r="E227" s="365">
        <v>216</v>
      </c>
      <c r="F227" s="193">
        <v>261</v>
      </c>
      <c r="G227" s="303">
        <v>327</v>
      </c>
      <c r="H227" s="303">
        <v>350</v>
      </c>
      <c r="I227" s="359">
        <f t="shared" si="16"/>
        <v>839</v>
      </c>
      <c r="J227" s="303">
        <v>0</v>
      </c>
      <c r="K227" s="303">
        <v>0</v>
      </c>
      <c r="L227" s="303">
        <v>414.7</v>
      </c>
      <c r="M227" s="303">
        <v>0</v>
      </c>
      <c r="N227" s="386">
        <f t="shared" si="17"/>
        <v>0</v>
      </c>
      <c r="O227" s="192">
        <f t="shared" si="15"/>
        <v>1298</v>
      </c>
      <c r="P227" s="30">
        <v>0</v>
      </c>
      <c r="Q227" s="28">
        <v>0</v>
      </c>
      <c r="R227" s="28">
        <v>155</v>
      </c>
      <c r="S227" s="280"/>
    </row>
    <row r="228" spans="1:19" ht="12.75">
      <c r="A228" s="28">
        <v>840</v>
      </c>
      <c r="B228" s="29" t="s">
        <v>211</v>
      </c>
      <c r="C228" s="28">
        <v>971</v>
      </c>
      <c r="D228" s="379">
        <v>170</v>
      </c>
      <c r="E228" s="365">
        <v>216</v>
      </c>
      <c r="F228" s="193">
        <v>261</v>
      </c>
      <c r="G228" s="303">
        <v>327</v>
      </c>
      <c r="H228" s="303">
        <v>350</v>
      </c>
      <c r="I228" s="359">
        <f t="shared" si="16"/>
        <v>840</v>
      </c>
      <c r="J228" s="303">
        <v>0</v>
      </c>
      <c r="K228" s="303">
        <v>0</v>
      </c>
      <c r="L228" s="303">
        <v>414.7</v>
      </c>
      <c r="M228" s="303">
        <v>0</v>
      </c>
      <c r="N228" s="386">
        <f t="shared" si="17"/>
        <v>0</v>
      </c>
      <c r="O228" s="192">
        <f t="shared" si="15"/>
        <v>1298</v>
      </c>
      <c r="P228" s="30">
        <v>0</v>
      </c>
      <c r="Q228" s="28">
        <v>0</v>
      </c>
      <c r="R228" s="28">
        <v>155</v>
      </c>
      <c r="S228" s="280"/>
    </row>
    <row r="229" spans="1:19" s="344" customFormat="1" ht="12.75">
      <c r="A229" s="347">
        <v>841</v>
      </c>
      <c r="B229" s="346" t="s">
        <v>425</v>
      </c>
      <c r="C229" s="347">
        <v>1300</v>
      </c>
      <c r="D229" s="379">
        <v>127</v>
      </c>
      <c r="E229" s="348">
        <v>127</v>
      </c>
      <c r="F229" s="345">
        <v>127</v>
      </c>
      <c r="G229" s="345">
        <v>127</v>
      </c>
      <c r="H229" s="345">
        <v>127</v>
      </c>
      <c r="I229" s="361">
        <f t="shared" si="16"/>
        <v>841</v>
      </c>
      <c r="J229" s="345"/>
      <c r="K229" s="345">
        <v>116</v>
      </c>
      <c r="L229" s="303">
        <v>127</v>
      </c>
      <c r="M229" s="345">
        <v>388</v>
      </c>
      <c r="N229" s="386">
        <f>M229</f>
        <v>388</v>
      </c>
      <c r="O229" s="192">
        <f t="shared" si="15"/>
        <v>1815</v>
      </c>
      <c r="P229" s="352">
        <v>0</v>
      </c>
      <c r="Q229" s="347">
        <v>0</v>
      </c>
      <c r="R229" s="347">
        <v>0</v>
      </c>
      <c r="S229" s="353"/>
    </row>
    <row r="230" spans="1:19" ht="12.75">
      <c r="A230" s="28">
        <v>842</v>
      </c>
      <c r="B230" s="29" t="s">
        <v>212</v>
      </c>
      <c r="C230" s="28">
        <v>1500</v>
      </c>
      <c r="D230" s="379">
        <v>101</v>
      </c>
      <c r="E230" s="144">
        <v>101</v>
      </c>
      <c r="F230" s="193">
        <f>IF(C230&lt;972,E230+44,E230)</f>
        <v>101</v>
      </c>
      <c r="G230" s="193">
        <v>101</v>
      </c>
      <c r="H230" s="193">
        <v>101</v>
      </c>
      <c r="I230" s="359">
        <f t="shared" si="16"/>
        <v>842</v>
      </c>
      <c r="J230" s="303">
        <v>0</v>
      </c>
      <c r="K230" s="345">
        <v>194</v>
      </c>
      <c r="L230" s="303">
        <v>101</v>
      </c>
      <c r="M230" s="345">
        <v>388</v>
      </c>
      <c r="N230" s="386">
        <f>M230</f>
        <v>388</v>
      </c>
      <c r="O230" s="192">
        <f t="shared" si="15"/>
        <v>1989</v>
      </c>
      <c r="P230" s="30">
        <v>0</v>
      </c>
      <c r="Q230" s="28">
        <v>0</v>
      </c>
      <c r="R230" s="28">
        <v>0</v>
      </c>
      <c r="S230" s="280"/>
    </row>
    <row r="231" spans="1:19" ht="12.75">
      <c r="A231" s="28">
        <v>843</v>
      </c>
      <c r="B231" s="29" t="s">
        <v>213</v>
      </c>
      <c r="C231" s="28">
        <v>1250</v>
      </c>
      <c r="D231" s="379">
        <v>134</v>
      </c>
      <c r="E231" s="144">
        <v>134</v>
      </c>
      <c r="F231" s="193">
        <f>IF(C231&lt;972,E231+44,E231)</f>
        <v>134</v>
      </c>
      <c r="G231" s="193">
        <v>134</v>
      </c>
      <c r="H231" s="193">
        <v>134</v>
      </c>
      <c r="I231" s="359">
        <f t="shared" si="16"/>
        <v>843</v>
      </c>
      <c r="J231" s="303">
        <v>0</v>
      </c>
      <c r="K231" s="345">
        <v>116</v>
      </c>
      <c r="L231" s="303">
        <v>134</v>
      </c>
      <c r="M231" s="345">
        <v>233</v>
      </c>
      <c r="N231" s="386">
        <f>M231*1.33333</f>
        <v>310.66589</v>
      </c>
      <c r="O231" s="192">
        <f t="shared" si="15"/>
        <v>1617</v>
      </c>
      <c r="P231" s="30">
        <v>0</v>
      </c>
      <c r="Q231" s="28">
        <v>0</v>
      </c>
      <c r="R231" s="28">
        <v>0</v>
      </c>
      <c r="S231" s="280"/>
    </row>
    <row r="232" spans="1:19" ht="12.75">
      <c r="A232" s="28">
        <v>844</v>
      </c>
      <c r="B232" s="29" t="s">
        <v>214</v>
      </c>
      <c r="C232" s="28">
        <v>1660</v>
      </c>
      <c r="D232" s="379">
        <v>80</v>
      </c>
      <c r="E232" s="144">
        <v>80</v>
      </c>
      <c r="F232" s="193">
        <f>IF(C232&lt;972,E232+44,E232)</f>
        <v>80</v>
      </c>
      <c r="G232" s="193">
        <v>80</v>
      </c>
      <c r="H232" s="193">
        <v>80</v>
      </c>
      <c r="I232" s="359">
        <f t="shared" si="16"/>
        <v>844</v>
      </c>
      <c r="J232" s="303">
        <v>0</v>
      </c>
      <c r="K232" s="303">
        <v>0</v>
      </c>
      <c r="L232" s="303">
        <v>80</v>
      </c>
      <c r="M232" s="303">
        <v>0</v>
      </c>
      <c r="N232" s="386">
        <f>M232</f>
        <v>0</v>
      </c>
      <c r="O232" s="192">
        <f t="shared" si="15"/>
        <v>1740</v>
      </c>
      <c r="P232" s="30">
        <v>0</v>
      </c>
      <c r="Q232" s="28">
        <v>0</v>
      </c>
      <c r="R232" s="28">
        <v>0</v>
      </c>
      <c r="S232" s="280"/>
    </row>
    <row r="233" spans="1:19" ht="12.75">
      <c r="A233" s="28">
        <v>849</v>
      </c>
      <c r="B233" s="29" t="s">
        <v>215</v>
      </c>
      <c r="C233" s="28">
        <v>971</v>
      </c>
      <c r="D233" s="379">
        <v>170</v>
      </c>
      <c r="E233" s="365">
        <v>216</v>
      </c>
      <c r="F233" s="193">
        <v>261</v>
      </c>
      <c r="G233" s="303">
        <v>327</v>
      </c>
      <c r="H233" s="303">
        <v>350</v>
      </c>
      <c r="I233" s="359">
        <f t="shared" si="16"/>
        <v>849</v>
      </c>
      <c r="J233" s="303">
        <v>0</v>
      </c>
      <c r="K233" s="303">
        <v>0</v>
      </c>
      <c r="L233" s="303">
        <v>414.7</v>
      </c>
      <c r="M233" s="303">
        <v>0</v>
      </c>
      <c r="N233" s="386">
        <f>M233</f>
        <v>0</v>
      </c>
      <c r="O233" s="192">
        <f t="shared" si="15"/>
        <v>1298</v>
      </c>
      <c r="P233" s="30">
        <v>0</v>
      </c>
      <c r="Q233" s="28">
        <v>0</v>
      </c>
      <c r="R233" s="28">
        <v>0</v>
      </c>
      <c r="S233" s="280"/>
    </row>
    <row r="234" spans="1:19" ht="12.75">
      <c r="A234" s="28">
        <v>850</v>
      </c>
      <c r="B234" s="306" t="s">
        <v>436</v>
      </c>
      <c r="C234" s="28">
        <v>3146</v>
      </c>
      <c r="D234" s="379"/>
      <c r="E234" s="365"/>
      <c r="F234" s="193"/>
      <c r="G234" s="303">
        <v>0</v>
      </c>
      <c r="H234" s="303">
        <v>0</v>
      </c>
      <c r="I234" s="359">
        <f t="shared" si="16"/>
        <v>850</v>
      </c>
      <c r="J234" s="303">
        <v>0</v>
      </c>
      <c r="K234" s="303"/>
      <c r="L234" s="303">
        <v>0</v>
      </c>
      <c r="M234" s="303">
        <v>466</v>
      </c>
      <c r="N234" s="386">
        <f>M234*1.33333</f>
        <v>621.33178</v>
      </c>
      <c r="O234" s="192">
        <f t="shared" si="15"/>
        <v>3612</v>
      </c>
      <c r="P234" s="30">
        <v>0</v>
      </c>
      <c r="Q234" s="28">
        <v>0</v>
      </c>
      <c r="R234" s="28"/>
      <c r="S234" s="280"/>
    </row>
    <row r="235" spans="1:19" ht="12.75">
      <c r="A235" s="28">
        <v>851</v>
      </c>
      <c r="B235" s="306" t="s">
        <v>440</v>
      </c>
      <c r="C235" s="28">
        <v>2913</v>
      </c>
      <c r="D235" s="379"/>
      <c r="E235" s="365"/>
      <c r="F235" s="193"/>
      <c r="G235" s="303">
        <v>0</v>
      </c>
      <c r="H235" s="303">
        <v>0</v>
      </c>
      <c r="I235" s="359">
        <f t="shared" si="16"/>
        <v>851</v>
      </c>
      <c r="J235" s="303"/>
      <c r="K235" s="303"/>
      <c r="L235" s="303">
        <v>0</v>
      </c>
      <c r="M235" s="303">
        <v>466</v>
      </c>
      <c r="N235" s="386">
        <v>776</v>
      </c>
      <c r="O235" s="192">
        <f t="shared" si="15"/>
        <v>3379</v>
      </c>
      <c r="P235" s="30">
        <v>20</v>
      </c>
      <c r="Q235" s="28">
        <v>0</v>
      </c>
      <c r="R235" s="28">
        <v>0</v>
      </c>
      <c r="S235" s="280"/>
    </row>
    <row r="236" spans="1:19" ht="12.75">
      <c r="A236" s="28">
        <v>852</v>
      </c>
      <c r="B236" s="306" t="s">
        <v>441</v>
      </c>
      <c r="C236" s="28">
        <v>2913</v>
      </c>
      <c r="D236" s="379"/>
      <c r="E236" s="365"/>
      <c r="F236" s="193"/>
      <c r="G236" s="303">
        <v>0</v>
      </c>
      <c r="H236" s="303">
        <v>0</v>
      </c>
      <c r="I236" s="359">
        <f t="shared" si="16"/>
        <v>852</v>
      </c>
      <c r="J236" s="303"/>
      <c r="K236" s="303"/>
      <c r="L236" s="303">
        <v>0</v>
      </c>
      <c r="M236" s="303">
        <v>466</v>
      </c>
      <c r="N236" s="386">
        <v>776</v>
      </c>
      <c r="O236" s="192">
        <f t="shared" si="15"/>
        <v>3379</v>
      </c>
      <c r="P236" s="30">
        <v>0</v>
      </c>
      <c r="Q236" s="28">
        <v>0</v>
      </c>
      <c r="R236" s="28">
        <v>0</v>
      </c>
      <c r="S236" s="280"/>
    </row>
    <row r="237" spans="1:19" ht="12.75">
      <c r="A237" s="28">
        <v>853</v>
      </c>
      <c r="B237" s="306" t="s">
        <v>442</v>
      </c>
      <c r="C237" s="28">
        <v>2913</v>
      </c>
      <c r="D237" s="379"/>
      <c r="E237" s="365"/>
      <c r="F237" s="193"/>
      <c r="G237" s="303">
        <v>0</v>
      </c>
      <c r="H237" s="303">
        <v>0</v>
      </c>
      <c r="I237" s="359">
        <f t="shared" si="16"/>
        <v>853</v>
      </c>
      <c r="J237" s="303"/>
      <c r="K237" s="303"/>
      <c r="L237" s="303">
        <v>0</v>
      </c>
      <c r="M237" s="303">
        <v>466</v>
      </c>
      <c r="N237" s="386">
        <v>776</v>
      </c>
      <c r="O237" s="192">
        <f t="shared" si="15"/>
        <v>3379</v>
      </c>
      <c r="P237" s="30">
        <v>17</v>
      </c>
      <c r="Q237" s="28">
        <v>0</v>
      </c>
      <c r="R237" s="28">
        <v>0</v>
      </c>
      <c r="S237" s="280"/>
    </row>
    <row r="238" spans="1:19" ht="12.75">
      <c r="A238" s="28">
        <v>854</v>
      </c>
      <c r="B238" s="306" t="s">
        <v>443</v>
      </c>
      <c r="C238" s="28">
        <v>2913</v>
      </c>
      <c r="D238" s="379"/>
      <c r="E238" s="365"/>
      <c r="F238" s="193"/>
      <c r="G238" s="303">
        <v>0</v>
      </c>
      <c r="H238" s="303">
        <v>0</v>
      </c>
      <c r="I238" s="359">
        <f t="shared" si="16"/>
        <v>854</v>
      </c>
      <c r="J238" s="303"/>
      <c r="K238" s="303"/>
      <c r="L238" s="303">
        <v>0</v>
      </c>
      <c r="M238" s="303">
        <v>466</v>
      </c>
      <c r="N238" s="386">
        <v>776</v>
      </c>
      <c r="O238" s="192">
        <f t="shared" si="15"/>
        <v>3379</v>
      </c>
      <c r="P238" s="30">
        <v>0</v>
      </c>
      <c r="Q238" s="28">
        <v>0</v>
      </c>
      <c r="R238" s="28">
        <v>0</v>
      </c>
      <c r="S238" s="280"/>
    </row>
    <row r="239" spans="1:19" ht="12.75">
      <c r="A239" s="28">
        <v>857</v>
      </c>
      <c r="B239" s="306" t="s">
        <v>444</v>
      </c>
      <c r="C239" s="28">
        <v>2913</v>
      </c>
      <c r="D239" s="379"/>
      <c r="E239" s="365"/>
      <c r="F239" s="193"/>
      <c r="G239" s="303">
        <v>0</v>
      </c>
      <c r="H239" s="303">
        <v>0</v>
      </c>
      <c r="I239" s="359">
        <f t="shared" si="16"/>
        <v>857</v>
      </c>
      <c r="J239" s="303"/>
      <c r="K239" s="303"/>
      <c r="L239" s="303">
        <v>0</v>
      </c>
      <c r="M239" s="303">
        <v>466</v>
      </c>
      <c r="N239" s="386">
        <v>776</v>
      </c>
      <c r="O239" s="192">
        <f t="shared" si="15"/>
        <v>3379</v>
      </c>
      <c r="P239" s="30">
        <v>0</v>
      </c>
      <c r="Q239" s="28">
        <v>0</v>
      </c>
      <c r="R239" s="28">
        <v>0</v>
      </c>
      <c r="S239" s="280"/>
    </row>
    <row r="240" spans="1:18" ht="12.75">
      <c r="A240" s="28">
        <v>883</v>
      </c>
      <c r="B240" s="306" t="s">
        <v>461</v>
      </c>
      <c r="C240" s="28">
        <v>2220</v>
      </c>
      <c r="D240" s="379"/>
      <c r="E240" s="365"/>
      <c r="F240" s="193"/>
      <c r="G240" s="303">
        <v>7</v>
      </c>
      <c r="H240" s="303">
        <v>7</v>
      </c>
      <c r="I240" s="359">
        <f t="shared" si="16"/>
        <v>883</v>
      </c>
      <c r="J240" s="303"/>
      <c r="K240" s="303"/>
      <c r="L240" s="303">
        <v>7</v>
      </c>
      <c r="M240" s="280">
        <v>521.4</v>
      </c>
      <c r="N240" s="386">
        <f>M240</f>
        <v>521.4</v>
      </c>
      <c r="O240" s="192">
        <f t="shared" si="15"/>
        <v>2748.4</v>
      </c>
      <c r="P240" s="30">
        <v>0</v>
      </c>
      <c r="Q240" s="28">
        <v>0</v>
      </c>
      <c r="R240" s="28">
        <v>0</v>
      </c>
    </row>
    <row r="241" spans="1:18" ht="12.75">
      <c r="A241" s="28">
        <v>885</v>
      </c>
      <c r="B241" s="306" t="s">
        <v>463</v>
      </c>
      <c r="C241" s="28">
        <v>1850</v>
      </c>
      <c r="D241" s="379"/>
      <c r="E241" s="365"/>
      <c r="F241" s="193"/>
      <c r="G241" s="303">
        <v>55</v>
      </c>
      <c r="H241" s="303">
        <v>55</v>
      </c>
      <c r="I241" s="359">
        <f t="shared" si="16"/>
        <v>885</v>
      </c>
      <c r="J241" s="303"/>
      <c r="K241" s="303"/>
      <c r="L241" s="303">
        <v>55</v>
      </c>
      <c r="M241" s="280">
        <v>434.5</v>
      </c>
      <c r="N241" s="386">
        <f>M241</f>
        <v>434.5</v>
      </c>
      <c r="O241" s="192">
        <f t="shared" si="15"/>
        <v>2339.5</v>
      </c>
      <c r="P241" s="30">
        <v>0</v>
      </c>
      <c r="Q241" s="28">
        <v>0</v>
      </c>
      <c r="R241" s="28"/>
    </row>
    <row r="242" spans="1:18" ht="12.75">
      <c r="A242" s="28">
        <v>887</v>
      </c>
      <c r="B242" s="306" t="s">
        <v>462</v>
      </c>
      <c r="C242" s="28">
        <v>1580</v>
      </c>
      <c r="D242" s="379"/>
      <c r="E242" s="365"/>
      <c r="F242" s="193"/>
      <c r="G242" s="303">
        <v>90</v>
      </c>
      <c r="H242" s="303">
        <v>90</v>
      </c>
      <c r="I242" s="359">
        <f t="shared" si="16"/>
        <v>887</v>
      </c>
      <c r="J242" s="303"/>
      <c r="K242" s="303"/>
      <c r="L242" s="303">
        <v>90</v>
      </c>
      <c r="M242" s="280">
        <v>347.6</v>
      </c>
      <c r="N242" s="386">
        <f>M242</f>
        <v>347.6</v>
      </c>
      <c r="O242" s="192">
        <f t="shared" si="15"/>
        <v>2017.6</v>
      </c>
      <c r="P242" s="30">
        <v>0</v>
      </c>
      <c r="Q242" s="28">
        <v>0</v>
      </c>
      <c r="R242" s="28">
        <v>0</v>
      </c>
    </row>
    <row r="243" spans="1:19" ht="12.75">
      <c r="A243" s="28">
        <v>900</v>
      </c>
      <c r="B243" s="29" t="s">
        <v>216</v>
      </c>
      <c r="C243" s="28">
        <v>3146</v>
      </c>
      <c r="D243" s="379">
        <v>0</v>
      </c>
      <c r="E243" s="144">
        <v>0</v>
      </c>
      <c r="F243" s="193">
        <f aca="true" t="shared" si="18" ref="F243:F259">IF(C243&lt;972,E243+44,E243)</f>
        <v>0</v>
      </c>
      <c r="G243" s="193">
        <v>0</v>
      </c>
      <c r="H243" s="193">
        <v>0</v>
      </c>
      <c r="I243" s="359">
        <f t="shared" si="16"/>
        <v>900</v>
      </c>
      <c r="J243" s="303">
        <v>0</v>
      </c>
      <c r="K243" s="303">
        <v>0</v>
      </c>
      <c r="L243" s="303">
        <v>0</v>
      </c>
      <c r="M243" s="303">
        <v>0</v>
      </c>
      <c r="N243" s="386">
        <f>M243</f>
        <v>0</v>
      </c>
      <c r="O243" s="192">
        <f t="shared" si="15"/>
        <v>3146</v>
      </c>
      <c r="P243" s="30">
        <v>0</v>
      </c>
      <c r="Q243" s="28">
        <v>0</v>
      </c>
      <c r="R243" s="28">
        <v>0</v>
      </c>
      <c r="S243" s="280"/>
    </row>
    <row r="244" spans="1:19" ht="12.75">
      <c r="A244" s="28">
        <v>901</v>
      </c>
      <c r="B244" s="29" t="s">
        <v>217</v>
      </c>
      <c r="C244" s="28">
        <v>2913</v>
      </c>
      <c r="D244" s="379">
        <v>0</v>
      </c>
      <c r="E244" s="144">
        <v>0</v>
      </c>
      <c r="F244" s="193">
        <f t="shared" si="18"/>
        <v>0</v>
      </c>
      <c r="G244" s="193">
        <v>0</v>
      </c>
      <c r="H244" s="193">
        <v>0</v>
      </c>
      <c r="I244" s="359">
        <f t="shared" si="16"/>
        <v>901</v>
      </c>
      <c r="J244" s="303">
        <v>0</v>
      </c>
      <c r="K244" s="303">
        <v>0</v>
      </c>
      <c r="L244" s="303">
        <v>0</v>
      </c>
      <c r="M244" s="303">
        <v>0</v>
      </c>
      <c r="N244" s="386">
        <f>M244</f>
        <v>0</v>
      </c>
      <c r="O244" s="192">
        <f t="shared" si="15"/>
        <v>2913</v>
      </c>
      <c r="P244" s="30">
        <v>0</v>
      </c>
      <c r="Q244" s="28">
        <v>0</v>
      </c>
      <c r="R244" s="28">
        <v>0</v>
      </c>
      <c r="S244" s="280"/>
    </row>
    <row r="245" spans="1:19" ht="12.75">
      <c r="A245" s="28">
        <v>902</v>
      </c>
      <c r="B245" s="29" t="s">
        <v>218</v>
      </c>
      <c r="C245" s="28">
        <v>2913</v>
      </c>
      <c r="D245" s="379">
        <v>0</v>
      </c>
      <c r="E245" s="144">
        <v>0</v>
      </c>
      <c r="F245" s="193">
        <f t="shared" si="18"/>
        <v>0</v>
      </c>
      <c r="G245" s="193">
        <v>0</v>
      </c>
      <c r="H245" s="193">
        <v>0</v>
      </c>
      <c r="I245" s="359">
        <f t="shared" si="16"/>
        <v>902</v>
      </c>
      <c r="J245" s="303">
        <v>0</v>
      </c>
      <c r="K245">
        <v>233</v>
      </c>
      <c r="L245" s="303">
        <v>0</v>
      </c>
      <c r="M245">
        <v>466</v>
      </c>
      <c r="N245" s="386">
        <v>776</v>
      </c>
      <c r="O245" s="192">
        <f t="shared" si="15"/>
        <v>3379</v>
      </c>
      <c r="P245" s="30">
        <v>20</v>
      </c>
      <c r="Q245" s="28">
        <v>0</v>
      </c>
      <c r="R245" s="28">
        <v>0</v>
      </c>
      <c r="S245" s="280"/>
    </row>
    <row r="246" spans="1:19" ht="12.75">
      <c r="A246" s="28">
        <v>903</v>
      </c>
      <c r="B246" s="29" t="s">
        <v>219</v>
      </c>
      <c r="C246" s="28">
        <v>2913</v>
      </c>
      <c r="D246" s="379">
        <v>0</v>
      </c>
      <c r="E246" s="144">
        <v>0</v>
      </c>
      <c r="F246" s="193">
        <f t="shared" si="18"/>
        <v>0</v>
      </c>
      <c r="G246" s="193">
        <v>0</v>
      </c>
      <c r="H246" s="193">
        <v>0</v>
      </c>
      <c r="I246" s="359">
        <f t="shared" si="16"/>
        <v>903</v>
      </c>
      <c r="J246" s="303">
        <v>0</v>
      </c>
      <c r="K246">
        <v>233</v>
      </c>
      <c r="L246" s="303">
        <v>0</v>
      </c>
      <c r="M246">
        <v>466</v>
      </c>
      <c r="N246" s="386">
        <v>776</v>
      </c>
      <c r="O246" s="192">
        <f t="shared" si="15"/>
        <v>3379</v>
      </c>
      <c r="P246" s="30">
        <v>0</v>
      </c>
      <c r="Q246" s="28">
        <v>0</v>
      </c>
      <c r="R246" s="28">
        <v>0</v>
      </c>
      <c r="S246" s="280"/>
    </row>
    <row r="247" spans="1:19" ht="12.75">
      <c r="A247" s="28">
        <v>904</v>
      </c>
      <c r="B247" s="29" t="s">
        <v>220</v>
      </c>
      <c r="C247" s="28">
        <v>2100</v>
      </c>
      <c r="D247" s="379">
        <v>23</v>
      </c>
      <c r="E247" s="144">
        <v>23</v>
      </c>
      <c r="F247" s="193">
        <f t="shared" si="18"/>
        <v>23</v>
      </c>
      <c r="G247" s="193">
        <v>23</v>
      </c>
      <c r="H247" s="193">
        <v>23</v>
      </c>
      <c r="I247" s="359">
        <f t="shared" si="16"/>
        <v>904</v>
      </c>
      <c r="J247" s="303">
        <v>0</v>
      </c>
      <c r="K247" s="303">
        <v>0</v>
      </c>
      <c r="L247" s="303">
        <v>23</v>
      </c>
      <c r="M247" s="303">
        <v>0</v>
      </c>
      <c r="N247" s="386">
        <f>M247</f>
        <v>0</v>
      </c>
      <c r="O247" s="192">
        <f t="shared" si="15"/>
        <v>2123</v>
      </c>
      <c r="P247" s="30">
        <v>0</v>
      </c>
      <c r="Q247" s="28">
        <v>0</v>
      </c>
      <c r="R247" s="28">
        <v>0</v>
      </c>
      <c r="S247" s="280"/>
    </row>
    <row r="248" spans="1:19" ht="12.75">
      <c r="A248" s="28">
        <v>905</v>
      </c>
      <c r="B248" s="29" t="s">
        <v>221</v>
      </c>
      <c r="C248" s="28">
        <v>1800</v>
      </c>
      <c r="D248" s="379">
        <v>62</v>
      </c>
      <c r="E248" s="144">
        <v>62</v>
      </c>
      <c r="F248" s="193">
        <f t="shared" si="18"/>
        <v>62</v>
      </c>
      <c r="G248" s="193">
        <v>62</v>
      </c>
      <c r="H248" s="193">
        <v>62</v>
      </c>
      <c r="I248" s="359">
        <f t="shared" si="16"/>
        <v>905</v>
      </c>
      <c r="J248" s="303">
        <v>0</v>
      </c>
      <c r="K248" s="303">
        <v>0</v>
      </c>
      <c r="L248" s="303">
        <v>62</v>
      </c>
      <c r="M248" s="303">
        <v>0</v>
      </c>
      <c r="N248" s="386">
        <f>M248</f>
        <v>0</v>
      </c>
      <c r="O248" s="192">
        <f t="shared" si="15"/>
        <v>1862</v>
      </c>
      <c r="P248" s="30">
        <v>0</v>
      </c>
      <c r="Q248" s="28">
        <v>0</v>
      </c>
      <c r="R248" s="28">
        <v>0</v>
      </c>
      <c r="S248" s="280"/>
    </row>
    <row r="249" spans="1:19" ht="12.75">
      <c r="A249" s="28">
        <v>906</v>
      </c>
      <c r="B249" s="29" t="s">
        <v>222</v>
      </c>
      <c r="C249" s="28">
        <v>1942</v>
      </c>
      <c r="D249" s="379">
        <v>43</v>
      </c>
      <c r="E249" s="144">
        <v>43</v>
      </c>
      <c r="F249" s="193">
        <f t="shared" si="18"/>
        <v>43</v>
      </c>
      <c r="G249" s="193">
        <v>43</v>
      </c>
      <c r="H249" s="193">
        <v>43</v>
      </c>
      <c r="I249" s="359">
        <f t="shared" si="16"/>
        <v>906</v>
      </c>
      <c r="J249" s="303">
        <v>0</v>
      </c>
      <c r="K249" s="303">
        <v>194</v>
      </c>
      <c r="L249" s="303">
        <v>43</v>
      </c>
      <c r="M249" s="303">
        <v>388</v>
      </c>
      <c r="N249" s="386">
        <f aca="true" t="shared" si="19" ref="N249:N259">M249*1.33333</f>
        <v>517.33204</v>
      </c>
      <c r="O249" s="192">
        <f t="shared" si="15"/>
        <v>2373</v>
      </c>
      <c r="P249" s="30">
        <v>0</v>
      </c>
      <c r="Q249" s="28">
        <v>0</v>
      </c>
      <c r="R249" s="28">
        <v>0</v>
      </c>
      <c r="S249" s="281">
        <v>782</v>
      </c>
    </row>
    <row r="250" spans="1:19" ht="12.75">
      <c r="A250" s="28">
        <v>907</v>
      </c>
      <c r="B250" s="29" t="s">
        <v>223</v>
      </c>
      <c r="C250" s="28">
        <v>1782</v>
      </c>
      <c r="D250" s="379">
        <v>64</v>
      </c>
      <c r="E250" s="144">
        <v>64</v>
      </c>
      <c r="F250" s="193">
        <f t="shared" si="18"/>
        <v>64</v>
      </c>
      <c r="G250" s="193">
        <v>64</v>
      </c>
      <c r="H250" s="193">
        <v>64</v>
      </c>
      <c r="I250" s="359">
        <f t="shared" si="16"/>
        <v>907</v>
      </c>
      <c r="J250" s="303">
        <v>0</v>
      </c>
      <c r="K250" s="303">
        <v>175</v>
      </c>
      <c r="L250" s="303">
        <v>64</v>
      </c>
      <c r="M250" s="303">
        <v>349</v>
      </c>
      <c r="N250" s="386">
        <f t="shared" si="19"/>
        <v>465.33216999999996</v>
      </c>
      <c r="O250" s="192">
        <f t="shared" si="15"/>
        <v>2195</v>
      </c>
      <c r="P250" s="30">
        <v>0</v>
      </c>
      <c r="Q250" s="28">
        <v>0</v>
      </c>
      <c r="R250" s="28">
        <v>0</v>
      </c>
      <c r="S250" s="281">
        <v>782</v>
      </c>
    </row>
    <row r="251" spans="1:19" ht="12.75">
      <c r="A251" s="28">
        <v>908</v>
      </c>
      <c r="B251" s="29" t="s">
        <v>224</v>
      </c>
      <c r="C251" s="28">
        <v>1692</v>
      </c>
      <c r="D251" s="379">
        <v>76</v>
      </c>
      <c r="E251" s="144">
        <v>76</v>
      </c>
      <c r="F251" s="193">
        <f t="shared" si="18"/>
        <v>76</v>
      </c>
      <c r="G251" s="193">
        <v>76</v>
      </c>
      <c r="H251" s="193">
        <v>76</v>
      </c>
      <c r="I251" s="359">
        <f t="shared" si="16"/>
        <v>908</v>
      </c>
      <c r="J251" s="303">
        <v>0</v>
      </c>
      <c r="K251" s="315">
        <v>136</v>
      </c>
      <c r="L251" s="303">
        <v>76</v>
      </c>
      <c r="M251" s="315">
        <v>272</v>
      </c>
      <c r="N251" s="386">
        <f t="shared" si="19"/>
        <v>362.66576</v>
      </c>
      <c r="O251" s="192">
        <f t="shared" si="15"/>
        <v>2040</v>
      </c>
      <c r="P251" s="30">
        <v>0</v>
      </c>
      <c r="Q251" s="28">
        <v>0</v>
      </c>
      <c r="R251" s="28">
        <v>0</v>
      </c>
      <c r="S251" s="280"/>
    </row>
    <row r="252" spans="1:19" ht="12.75">
      <c r="A252" s="28">
        <v>909</v>
      </c>
      <c r="B252" s="29" t="s">
        <v>225</v>
      </c>
      <c r="C252" s="28">
        <v>1592</v>
      </c>
      <c r="D252" s="379">
        <v>89</v>
      </c>
      <c r="E252" s="144">
        <v>89</v>
      </c>
      <c r="F252" s="193">
        <f t="shared" si="18"/>
        <v>89</v>
      </c>
      <c r="G252" s="193">
        <v>89</v>
      </c>
      <c r="H252" s="193">
        <v>89</v>
      </c>
      <c r="I252" s="359">
        <f t="shared" si="16"/>
        <v>909</v>
      </c>
      <c r="J252" s="303">
        <v>0</v>
      </c>
      <c r="K252" s="303">
        <v>0</v>
      </c>
      <c r="L252" s="303">
        <v>89</v>
      </c>
      <c r="M252" s="303">
        <v>349</v>
      </c>
      <c r="N252" s="386">
        <f t="shared" si="19"/>
        <v>465.33216999999996</v>
      </c>
      <c r="O252" s="192">
        <f t="shared" si="15"/>
        <v>2030</v>
      </c>
      <c r="P252" s="30">
        <v>0</v>
      </c>
      <c r="Q252" s="28">
        <v>0</v>
      </c>
      <c r="R252" s="28">
        <v>0</v>
      </c>
      <c r="S252" s="280"/>
    </row>
    <row r="253" spans="1:19" ht="12.75">
      <c r="A253" s="28">
        <v>910</v>
      </c>
      <c r="B253" s="29" t="s">
        <v>117</v>
      </c>
      <c r="C253" s="28">
        <v>1942</v>
      </c>
      <c r="D253" s="379">
        <v>43</v>
      </c>
      <c r="E253" s="144">
        <v>43</v>
      </c>
      <c r="F253" s="193">
        <f t="shared" si="18"/>
        <v>43</v>
      </c>
      <c r="G253" s="193">
        <v>43</v>
      </c>
      <c r="H253" s="193">
        <v>43</v>
      </c>
      <c r="I253" s="359">
        <f t="shared" si="16"/>
        <v>910</v>
      </c>
      <c r="J253" s="303">
        <v>0</v>
      </c>
      <c r="K253" s="303">
        <v>194</v>
      </c>
      <c r="L253" s="303">
        <v>43</v>
      </c>
      <c r="M253" s="303">
        <v>388</v>
      </c>
      <c r="N253" s="386">
        <f t="shared" si="19"/>
        <v>517.33204</v>
      </c>
      <c r="O253" s="192">
        <f t="shared" si="15"/>
        <v>2373</v>
      </c>
      <c r="P253" s="30">
        <v>150</v>
      </c>
      <c r="Q253" s="28">
        <v>0</v>
      </c>
      <c r="R253" s="28">
        <v>0</v>
      </c>
      <c r="S253" s="280"/>
    </row>
    <row r="254" spans="1:19" ht="12.75">
      <c r="A254" s="28">
        <v>911</v>
      </c>
      <c r="B254" s="29" t="s">
        <v>127</v>
      </c>
      <c r="C254" s="28">
        <v>1592</v>
      </c>
      <c r="D254" s="379">
        <v>89</v>
      </c>
      <c r="E254" s="144">
        <v>89</v>
      </c>
      <c r="F254" s="193">
        <f t="shared" si="18"/>
        <v>89</v>
      </c>
      <c r="G254" s="193">
        <v>89</v>
      </c>
      <c r="H254" s="193">
        <v>89</v>
      </c>
      <c r="I254" s="359">
        <f t="shared" si="16"/>
        <v>911</v>
      </c>
      <c r="J254" s="303">
        <v>0</v>
      </c>
      <c r="K254" s="303">
        <v>136</v>
      </c>
      <c r="L254" s="303">
        <v>89</v>
      </c>
      <c r="M254" s="303">
        <v>350</v>
      </c>
      <c r="N254" s="386">
        <f t="shared" si="19"/>
        <v>466.66549999999995</v>
      </c>
      <c r="O254" s="192">
        <f t="shared" si="15"/>
        <v>2031</v>
      </c>
      <c r="P254" s="30">
        <v>0</v>
      </c>
      <c r="Q254" s="28">
        <v>0</v>
      </c>
      <c r="R254" s="28">
        <v>0</v>
      </c>
      <c r="S254" s="280"/>
    </row>
    <row r="255" spans="1:19" ht="12.75">
      <c r="A255" s="28">
        <v>912</v>
      </c>
      <c r="B255" s="29" t="s">
        <v>226</v>
      </c>
      <c r="C255" s="28">
        <v>1782</v>
      </c>
      <c r="D255" s="379">
        <v>64</v>
      </c>
      <c r="E255" s="144">
        <v>64</v>
      </c>
      <c r="F255" s="193">
        <f t="shared" si="18"/>
        <v>64</v>
      </c>
      <c r="G255" s="193">
        <v>64</v>
      </c>
      <c r="H255" s="193">
        <v>64</v>
      </c>
      <c r="I255" s="359">
        <f t="shared" si="16"/>
        <v>912</v>
      </c>
      <c r="J255" s="303">
        <v>0</v>
      </c>
      <c r="K255" s="303">
        <v>175</v>
      </c>
      <c r="L255" s="303">
        <v>64</v>
      </c>
      <c r="M255" s="303">
        <v>349</v>
      </c>
      <c r="N255" s="386">
        <f t="shared" si="19"/>
        <v>465.33216999999996</v>
      </c>
      <c r="O255" s="192">
        <f t="shared" si="15"/>
        <v>2195</v>
      </c>
      <c r="P255" s="30">
        <v>17</v>
      </c>
      <c r="Q255" s="28">
        <v>0</v>
      </c>
      <c r="R255" s="28">
        <v>0</v>
      </c>
      <c r="S255" s="280"/>
    </row>
    <row r="256" spans="1:19" ht="12.75">
      <c r="A256" s="28">
        <v>913</v>
      </c>
      <c r="B256" s="29" t="s">
        <v>227</v>
      </c>
      <c r="C256" s="28">
        <v>1700</v>
      </c>
      <c r="D256" s="379">
        <v>75</v>
      </c>
      <c r="E256" s="144">
        <v>75</v>
      </c>
      <c r="F256" s="193">
        <f t="shared" si="18"/>
        <v>75</v>
      </c>
      <c r="G256" s="193">
        <v>75</v>
      </c>
      <c r="H256" s="193">
        <v>75</v>
      </c>
      <c r="I256" s="359">
        <f t="shared" si="16"/>
        <v>913</v>
      </c>
      <c r="J256" s="303">
        <v>0</v>
      </c>
      <c r="K256" s="303">
        <v>155</v>
      </c>
      <c r="L256" s="303">
        <v>75</v>
      </c>
      <c r="M256" s="303">
        <v>310</v>
      </c>
      <c r="N256" s="386">
        <f t="shared" si="19"/>
        <v>413.3323</v>
      </c>
      <c r="O256" s="192">
        <f t="shared" si="15"/>
        <v>2085</v>
      </c>
      <c r="P256" s="30">
        <v>0</v>
      </c>
      <c r="Q256" s="28">
        <v>0</v>
      </c>
      <c r="R256" s="28">
        <v>0</v>
      </c>
      <c r="S256" s="281">
        <v>769</v>
      </c>
    </row>
    <row r="257" spans="1:19" ht="12.75">
      <c r="A257" s="28">
        <v>914</v>
      </c>
      <c r="B257" s="29" t="s">
        <v>228</v>
      </c>
      <c r="C257" s="28">
        <v>1600</v>
      </c>
      <c r="D257" s="379">
        <v>88</v>
      </c>
      <c r="E257" s="144">
        <v>88</v>
      </c>
      <c r="F257" s="193">
        <f t="shared" si="18"/>
        <v>88</v>
      </c>
      <c r="G257" s="193">
        <v>88</v>
      </c>
      <c r="H257" s="193">
        <v>88</v>
      </c>
      <c r="I257" s="359">
        <f t="shared" si="16"/>
        <v>914</v>
      </c>
      <c r="J257" s="303">
        <v>0</v>
      </c>
      <c r="K257" s="303">
        <v>116</v>
      </c>
      <c r="L257" s="303">
        <v>88</v>
      </c>
      <c r="M257" s="303">
        <v>232</v>
      </c>
      <c r="N257" s="386">
        <f t="shared" si="19"/>
        <v>309.33256</v>
      </c>
      <c r="O257" s="192">
        <f t="shared" si="15"/>
        <v>1920</v>
      </c>
      <c r="P257" s="30">
        <v>0</v>
      </c>
      <c r="Q257" s="28">
        <v>0</v>
      </c>
      <c r="R257" s="28">
        <v>0</v>
      </c>
      <c r="S257" s="281">
        <v>738</v>
      </c>
    </row>
    <row r="258" spans="1:19" ht="12.75">
      <c r="A258" s="28">
        <v>915</v>
      </c>
      <c r="B258" s="29" t="s">
        <v>229</v>
      </c>
      <c r="C258" s="28">
        <v>1700</v>
      </c>
      <c r="D258" s="379">
        <v>75</v>
      </c>
      <c r="E258" s="144">
        <v>75</v>
      </c>
      <c r="F258" s="193">
        <f t="shared" si="18"/>
        <v>75</v>
      </c>
      <c r="G258" s="193">
        <v>75</v>
      </c>
      <c r="H258" s="193">
        <v>75</v>
      </c>
      <c r="I258" s="359">
        <f t="shared" si="16"/>
        <v>915</v>
      </c>
      <c r="J258" s="303">
        <v>0</v>
      </c>
      <c r="K258" s="303">
        <v>155</v>
      </c>
      <c r="L258" s="303">
        <v>75</v>
      </c>
      <c r="M258" s="303">
        <v>233</v>
      </c>
      <c r="N258" s="386">
        <f t="shared" si="19"/>
        <v>310.66589</v>
      </c>
      <c r="O258" s="192">
        <f t="shared" si="15"/>
        <v>2008</v>
      </c>
      <c r="P258" s="30">
        <v>150</v>
      </c>
      <c r="Q258" s="28">
        <v>0</v>
      </c>
      <c r="R258" s="28">
        <v>0</v>
      </c>
      <c r="S258" s="280"/>
    </row>
    <row r="259" spans="1:19" ht="12.75">
      <c r="A259" s="28">
        <v>916</v>
      </c>
      <c r="B259" s="29" t="s">
        <v>230</v>
      </c>
      <c r="C259" s="28">
        <v>1300</v>
      </c>
      <c r="D259" s="379">
        <v>127</v>
      </c>
      <c r="E259" s="144">
        <v>127</v>
      </c>
      <c r="F259" s="193">
        <f t="shared" si="18"/>
        <v>127</v>
      </c>
      <c r="G259" s="193">
        <v>127</v>
      </c>
      <c r="H259" s="193">
        <v>127</v>
      </c>
      <c r="I259" s="359">
        <f t="shared" si="16"/>
        <v>916</v>
      </c>
      <c r="J259" s="303">
        <v>0</v>
      </c>
      <c r="K259" s="303">
        <v>116</v>
      </c>
      <c r="L259" s="303">
        <v>127</v>
      </c>
      <c r="M259" s="303">
        <v>233</v>
      </c>
      <c r="N259" s="386">
        <f t="shared" si="19"/>
        <v>310.66589</v>
      </c>
      <c r="O259" s="192">
        <f t="shared" si="15"/>
        <v>1660</v>
      </c>
      <c r="P259" s="30">
        <v>0</v>
      </c>
      <c r="Q259" s="28">
        <v>0</v>
      </c>
      <c r="R259" s="28">
        <v>0</v>
      </c>
      <c r="S259" s="280"/>
    </row>
    <row r="260" spans="1:19" ht="12.75">
      <c r="A260" s="28">
        <v>917</v>
      </c>
      <c r="B260" s="29" t="s">
        <v>231</v>
      </c>
      <c r="C260" s="28">
        <v>971</v>
      </c>
      <c r="D260" s="379">
        <v>170</v>
      </c>
      <c r="E260" s="365">
        <v>216</v>
      </c>
      <c r="F260" s="193">
        <v>261</v>
      </c>
      <c r="G260" s="303">
        <v>327</v>
      </c>
      <c r="H260" s="303">
        <v>350</v>
      </c>
      <c r="I260" s="359">
        <f t="shared" si="16"/>
        <v>917</v>
      </c>
      <c r="J260" s="303">
        <v>0</v>
      </c>
      <c r="K260" s="303">
        <v>0</v>
      </c>
      <c r="L260" s="303">
        <v>414.7</v>
      </c>
      <c r="M260" s="303">
        <v>0</v>
      </c>
      <c r="N260" s="386">
        <f>M260</f>
        <v>0</v>
      </c>
      <c r="O260" s="192">
        <f aca="true" t="shared" si="20" ref="O260:O323">C260+G260+M260</f>
        <v>1298</v>
      </c>
      <c r="P260" s="30">
        <v>0</v>
      </c>
      <c r="Q260" s="28">
        <v>0</v>
      </c>
      <c r="R260" s="28">
        <v>0</v>
      </c>
      <c r="S260" s="280"/>
    </row>
    <row r="261" spans="1:19" ht="12.75">
      <c r="A261" s="28">
        <v>918</v>
      </c>
      <c r="B261" s="29" t="s">
        <v>135</v>
      </c>
      <c r="C261" s="28">
        <v>971</v>
      </c>
      <c r="D261" s="379">
        <v>170</v>
      </c>
      <c r="E261" s="365">
        <v>216</v>
      </c>
      <c r="F261" s="193">
        <v>261</v>
      </c>
      <c r="G261" s="303">
        <v>327</v>
      </c>
      <c r="H261" s="303">
        <v>350</v>
      </c>
      <c r="I261" s="359">
        <f t="shared" si="16"/>
        <v>918</v>
      </c>
      <c r="J261" s="303">
        <v>0</v>
      </c>
      <c r="K261" s="303">
        <v>0</v>
      </c>
      <c r="L261" s="303">
        <v>414.7</v>
      </c>
      <c r="M261" s="303">
        <v>0</v>
      </c>
      <c r="N261" s="386">
        <f aca="true" t="shared" si="21" ref="N261:N324">M261</f>
        <v>0</v>
      </c>
      <c r="O261" s="192">
        <f t="shared" si="20"/>
        <v>1298</v>
      </c>
      <c r="P261" s="30">
        <v>150</v>
      </c>
      <c r="Q261" s="28">
        <v>0</v>
      </c>
      <c r="R261" s="28">
        <v>0</v>
      </c>
      <c r="S261" s="280"/>
    </row>
    <row r="262" spans="1:19" ht="12.75">
      <c r="A262" s="28">
        <v>919</v>
      </c>
      <c r="B262" s="29" t="s">
        <v>232</v>
      </c>
      <c r="C262" s="28">
        <v>971</v>
      </c>
      <c r="D262" s="379">
        <v>170</v>
      </c>
      <c r="E262" s="365">
        <v>216</v>
      </c>
      <c r="F262" s="193">
        <v>261</v>
      </c>
      <c r="G262" s="303">
        <v>327</v>
      </c>
      <c r="H262" s="303">
        <v>350</v>
      </c>
      <c r="I262" s="359">
        <f t="shared" si="16"/>
        <v>919</v>
      </c>
      <c r="J262" s="303">
        <v>0</v>
      </c>
      <c r="K262" s="303">
        <v>0</v>
      </c>
      <c r="L262" s="303">
        <v>414.7</v>
      </c>
      <c r="M262" s="303">
        <v>0</v>
      </c>
      <c r="N262" s="386">
        <f t="shared" si="21"/>
        <v>0</v>
      </c>
      <c r="O262" s="192">
        <f t="shared" si="20"/>
        <v>1298</v>
      </c>
      <c r="P262" s="30">
        <v>17</v>
      </c>
      <c r="Q262" s="28">
        <v>0</v>
      </c>
      <c r="R262" s="28">
        <v>0</v>
      </c>
      <c r="S262" s="280"/>
    </row>
    <row r="263" spans="1:19" ht="12.75">
      <c r="A263" s="28">
        <v>920</v>
      </c>
      <c r="B263" s="29" t="s">
        <v>233</v>
      </c>
      <c r="C263" s="28">
        <v>971</v>
      </c>
      <c r="D263" s="379">
        <v>170</v>
      </c>
      <c r="E263" s="365">
        <v>216</v>
      </c>
      <c r="F263" s="193">
        <v>261</v>
      </c>
      <c r="G263" s="303">
        <v>327</v>
      </c>
      <c r="H263" s="303">
        <v>350</v>
      </c>
      <c r="I263" s="359">
        <f aca="true" t="shared" si="22" ref="I263:I326">A263</f>
        <v>920</v>
      </c>
      <c r="J263" s="303">
        <v>0</v>
      </c>
      <c r="K263" s="303">
        <v>0</v>
      </c>
      <c r="L263" s="303">
        <v>414.7</v>
      </c>
      <c r="M263" s="303">
        <v>0</v>
      </c>
      <c r="N263" s="386">
        <f t="shared" si="21"/>
        <v>0</v>
      </c>
      <c r="O263" s="192">
        <f t="shared" si="20"/>
        <v>1298</v>
      </c>
      <c r="P263" s="30">
        <v>150</v>
      </c>
      <c r="Q263" s="28">
        <v>0</v>
      </c>
      <c r="R263" s="28">
        <v>0</v>
      </c>
      <c r="S263" s="280"/>
    </row>
    <row r="264" spans="1:19" ht="12.75">
      <c r="A264" s="28">
        <v>921</v>
      </c>
      <c r="B264" s="29" t="s">
        <v>234</v>
      </c>
      <c r="C264" s="28">
        <v>971</v>
      </c>
      <c r="D264" s="379">
        <v>170</v>
      </c>
      <c r="E264" s="365">
        <v>216</v>
      </c>
      <c r="F264" s="193">
        <v>261</v>
      </c>
      <c r="G264" s="303">
        <v>327</v>
      </c>
      <c r="H264" s="303">
        <v>350</v>
      </c>
      <c r="I264" s="359">
        <f t="shared" si="22"/>
        <v>921</v>
      </c>
      <c r="J264" s="303">
        <v>0</v>
      </c>
      <c r="K264" s="303">
        <v>0</v>
      </c>
      <c r="L264" s="303">
        <v>414.7</v>
      </c>
      <c r="M264" s="303">
        <v>0</v>
      </c>
      <c r="N264" s="386">
        <f t="shared" si="21"/>
        <v>0</v>
      </c>
      <c r="O264" s="192">
        <f t="shared" si="20"/>
        <v>1298</v>
      </c>
      <c r="P264" s="30">
        <v>0</v>
      </c>
      <c r="Q264" s="28">
        <v>0</v>
      </c>
      <c r="R264" s="28">
        <v>0</v>
      </c>
      <c r="S264" s="280"/>
    </row>
    <row r="265" spans="1:19" ht="12.75">
      <c r="A265" s="28">
        <v>922</v>
      </c>
      <c r="B265" s="29" t="s">
        <v>235</v>
      </c>
      <c r="C265" s="28">
        <v>971</v>
      </c>
      <c r="D265" s="379">
        <v>170</v>
      </c>
      <c r="E265" s="365">
        <v>216</v>
      </c>
      <c r="F265" s="193">
        <v>261</v>
      </c>
      <c r="G265" s="303">
        <v>327</v>
      </c>
      <c r="H265" s="303">
        <v>350</v>
      </c>
      <c r="I265" s="359">
        <f t="shared" si="22"/>
        <v>922</v>
      </c>
      <c r="J265" s="303">
        <v>0</v>
      </c>
      <c r="K265" s="303">
        <v>0</v>
      </c>
      <c r="L265" s="303">
        <v>414.7</v>
      </c>
      <c r="M265" s="303">
        <v>0</v>
      </c>
      <c r="N265" s="386">
        <f t="shared" si="21"/>
        <v>0</v>
      </c>
      <c r="O265" s="192">
        <f t="shared" si="20"/>
        <v>1298</v>
      </c>
      <c r="P265" s="30">
        <v>0</v>
      </c>
      <c r="Q265" s="28">
        <v>0</v>
      </c>
      <c r="R265" s="28">
        <v>0</v>
      </c>
      <c r="S265" s="280"/>
    </row>
    <row r="266" spans="1:19" ht="12.75">
      <c r="A266" s="28">
        <v>923</v>
      </c>
      <c r="B266" s="29" t="s">
        <v>236</v>
      </c>
      <c r="C266" s="28">
        <v>971</v>
      </c>
      <c r="D266" s="379">
        <v>170</v>
      </c>
      <c r="E266" s="365">
        <v>216</v>
      </c>
      <c r="F266" s="193">
        <v>261</v>
      </c>
      <c r="G266" s="303">
        <v>327</v>
      </c>
      <c r="H266" s="303">
        <v>350</v>
      </c>
      <c r="I266" s="359">
        <f t="shared" si="22"/>
        <v>923</v>
      </c>
      <c r="J266" s="303">
        <v>0</v>
      </c>
      <c r="K266" s="303">
        <v>0</v>
      </c>
      <c r="L266" s="303">
        <v>414.7</v>
      </c>
      <c r="M266" s="303">
        <v>0</v>
      </c>
      <c r="N266" s="386">
        <f t="shared" si="21"/>
        <v>0</v>
      </c>
      <c r="O266" s="192">
        <f t="shared" si="20"/>
        <v>1298</v>
      </c>
      <c r="P266" s="30">
        <v>0</v>
      </c>
      <c r="Q266" s="28">
        <v>0</v>
      </c>
      <c r="R266" s="28">
        <v>0</v>
      </c>
      <c r="S266" s="280"/>
    </row>
    <row r="267" spans="1:19" ht="12.75">
      <c r="A267" s="28">
        <v>924</v>
      </c>
      <c r="B267" s="29" t="s">
        <v>237</v>
      </c>
      <c r="C267" s="28">
        <v>971</v>
      </c>
      <c r="D267" s="379">
        <v>170</v>
      </c>
      <c r="E267" s="365">
        <v>216</v>
      </c>
      <c r="F267" s="193">
        <v>261</v>
      </c>
      <c r="G267" s="303">
        <v>327</v>
      </c>
      <c r="H267" s="303">
        <v>350</v>
      </c>
      <c r="I267" s="359">
        <f t="shared" si="22"/>
        <v>924</v>
      </c>
      <c r="J267" s="303">
        <v>0</v>
      </c>
      <c r="K267" s="303">
        <v>0</v>
      </c>
      <c r="L267" s="303">
        <v>414.7</v>
      </c>
      <c r="M267" s="303">
        <v>0</v>
      </c>
      <c r="N267" s="386">
        <f t="shared" si="21"/>
        <v>0</v>
      </c>
      <c r="O267" s="192">
        <f t="shared" si="20"/>
        <v>1298</v>
      </c>
      <c r="P267" s="30">
        <v>150</v>
      </c>
      <c r="Q267" s="28">
        <v>0</v>
      </c>
      <c r="R267" s="28">
        <v>0</v>
      </c>
      <c r="S267" s="280"/>
    </row>
    <row r="268" spans="1:19" ht="12.75">
      <c r="A268" s="28">
        <v>925</v>
      </c>
      <c r="B268" s="29" t="s">
        <v>51</v>
      </c>
      <c r="C268" s="28">
        <v>971</v>
      </c>
      <c r="D268" s="379">
        <v>170</v>
      </c>
      <c r="E268" s="365">
        <v>216</v>
      </c>
      <c r="F268" s="193">
        <v>261</v>
      </c>
      <c r="G268" s="303">
        <v>327</v>
      </c>
      <c r="H268" s="303">
        <v>350</v>
      </c>
      <c r="I268" s="359">
        <f t="shared" si="22"/>
        <v>925</v>
      </c>
      <c r="J268" s="303">
        <v>0</v>
      </c>
      <c r="K268" s="303">
        <v>0</v>
      </c>
      <c r="L268" s="303">
        <v>414.7</v>
      </c>
      <c r="M268" s="303">
        <v>0</v>
      </c>
      <c r="N268" s="386">
        <f t="shared" si="21"/>
        <v>0</v>
      </c>
      <c r="O268" s="192">
        <f t="shared" si="20"/>
        <v>1298</v>
      </c>
      <c r="P268" s="30">
        <v>0</v>
      </c>
      <c r="Q268" s="28">
        <v>0</v>
      </c>
      <c r="R268" s="28">
        <v>0</v>
      </c>
      <c r="S268" s="280"/>
    </row>
    <row r="269" spans="1:19" ht="12.75">
      <c r="A269" s="28">
        <v>926</v>
      </c>
      <c r="B269" s="29" t="s">
        <v>159</v>
      </c>
      <c r="C269" s="28">
        <v>1500</v>
      </c>
      <c r="D269" s="379">
        <v>101</v>
      </c>
      <c r="E269" s="144">
        <v>101</v>
      </c>
      <c r="F269" s="193">
        <f>IF(C269&lt;972,E269+44,E269)</f>
        <v>101</v>
      </c>
      <c r="G269" s="193">
        <v>101</v>
      </c>
      <c r="H269" s="193">
        <v>101</v>
      </c>
      <c r="I269" s="359">
        <f t="shared" si="22"/>
        <v>926</v>
      </c>
      <c r="J269" s="303">
        <v>0</v>
      </c>
      <c r="K269" s="303">
        <v>0</v>
      </c>
      <c r="L269" s="303">
        <v>101</v>
      </c>
      <c r="M269" s="303">
        <v>0</v>
      </c>
      <c r="N269" s="386">
        <f t="shared" si="21"/>
        <v>0</v>
      </c>
      <c r="O269" s="192">
        <f t="shared" si="20"/>
        <v>1601</v>
      </c>
      <c r="P269" s="30">
        <v>150</v>
      </c>
      <c r="Q269" s="28">
        <v>0</v>
      </c>
      <c r="R269" s="28">
        <v>0</v>
      </c>
      <c r="S269" s="280"/>
    </row>
    <row r="270" spans="1:19" ht="12.75">
      <c r="A270" s="28">
        <v>928</v>
      </c>
      <c r="B270" s="29" t="s">
        <v>130</v>
      </c>
      <c r="C270" s="28">
        <v>1500</v>
      </c>
      <c r="D270" s="379">
        <v>101</v>
      </c>
      <c r="E270" s="144">
        <v>101</v>
      </c>
      <c r="F270" s="193">
        <f>IF(C270&lt;972,E270+44,E270)</f>
        <v>101</v>
      </c>
      <c r="G270" s="193">
        <v>101</v>
      </c>
      <c r="H270" s="193">
        <v>101</v>
      </c>
      <c r="I270" s="359">
        <f t="shared" si="22"/>
        <v>928</v>
      </c>
      <c r="J270" s="303">
        <v>0</v>
      </c>
      <c r="K270" s="303">
        <v>0</v>
      </c>
      <c r="L270" s="303">
        <v>101</v>
      </c>
      <c r="M270" s="303">
        <v>0</v>
      </c>
      <c r="N270" s="386">
        <f t="shared" si="21"/>
        <v>0</v>
      </c>
      <c r="O270" s="192">
        <f t="shared" si="20"/>
        <v>1601</v>
      </c>
      <c r="P270" s="30">
        <v>150</v>
      </c>
      <c r="Q270" s="28">
        <v>0</v>
      </c>
      <c r="R270" s="28">
        <v>0</v>
      </c>
      <c r="S270" s="280"/>
    </row>
    <row r="271" spans="1:19" ht="12.75">
      <c r="A271" s="28">
        <v>929</v>
      </c>
      <c r="B271" s="29" t="s">
        <v>238</v>
      </c>
      <c r="C271" s="28">
        <v>971</v>
      </c>
      <c r="D271" s="379">
        <v>170</v>
      </c>
      <c r="E271" s="365">
        <v>216</v>
      </c>
      <c r="F271" s="193">
        <v>261</v>
      </c>
      <c r="G271" s="303">
        <v>327</v>
      </c>
      <c r="H271" s="303">
        <v>350</v>
      </c>
      <c r="I271" s="359">
        <f t="shared" si="22"/>
        <v>929</v>
      </c>
      <c r="J271" s="303">
        <v>0</v>
      </c>
      <c r="K271" s="303">
        <v>0</v>
      </c>
      <c r="L271" s="303">
        <v>414.7</v>
      </c>
      <c r="M271" s="303">
        <v>0</v>
      </c>
      <c r="N271" s="386">
        <f t="shared" si="21"/>
        <v>0</v>
      </c>
      <c r="O271" s="192">
        <f t="shared" si="20"/>
        <v>1298</v>
      </c>
      <c r="P271" s="30">
        <v>150</v>
      </c>
      <c r="Q271" s="28">
        <v>0</v>
      </c>
      <c r="R271" s="28">
        <v>0</v>
      </c>
      <c r="S271" s="280"/>
    </row>
    <row r="272" spans="1:19" ht="12.75">
      <c r="A272" s="28">
        <v>930</v>
      </c>
      <c r="B272" s="29" t="s">
        <v>239</v>
      </c>
      <c r="C272" s="28">
        <v>1592</v>
      </c>
      <c r="D272" s="379">
        <v>89</v>
      </c>
      <c r="E272" s="144">
        <v>89</v>
      </c>
      <c r="F272" s="193">
        <f>IF(C272&lt;972,E272+44,E272)</f>
        <v>89</v>
      </c>
      <c r="G272" s="193">
        <v>89</v>
      </c>
      <c r="H272" s="193">
        <v>89</v>
      </c>
      <c r="I272" s="359">
        <f t="shared" si="22"/>
        <v>930</v>
      </c>
      <c r="J272" s="303">
        <v>0</v>
      </c>
      <c r="K272" s="303">
        <v>0</v>
      </c>
      <c r="L272" s="303">
        <v>89</v>
      </c>
      <c r="M272" s="303">
        <v>233</v>
      </c>
      <c r="N272" s="386">
        <f>M272*1.33333</f>
        <v>310.66589</v>
      </c>
      <c r="O272" s="192">
        <f t="shared" si="20"/>
        <v>1914</v>
      </c>
      <c r="P272" s="30">
        <v>0</v>
      </c>
      <c r="Q272" s="28">
        <v>0</v>
      </c>
      <c r="R272" s="28">
        <v>0</v>
      </c>
      <c r="S272" s="280"/>
    </row>
    <row r="273" spans="1:19" ht="12.75">
      <c r="A273" s="28">
        <v>931</v>
      </c>
      <c r="B273" s="29" t="s">
        <v>240</v>
      </c>
      <c r="C273" s="28">
        <v>971</v>
      </c>
      <c r="D273" s="379">
        <v>170</v>
      </c>
      <c r="E273" s="365">
        <v>216</v>
      </c>
      <c r="F273" s="193">
        <v>261</v>
      </c>
      <c r="G273" s="303">
        <v>327</v>
      </c>
      <c r="H273" s="303">
        <v>350</v>
      </c>
      <c r="I273" s="359">
        <f t="shared" si="22"/>
        <v>931</v>
      </c>
      <c r="J273" s="303">
        <v>0</v>
      </c>
      <c r="K273" s="303">
        <v>0</v>
      </c>
      <c r="L273" s="303">
        <v>414.7</v>
      </c>
      <c r="M273" s="303">
        <v>0</v>
      </c>
      <c r="N273" s="386">
        <f t="shared" si="21"/>
        <v>0</v>
      </c>
      <c r="O273" s="192">
        <f t="shared" si="20"/>
        <v>1298</v>
      </c>
      <c r="P273" s="30">
        <v>0</v>
      </c>
      <c r="Q273" s="28">
        <v>0</v>
      </c>
      <c r="R273" s="28">
        <v>0</v>
      </c>
      <c r="S273" s="280"/>
    </row>
    <row r="274" spans="1:19" ht="14.25">
      <c r="A274" s="28">
        <v>932</v>
      </c>
      <c r="B274" s="29" t="s">
        <v>241</v>
      </c>
      <c r="C274" s="28">
        <v>2220</v>
      </c>
      <c r="D274" s="379">
        <v>7</v>
      </c>
      <c r="E274" s="144">
        <v>7</v>
      </c>
      <c r="F274" s="193">
        <f>IF(C274&lt;972,E274+44,E274)</f>
        <v>7</v>
      </c>
      <c r="G274" s="193">
        <v>7</v>
      </c>
      <c r="H274" s="193">
        <v>7</v>
      </c>
      <c r="I274" s="359">
        <f t="shared" si="22"/>
        <v>932</v>
      </c>
      <c r="J274" s="303">
        <v>0</v>
      </c>
      <c r="K274" s="303">
        <v>0</v>
      </c>
      <c r="L274" s="303">
        <v>7</v>
      </c>
      <c r="M274" s="363">
        <v>521.4</v>
      </c>
      <c r="N274" s="386">
        <f t="shared" si="21"/>
        <v>521.4</v>
      </c>
      <c r="O274" s="192">
        <f t="shared" si="20"/>
        <v>2748.4</v>
      </c>
      <c r="P274" s="30">
        <v>0</v>
      </c>
      <c r="Q274" s="28">
        <v>0</v>
      </c>
      <c r="R274" s="28">
        <v>0</v>
      </c>
      <c r="S274" s="280"/>
    </row>
    <row r="275" spans="1:19" ht="14.25">
      <c r="A275" s="37">
        <v>933</v>
      </c>
      <c r="B275" s="38" t="s">
        <v>242</v>
      </c>
      <c r="C275" s="37">
        <v>1580</v>
      </c>
      <c r="D275" s="379">
        <v>90</v>
      </c>
      <c r="E275" s="144">
        <v>90</v>
      </c>
      <c r="F275" s="193">
        <f>IF(C275&lt;972,E275+44,E275)</f>
        <v>90</v>
      </c>
      <c r="G275" s="193">
        <v>90</v>
      </c>
      <c r="H275" s="193">
        <v>90</v>
      </c>
      <c r="I275" s="359">
        <f t="shared" si="22"/>
        <v>933</v>
      </c>
      <c r="J275" s="303">
        <v>0</v>
      </c>
      <c r="K275" s="303">
        <v>0</v>
      </c>
      <c r="L275" s="303">
        <v>90</v>
      </c>
      <c r="M275" s="363">
        <v>347.6</v>
      </c>
      <c r="N275" s="386">
        <f t="shared" si="21"/>
        <v>347.6</v>
      </c>
      <c r="O275" s="192">
        <f t="shared" si="20"/>
        <v>2017.6</v>
      </c>
      <c r="P275" s="39">
        <v>0</v>
      </c>
      <c r="Q275" s="37">
        <v>0</v>
      </c>
      <c r="R275" s="37">
        <v>0</v>
      </c>
      <c r="S275" s="280"/>
    </row>
    <row r="276" spans="1:19" ht="12.75">
      <c r="A276" s="28">
        <v>934</v>
      </c>
      <c r="B276" s="29" t="s">
        <v>243</v>
      </c>
      <c r="C276" s="28">
        <v>922</v>
      </c>
      <c r="D276" s="379">
        <v>176</v>
      </c>
      <c r="E276" s="365">
        <v>216</v>
      </c>
      <c r="F276" s="193">
        <v>261</v>
      </c>
      <c r="G276" s="303">
        <v>327</v>
      </c>
      <c r="H276" s="303">
        <v>350</v>
      </c>
      <c r="I276" s="359">
        <f t="shared" si="22"/>
        <v>934</v>
      </c>
      <c r="J276" s="303">
        <v>0</v>
      </c>
      <c r="K276" s="303">
        <v>0</v>
      </c>
      <c r="L276" s="303">
        <v>414.7</v>
      </c>
      <c r="M276" s="303">
        <v>0</v>
      </c>
      <c r="N276" s="386">
        <f t="shared" si="21"/>
        <v>0</v>
      </c>
      <c r="O276" s="192">
        <f t="shared" si="20"/>
        <v>1249</v>
      </c>
      <c r="P276" s="30">
        <v>0</v>
      </c>
      <c r="Q276" s="28">
        <v>0</v>
      </c>
      <c r="R276" s="28">
        <v>0</v>
      </c>
      <c r="S276" s="280"/>
    </row>
    <row r="277" spans="1:19" ht="12.75">
      <c r="A277" s="28">
        <v>935</v>
      </c>
      <c r="B277" s="29" t="s">
        <v>244</v>
      </c>
      <c r="C277" s="28">
        <v>971</v>
      </c>
      <c r="D277" s="379">
        <v>170</v>
      </c>
      <c r="E277" s="365">
        <v>216</v>
      </c>
      <c r="F277" s="193">
        <v>261</v>
      </c>
      <c r="G277" s="303">
        <v>327</v>
      </c>
      <c r="H277" s="303">
        <v>350</v>
      </c>
      <c r="I277" s="359">
        <f t="shared" si="22"/>
        <v>935</v>
      </c>
      <c r="J277" s="303">
        <v>0</v>
      </c>
      <c r="K277" s="303">
        <v>0</v>
      </c>
      <c r="L277" s="303">
        <v>414.7</v>
      </c>
      <c r="M277" s="303">
        <v>0</v>
      </c>
      <c r="N277" s="386">
        <f t="shared" si="21"/>
        <v>0</v>
      </c>
      <c r="O277" s="192">
        <f t="shared" si="20"/>
        <v>1298</v>
      </c>
      <c r="P277" s="30">
        <v>0</v>
      </c>
      <c r="Q277" s="28">
        <v>0</v>
      </c>
      <c r="R277" s="28">
        <v>0</v>
      </c>
      <c r="S277" s="280"/>
    </row>
    <row r="278" spans="1:19" ht="12.75">
      <c r="A278" s="28">
        <v>936</v>
      </c>
      <c r="B278" s="29" t="s">
        <v>245</v>
      </c>
      <c r="C278" s="28">
        <v>1250</v>
      </c>
      <c r="D278" s="379">
        <v>134</v>
      </c>
      <c r="E278" s="144">
        <v>134</v>
      </c>
      <c r="F278" s="193">
        <f>IF(C278&lt;972,E278+44,E278)</f>
        <v>134</v>
      </c>
      <c r="G278" s="193">
        <v>134</v>
      </c>
      <c r="H278" s="193">
        <v>134</v>
      </c>
      <c r="I278" s="359">
        <f t="shared" si="22"/>
        <v>936</v>
      </c>
      <c r="J278" s="303">
        <v>0</v>
      </c>
      <c r="K278" s="303">
        <v>0</v>
      </c>
      <c r="L278" s="303">
        <v>134</v>
      </c>
      <c r="M278" s="303">
        <v>0</v>
      </c>
      <c r="N278" s="386">
        <f t="shared" si="21"/>
        <v>0</v>
      </c>
      <c r="O278" s="192">
        <f t="shared" si="20"/>
        <v>1384</v>
      </c>
      <c r="P278" s="30">
        <v>0</v>
      </c>
      <c r="Q278" s="28">
        <v>0</v>
      </c>
      <c r="R278" s="28">
        <v>0</v>
      </c>
      <c r="S278" s="280"/>
    </row>
    <row r="279" spans="1:19" ht="12.75">
      <c r="A279" s="34">
        <v>937</v>
      </c>
      <c r="B279" s="35" t="s">
        <v>246</v>
      </c>
      <c r="C279" s="34">
        <v>971</v>
      </c>
      <c r="D279" s="379">
        <v>170</v>
      </c>
      <c r="E279" s="365">
        <v>216</v>
      </c>
      <c r="F279" s="193">
        <v>261</v>
      </c>
      <c r="G279" s="303">
        <v>327</v>
      </c>
      <c r="H279" s="303">
        <v>350</v>
      </c>
      <c r="I279" s="359">
        <f t="shared" si="22"/>
        <v>937</v>
      </c>
      <c r="J279" s="303">
        <v>0</v>
      </c>
      <c r="K279" s="303">
        <v>0</v>
      </c>
      <c r="L279" s="303">
        <v>414.7</v>
      </c>
      <c r="M279" s="303">
        <v>0</v>
      </c>
      <c r="N279" s="386">
        <f t="shared" si="21"/>
        <v>0</v>
      </c>
      <c r="O279" s="192">
        <f t="shared" si="20"/>
        <v>1298</v>
      </c>
      <c r="P279" s="36">
        <v>0</v>
      </c>
      <c r="Q279" s="34">
        <v>0</v>
      </c>
      <c r="R279" s="34">
        <v>0</v>
      </c>
      <c r="S279" s="280"/>
    </row>
    <row r="280" spans="1:19" ht="12.75">
      <c r="A280" s="28">
        <v>940</v>
      </c>
      <c r="B280" s="29" t="s">
        <v>247</v>
      </c>
      <c r="C280" s="28">
        <v>1692</v>
      </c>
      <c r="D280" s="379">
        <v>76</v>
      </c>
      <c r="E280" s="144">
        <v>76</v>
      </c>
      <c r="F280" s="193">
        <f aca="true" t="shared" si="23" ref="F280:F285">IF(C280&lt;972,E280+44,E280)</f>
        <v>76</v>
      </c>
      <c r="G280" s="193">
        <v>76</v>
      </c>
      <c r="H280" s="193">
        <v>76</v>
      </c>
      <c r="I280" s="359">
        <f t="shared" si="22"/>
        <v>940</v>
      </c>
      <c r="J280" s="303">
        <v>0</v>
      </c>
      <c r="K280" s="303">
        <v>0</v>
      </c>
      <c r="L280" s="303">
        <v>76</v>
      </c>
      <c r="M280" s="303">
        <v>272</v>
      </c>
      <c r="N280" s="386">
        <f>M280*1.33333</f>
        <v>362.66576</v>
      </c>
      <c r="O280" s="192">
        <f t="shared" si="20"/>
        <v>2040</v>
      </c>
      <c r="P280" s="30">
        <v>0</v>
      </c>
      <c r="Q280" s="28">
        <v>0</v>
      </c>
      <c r="R280" s="28">
        <v>0</v>
      </c>
      <c r="S280" s="280"/>
    </row>
    <row r="281" spans="1:19" ht="12.75">
      <c r="A281" s="28">
        <v>941</v>
      </c>
      <c r="B281" s="29" t="s">
        <v>248</v>
      </c>
      <c r="C281" s="28">
        <v>1942</v>
      </c>
      <c r="D281" s="379">
        <v>43</v>
      </c>
      <c r="E281" s="144">
        <v>43</v>
      </c>
      <c r="F281" s="193">
        <f t="shared" si="23"/>
        <v>43</v>
      </c>
      <c r="G281" s="193">
        <v>43</v>
      </c>
      <c r="H281" s="193">
        <v>43</v>
      </c>
      <c r="I281" s="359">
        <f t="shared" si="22"/>
        <v>941</v>
      </c>
      <c r="J281" s="303">
        <v>0</v>
      </c>
      <c r="K281" s="303">
        <v>194</v>
      </c>
      <c r="L281" s="303">
        <v>43</v>
      </c>
      <c r="M281" s="303">
        <v>388</v>
      </c>
      <c r="N281" s="386">
        <f>M281*1.33333</f>
        <v>517.33204</v>
      </c>
      <c r="O281" s="192">
        <f t="shared" si="20"/>
        <v>2373</v>
      </c>
      <c r="P281" s="30">
        <v>0</v>
      </c>
      <c r="Q281" s="28">
        <v>0</v>
      </c>
      <c r="R281" s="28">
        <v>0</v>
      </c>
      <c r="S281" s="280"/>
    </row>
    <row r="282" spans="1:19" ht="12.75">
      <c r="A282" s="28">
        <v>942</v>
      </c>
      <c r="B282" s="29" t="s">
        <v>249</v>
      </c>
      <c r="C282" s="28">
        <v>1782</v>
      </c>
      <c r="D282" s="379">
        <v>64</v>
      </c>
      <c r="E282" s="144">
        <v>64</v>
      </c>
      <c r="F282" s="193">
        <f t="shared" si="23"/>
        <v>64</v>
      </c>
      <c r="G282" s="193">
        <v>64</v>
      </c>
      <c r="H282" s="193">
        <v>64</v>
      </c>
      <c r="I282" s="359">
        <f t="shared" si="22"/>
        <v>942</v>
      </c>
      <c r="J282" s="303">
        <v>0</v>
      </c>
      <c r="K282" s="303">
        <v>0</v>
      </c>
      <c r="L282" s="303">
        <v>64</v>
      </c>
      <c r="M282" s="303">
        <v>349</v>
      </c>
      <c r="N282" s="386">
        <f>M282*1.33333</f>
        <v>465.33216999999996</v>
      </c>
      <c r="O282" s="192">
        <f t="shared" si="20"/>
        <v>2195</v>
      </c>
      <c r="P282" s="30">
        <v>0</v>
      </c>
      <c r="Q282" s="28">
        <v>0</v>
      </c>
      <c r="R282" s="28">
        <v>0</v>
      </c>
      <c r="S282" s="280"/>
    </row>
    <row r="283" spans="1:19" ht="12.75">
      <c r="A283" s="28">
        <v>943</v>
      </c>
      <c r="B283" s="29" t="s">
        <v>158</v>
      </c>
      <c r="C283" s="28">
        <v>1500</v>
      </c>
      <c r="D283" s="379">
        <v>101</v>
      </c>
      <c r="E283" s="144">
        <v>101</v>
      </c>
      <c r="F283" s="193">
        <f t="shared" si="23"/>
        <v>101</v>
      </c>
      <c r="G283" s="193">
        <v>101</v>
      </c>
      <c r="H283" s="193">
        <v>101</v>
      </c>
      <c r="I283" s="359">
        <f t="shared" si="22"/>
        <v>943</v>
      </c>
      <c r="J283" s="303">
        <v>0</v>
      </c>
      <c r="K283" s="303">
        <v>0</v>
      </c>
      <c r="L283" s="303">
        <v>101</v>
      </c>
      <c r="M283" s="303">
        <v>0</v>
      </c>
      <c r="N283" s="386">
        <f t="shared" si="21"/>
        <v>0</v>
      </c>
      <c r="O283" s="192">
        <f t="shared" si="20"/>
        <v>1601</v>
      </c>
      <c r="P283" s="30">
        <v>150</v>
      </c>
      <c r="Q283" s="28">
        <v>0</v>
      </c>
      <c r="R283" s="28">
        <v>0</v>
      </c>
      <c r="S283" s="280"/>
    </row>
    <row r="284" spans="1:19" ht="12.75">
      <c r="A284" s="28">
        <v>944</v>
      </c>
      <c r="B284" s="29" t="s">
        <v>250</v>
      </c>
      <c r="C284" s="28">
        <v>1400</v>
      </c>
      <c r="D284" s="379">
        <v>114</v>
      </c>
      <c r="E284" s="144">
        <v>114</v>
      </c>
      <c r="F284" s="193">
        <f t="shared" si="23"/>
        <v>114</v>
      </c>
      <c r="G284" s="193">
        <v>114</v>
      </c>
      <c r="H284" s="193">
        <v>114</v>
      </c>
      <c r="I284" s="359">
        <f t="shared" si="22"/>
        <v>944</v>
      </c>
      <c r="J284" s="303">
        <v>0</v>
      </c>
      <c r="K284" s="303">
        <v>116</v>
      </c>
      <c r="L284" s="303">
        <v>114</v>
      </c>
      <c r="M284" s="303">
        <v>233</v>
      </c>
      <c r="N284" s="386">
        <f>M284*1.33333</f>
        <v>310.66589</v>
      </c>
      <c r="O284" s="192">
        <f t="shared" si="20"/>
        <v>1747</v>
      </c>
      <c r="P284" s="30">
        <v>0</v>
      </c>
      <c r="Q284" s="28">
        <v>0</v>
      </c>
      <c r="R284" s="28">
        <v>0</v>
      </c>
      <c r="S284" s="280"/>
    </row>
    <row r="285" spans="1:19" ht="12.75">
      <c r="A285" s="28">
        <v>945</v>
      </c>
      <c r="B285" s="29" t="s">
        <v>251</v>
      </c>
      <c r="C285" s="28">
        <v>1782</v>
      </c>
      <c r="D285" s="379">
        <v>64</v>
      </c>
      <c r="E285" s="144">
        <v>64</v>
      </c>
      <c r="F285" s="193">
        <f t="shared" si="23"/>
        <v>64</v>
      </c>
      <c r="G285" s="193">
        <v>64</v>
      </c>
      <c r="H285" s="193">
        <v>64</v>
      </c>
      <c r="I285" s="359">
        <f t="shared" si="22"/>
        <v>945</v>
      </c>
      <c r="J285" s="303">
        <v>0</v>
      </c>
      <c r="K285" s="303">
        <v>175</v>
      </c>
      <c r="L285" s="303">
        <v>64</v>
      </c>
      <c r="M285" s="303">
        <v>233</v>
      </c>
      <c r="N285" s="386">
        <f>M285*1.33333</f>
        <v>310.66589</v>
      </c>
      <c r="O285" s="192">
        <f t="shared" si="20"/>
        <v>2079</v>
      </c>
      <c r="P285" s="30">
        <v>0</v>
      </c>
      <c r="Q285" s="28">
        <v>0</v>
      </c>
      <c r="R285" s="28">
        <v>669</v>
      </c>
      <c r="S285" s="280"/>
    </row>
    <row r="286" spans="1:19" ht="12.75">
      <c r="A286" s="28">
        <v>946</v>
      </c>
      <c r="B286" s="29" t="s">
        <v>188</v>
      </c>
      <c r="C286" s="28">
        <v>971</v>
      </c>
      <c r="D286" s="379">
        <v>170</v>
      </c>
      <c r="E286" s="365">
        <v>170</v>
      </c>
      <c r="F286" s="193">
        <v>170</v>
      </c>
      <c r="G286" s="303">
        <v>214</v>
      </c>
      <c r="H286" s="303">
        <v>214</v>
      </c>
      <c r="I286" s="359">
        <f t="shared" si="22"/>
        <v>946</v>
      </c>
      <c r="J286" s="303">
        <v>0</v>
      </c>
      <c r="K286" s="303">
        <v>0</v>
      </c>
      <c r="L286" s="303">
        <v>214</v>
      </c>
      <c r="M286" s="303">
        <v>0</v>
      </c>
      <c r="N286" s="386">
        <f t="shared" si="21"/>
        <v>0</v>
      </c>
      <c r="O286" s="192">
        <f t="shared" si="20"/>
        <v>1185</v>
      </c>
      <c r="P286" s="30">
        <v>0</v>
      </c>
      <c r="Q286" s="28">
        <v>0</v>
      </c>
      <c r="R286" s="28">
        <v>620</v>
      </c>
      <c r="S286" s="280"/>
    </row>
    <row r="287" spans="1:19" ht="12.75">
      <c r="A287" s="28">
        <v>947</v>
      </c>
      <c r="B287" s="29" t="s">
        <v>252</v>
      </c>
      <c r="C287" s="28">
        <v>971</v>
      </c>
      <c r="D287" s="379">
        <v>170</v>
      </c>
      <c r="E287" s="365">
        <v>216</v>
      </c>
      <c r="F287" s="193">
        <v>261</v>
      </c>
      <c r="G287" s="303">
        <v>327</v>
      </c>
      <c r="H287" s="303">
        <v>350</v>
      </c>
      <c r="I287" s="359">
        <f t="shared" si="22"/>
        <v>947</v>
      </c>
      <c r="J287" s="303">
        <v>0</v>
      </c>
      <c r="K287" s="303">
        <v>0</v>
      </c>
      <c r="L287" s="303">
        <v>414.7</v>
      </c>
      <c r="M287" s="303">
        <v>0</v>
      </c>
      <c r="N287" s="386">
        <f t="shared" si="21"/>
        <v>0</v>
      </c>
      <c r="O287" s="192">
        <f t="shared" si="20"/>
        <v>1298</v>
      </c>
      <c r="P287" s="30">
        <v>0</v>
      </c>
      <c r="Q287" s="28">
        <v>0</v>
      </c>
      <c r="R287" s="28">
        <v>155</v>
      </c>
      <c r="S287" s="280"/>
    </row>
    <row r="288" spans="1:19" ht="12.75">
      <c r="A288" s="28">
        <v>948</v>
      </c>
      <c r="B288" s="306" t="s">
        <v>457</v>
      </c>
      <c r="C288" s="28">
        <v>1300</v>
      </c>
      <c r="D288" s="379"/>
      <c r="E288" s="365"/>
      <c r="F288" s="193"/>
      <c r="G288" s="303">
        <v>127</v>
      </c>
      <c r="H288" s="303">
        <v>127</v>
      </c>
      <c r="I288" s="359">
        <f t="shared" si="22"/>
        <v>948</v>
      </c>
      <c r="J288" s="303"/>
      <c r="K288" s="303"/>
      <c r="L288" s="303">
        <v>127</v>
      </c>
      <c r="M288" s="303">
        <v>233</v>
      </c>
      <c r="N288" s="386">
        <f>M288*1.33333</f>
        <v>310.66589</v>
      </c>
      <c r="O288" s="192">
        <f t="shared" si="20"/>
        <v>1660</v>
      </c>
      <c r="P288" s="30">
        <v>0</v>
      </c>
      <c r="Q288" s="28">
        <v>0</v>
      </c>
      <c r="R288" s="28">
        <v>657</v>
      </c>
      <c r="S288" s="280"/>
    </row>
    <row r="289" spans="1:19" ht="12.75">
      <c r="A289" s="28">
        <v>951</v>
      </c>
      <c r="B289" s="29" t="s">
        <v>145</v>
      </c>
      <c r="C289" s="28">
        <v>1500</v>
      </c>
      <c r="D289" s="379">
        <v>101</v>
      </c>
      <c r="E289" s="144">
        <v>101</v>
      </c>
      <c r="F289" s="193">
        <f>IF(C289&lt;972,E289+44,E289)</f>
        <v>101</v>
      </c>
      <c r="G289" s="193">
        <v>101</v>
      </c>
      <c r="H289" s="193">
        <v>101</v>
      </c>
      <c r="I289" s="359">
        <f t="shared" si="22"/>
        <v>951</v>
      </c>
      <c r="J289" s="303">
        <v>0</v>
      </c>
      <c r="K289" s="303">
        <v>0</v>
      </c>
      <c r="L289" s="303">
        <v>101</v>
      </c>
      <c r="M289" s="303">
        <v>0</v>
      </c>
      <c r="N289" s="386">
        <f t="shared" si="21"/>
        <v>0</v>
      </c>
      <c r="O289" s="192">
        <f t="shared" si="20"/>
        <v>1601</v>
      </c>
      <c r="P289" s="30">
        <v>150</v>
      </c>
      <c r="Q289" s="28">
        <v>0</v>
      </c>
      <c r="R289" s="28">
        <v>0</v>
      </c>
      <c r="S289" s="280"/>
    </row>
    <row r="290" spans="1:19" ht="12.75">
      <c r="A290" s="28">
        <v>952</v>
      </c>
      <c r="B290" s="29" t="s">
        <v>253</v>
      </c>
      <c r="C290" s="28">
        <v>971</v>
      </c>
      <c r="D290" s="379">
        <v>170</v>
      </c>
      <c r="E290" s="365">
        <v>216</v>
      </c>
      <c r="F290" s="193">
        <v>261</v>
      </c>
      <c r="G290" s="303">
        <v>327</v>
      </c>
      <c r="H290" s="303">
        <v>350</v>
      </c>
      <c r="I290" s="359">
        <f t="shared" si="22"/>
        <v>952</v>
      </c>
      <c r="J290" s="303">
        <v>0</v>
      </c>
      <c r="K290" s="303">
        <v>0</v>
      </c>
      <c r="L290" s="303">
        <v>414.7</v>
      </c>
      <c r="M290" s="303">
        <v>0</v>
      </c>
      <c r="N290" s="386">
        <f t="shared" si="21"/>
        <v>0</v>
      </c>
      <c r="O290" s="192">
        <f t="shared" si="20"/>
        <v>1298</v>
      </c>
      <c r="P290" s="30">
        <v>0</v>
      </c>
      <c r="Q290" s="28">
        <v>0</v>
      </c>
      <c r="R290" s="28">
        <v>155</v>
      </c>
      <c r="S290" s="280"/>
    </row>
    <row r="291" spans="1:19" ht="12.75">
      <c r="A291" s="28">
        <v>953</v>
      </c>
      <c r="B291" s="29" t="s">
        <v>254</v>
      </c>
      <c r="C291" s="28">
        <v>971</v>
      </c>
      <c r="D291" s="379">
        <v>170</v>
      </c>
      <c r="E291" s="365">
        <v>216</v>
      </c>
      <c r="F291" s="193">
        <v>261</v>
      </c>
      <c r="G291" s="303">
        <v>327</v>
      </c>
      <c r="H291" s="303">
        <v>350</v>
      </c>
      <c r="I291" s="359">
        <f t="shared" si="22"/>
        <v>953</v>
      </c>
      <c r="J291" s="303">
        <v>0</v>
      </c>
      <c r="K291" s="303">
        <v>0</v>
      </c>
      <c r="L291" s="303">
        <v>414.7</v>
      </c>
      <c r="M291" s="303">
        <v>0</v>
      </c>
      <c r="N291" s="386">
        <f t="shared" si="21"/>
        <v>0</v>
      </c>
      <c r="O291" s="192">
        <f t="shared" si="20"/>
        <v>1298</v>
      </c>
      <c r="P291" s="30">
        <v>0</v>
      </c>
      <c r="Q291" s="28">
        <v>0</v>
      </c>
      <c r="R291" s="28">
        <v>155</v>
      </c>
      <c r="S291" s="280"/>
    </row>
    <row r="292" spans="1:19" ht="12.75">
      <c r="A292" s="28">
        <v>954</v>
      </c>
      <c r="B292" s="29" t="s">
        <v>255</v>
      </c>
      <c r="C292" s="28">
        <v>1600</v>
      </c>
      <c r="D292" s="379">
        <v>88</v>
      </c>
      <c r="E292" s="144">
        <v>88</v>
      </c>
      <c r="F292" s="193">
        <f>IF(C292&lt;972,E292+44,E292)</f>
        <v>88</v>
      </c>
      <c r="G292" s="193">
        <v>88</v>
      </c>
      <c r="H292" s="193">
        <v>88</v>
      </c>
      <c r="I292" s="359">
        <f t="shared" si="22"/>
        <v>954</v>
      </c>
      <c r="J292" s="303">
        <v>0</v>
      </c>
      <c r="K292" s="303">
        <v>116</v>
      </c>
      <c r="L292" s="303">
        <v>88</v>
      </c>
      <c r="M292" s="303">
        <v>233</v>
      </c>
      <c r="N292" s="386">
        <f>M292*1.33333</f>
        <v>310.66589</v>
      </c>
      <c r="O292" s="192">
        <f t="shared" si="20"/>
        <v>1921</v>
      </c>
      <c r="P292" s="30">
        <v>0</v>
      </c>
      <c r="Q292" s="28">
        <v>0</v>
      </c>
      <c r="R292" s="28">
        <v>657</v>
      </c>
      <c r="S292" s="280"/>
    </row>
    <row r="293" spans="1:19" ht="12.75">
      <c r="A293" s="28">
        <v>955</v>
      </c>
      <c r="B293" s="29" t="s">
        <v>174</v>
      </c>
      <c r="C293" s="28">
        <v>971</v>
      </c>
      <c r="D293" s="379">
        <v>170</v>
      </c>
      <c r="E293" s="365">
        <v>216</v>
      </c>
      <c r="F293" s="193">
        <v>261</v>
      </c>
      <c r="G293" s="303">
        <v>327</v>
      </c>
      <c r="H293" s="303">
        <v>350</v>
      </c>
      <c r="I293" s="359">
        <f t="shared" si="22"/>
        <v>955</v>
      </c>
      <c r="J293" s="303">
        <v>0</v>
      </c>
      <c r="K293" s="303">
        <v>0</v>
      </c>
      <c r="L293" s="303">
        <v>414.7</v>
      </c>
      <c r="M293" s="303">
        <v>0</v>
      </c>
      <c r="N293" s="386">
        <f t="shared" si="21"/>
        <v>0</v>
      </c>
      <c r="O293" s="192">
        <f t="shared" si="20"/>
        <v>1298</v>
      </c>
      <c r="P293" s="30">
        <v>0</v>
      </c>
      <c r="Q293" s="28">
        <v>0</v>
      </c>
      <c r="R293" s="28">
        <v>0</v>
      </c>
      <c r="S293" s="280"/>
    </row>
    <row r="294" spans="1:19" ht="12.75">
      <c r="A294" s="28">
        <v>956</v>
      </c>
      <c r="B294" s="29" t="s">
        <v>256</v>
      </c>
      <c r="C294" s="28">
        <v>1692</v>
      </c>
      <c r="D294" s="379">
        <v>76</v>
      </c>
      <c r="E294" s="144">
        <v>76</v>
      </c>
      <c r="F294" s="193">
        <f aca="true" t="shared" si="24" ref="F294:F300">IF(C294&lt;972,E294+44,E294)</f>
        <v>76</v>
      </c>
      <c r="G294" s="193">
        <v>76</v>
      </c>
      <c r="H294" s="193">
        <v>76</v>
      </c>
      <c r="I294" s="359">
        <f t="shared" si="22"/>
        <v>956</v>
      </c>
      <c r="J294" s="303">
        <v>0</v>
      </c>
      <c r="K294" s="303">
        <v>136</v>
      </c>
      <c r="L294" s="303">
        <v>76</v>
      </c>
      <c r="M294" s="303">
        <v>272</v>
      </c>
      <c r="N294" s="386">
        <f>M294*1.33333</f>
        <v>362.66576</v>
      </c>
      <c r="O294" s="192">
        <f t="shared" si="20"/>
        <v>2040</v>
      </c>
      <c r="P294" s="30">
        <v>0</v>
      </c>
      <c r="Q294" s="28">
        <v>0</v>
      </c>
      <c r="R294" s="28">
        <v>663</v>
      </c>
      <c r="S294" s="280"/>
    </row>
    <row r="295" spans="1:19" ht="12.75">
      <c r="A295" s="28">
        <v>957</v>
      </c>
      <c r="B295" s="29" t="s">
        <v>453</v>
      </c>
      <c r="C295" s="28">
        <v>1700</v>
      </c>
      <c r="D295" s="379">
        <v>75</v>
      </c>
      <c r="E295" s="144">
        <v>75</v>
      </c>
      <c r="F295" s="193">
        <f t="shared" si="24"/>
        <v>75</v>
      </c>
      <c r="G295" s="193">
        <v>75</v>
      </c>
      <c r="H295" s="193">
        <v>75</v>
      </c>
      <c r="I295" s="359">
        <f t="shared" si="22"/>
        <v>957</v>
      </c>
      <c r="J295" s="303">
        <v>0</v>
      </c>
      <c r="K295" s="303">
        <v>0</v>
      </c>
      <c r="L295" s="303">
        <v>75</v>
      </c>
      <c r="M295" s="303">
        <v>310</v>
      </c>
      <c r="N295" s="386">
        <f>M295*1.33333</f>
        <v>413.3323</v>
      </c>
      <c r="O295" s="192">
        <f t="shared" si="20"/>
        <v>2085</v>
      </c>
      <c r="P295" s="30">
        <v>0</v>
      </c>
      <c r="Q295" s="28">
        <v>0</v>
      </c>
      <c r="R295" s="28">
        <v>0</v>
      </c>
      <c r="S295" s="280"/>
    </row>
    <row r="296" spans="1:19" ht="12.75">
      <c r="A296" s="28">
        <v>958</v>
      </c>
      <c r="B296" s="29" t="s">
        <v>257</v>
      </c>
      <c r="C296" s="28">
        <v>2913</v>
      </c>
      <c r="D296" s="379">
        <v>0</v>
      </c>
      <c r="E296" s="144">
        <v>0</v>
      </c>
      <c r="F296" s="193">
        <f t="shared" si="24"/>
        <v>0</v>
      </c>
      <c r="G296" s="193">
        <v>0</v>
      </c>
      <c r="H296" s="193">
        <v>0</v>
      </c>
      <c r="I296" s="359">
        <f t="shared" si="22"/>
        <v>958</v>
      </c>
      <c r="J296" s="303">
        <v>0</v>
      </c>
      <c r="K296" s="303">
        <v>0</v>
      </c>
      <c r="L296" s="303">
        <v>0</v>
      </c>
      <c r="M296" s="303">
        <v>0</v>
      </c>
      <c r="N296" s="386">
        <f t="shared" si="21"/>
        <v>0</v>
      </c>
      <c r="O296" s="192">
        <f t="shared" si="20"/>
        <v>2913</v>
      </c>
      <c r="P296" s="30">
        <v>0</v>
      </c>
      <c r="Q296" s="28">
        <v>0</v>
      </c>
      <c r="R296" s="28">
        <v>0</v>
      </c>
      <c r="S296" s="280"/>
    </row>
    <row r="297" spans="1:19" ht="12.75">
      <c r="A297" s="28">
        <v>959</v>
      </c>
      <c r="B297" s="29" t="s">
        <v>452</v>
      </c>
      <c r="C297" s="28">
        <v>1942</v>
      </c>
      <c r="D297" s="379">
        <v>7</v>
      </c>
      <c r="E297" s="144">
        <v>7</v>
      </c>
      <c r="F297" s="193">
        <f t="shared" si="24"/>
        <v>7</v>
      </c>
      <c r="G297" s="193">
        <v>43</v>
      </c>
      <c r="H297" s="193">
        <v>43</v>
      </c>
      <c r="I297" s="359">
        <f t="shared" si="22"/>
        <v>959</v>
      </c>
      <c r="J297" s="303">
        <v>0</v>
      </c>
      <c r="K297" s="303">
        <v>0</v>
      </c>
      <c r="L297" s="303">
        <v>43</v>
      </c>
      <c r="M297" s="303">
        <v>388</v>
      </c>
      <c r="N297" s="386">
        <f t="shared" si="21"/>
        <v>388</v>
      </c>
      <c r="O297" s="192">
        <f t="shared" si="20"/>
        <v>2373</v>
      </c>
      <c r="P297" s="30">
        <v>0</v>
      </c>
      <c r="Q297" s="28">
        <v>0</v>
      </c>
      <c r="R297" s="28">
        <v>0</v>
      </c>
      <c r="S297" s="280"/>
    </row>
    <row r="298" spans="1:19" ht="12.75">
      <c r="A298" s="28">
        <v>960</v>
      </c>
      <c r="B298" s="29" t="s">
        <v>455</v>
      </c>
      <c r="C298" s="28">
        <v>1600</v>
      </c>
      <c r="D298" s="379">
        <v>68</v>
      </c>
      <c r="E298" s="144">
        <v>68</v>
      </c>
      <c r="F298" s="193">
        <f t="shared" si="24"/>
        <v>68</v>
      </c>
      <c r="G298" s="193">
        <v>68</v>
      </c>
      <c r="H298" s="193">
        <v>68</v>
      </c>
      <c r="I298" s="359">
        <f t="shared" si="22"/>
        <v>960</v>
      </c>
      <c r="J298" s="303">
        <v>0</v>
      </c>
      <c r="K298" s="303">
        <v>0</v>
      </c>
      <c r="L298" s="303">
        <v>68</v>
      </c>
      <c r="M298" s="303">
        <v>233</v>
      </c>
      <c r="N298" s="386">
        <f t="shared" si="21"/>
        <v>233</v>
      </c>
      <c r="O298" s="192">
        <f t="shared" si="20"/>
        <v>1901</v>
      </c>
      <c r="P298" s="30">
        <v>0</v>
      </c>
      <c r="Q298" s="28">
        <v>0</v>
      </c>
      <c r="R298" s="28">
        <v>0</v>
      </c>
      <c r="S298" s="280"/>
    </row>
    <row r="299" spans="1:19" ht="14.25">
      <c r="A299" s="28">
        <v>961</v>
      </c>
      <c r="B299" s="29" t="s">
        <v>258</v>
      </c>
      <c r="C299" s="28">
        <v>1580</v>
      </c>
      <c r="D299" s="379">
        <v>90</v>
      </c>
      <c r="E299" s="144">
        <v>90</v>
      </c>
      <c r="F299" s="193">
        <f t="shared" si="24"/>
        <v>90</v>
      </c>
      <c r="G299" s="193">
        <v>90</v>
      </c>
      <c r="H299" s="193">
        <v>90</v>
      </c>
      <c r="I299" s="359">
        <f t="shared" si="22"/>
        <v>961</v>
      </c>
      <c r="J299" s="303">
        <v>0</v>
      </c>
      <c r="K299" s="303">
        <v>0</v>
      </c>
      <c r="L299" s="303">
        <v>90</v>
      </c>
      <c r="M299" s="363">
        <v>347.6</v>
      </c>
      <c r="N299" s="386">
        <f t="shared" si="21"/>
        <v>347.6</v>
      </c>
      <c r="O299" s="192">
        <f t="shared" si="20"/>
        <v>2017.6</v>
      </c>
      <c r="P299" s="30">
        <v>0</v>
      </c>
      <c r="Q299" s="28">
        <v>0</v>
      </c>
      <c r="R299" s="28">
        <v>0</v>
      </c>
      <c r="S299" s="280"/>
    </row>
    <row r="300" spans="1:19" ht="12.75">
      <c r="A300" s="28">
        <v>962</v>
      </c>
      <c r="B300" s="29" t="s">
        <v>259</v>
      </c>
      <c r="C300" s="28">
        <v>1580</v>
      </c>
      <c r="D300" s="379">
        <v>90</v>
      </c>
      <c r="E300" s="144">
        <v>90</v>
      </c>
      <c r="F300" s="193">
        <f t="shared" si="24"/>
        <v>90</v>
      </c>
      <c r="G300" s="193">
        <v>90</v>
      </c>
      <c r="H300" s="193">
        <v>90</v>
      </c>
      <c r="I300" s="359">
        <f t="shared" si="22"/>
        <v>962</v>
      </c>
      <c r="J300" s="303">
        <v>0</v>
      </c>
      <c r="K300" s="303">
        <v>0</v>
      </c>
      <c r="L300" s="303">
        <v>90</v>
      </c>
      <c r="M300" s="303">
        <v>0</v>
      </c>
      <c r="N300" s="386">
        <f t="shared" si="21"/>
        <v>0</v>
      </c>
      <c r="O300" s="192">
        <f t="shared" si="20"/>
        <v>1670</v>
      </c>
      <c r="P300" s="30">
        <v>0</v>
      </c>
      <c r="Q300" s="28">
        <v>0</v>
      </c>
      <c r="R300" s="28">
        <v>0</v>
      </c>
      <c r="S300" s="280"/>
    </row>
    <row r="301" spans="1:19" ht="12.75">
      <c r="A301" s="28">
        <v>963</v>
      </c>
      <c r="B301" s="29" t="s">
        <v>260</v>
      </c>
      <c r="C301" s="28">
        <v>951</v>
      </c>
      <c r="D301" s="379">
        <v>170</v>
      </c>
      <c r="E301" s="365">
        <v>216</v>
      </c>
      <c r="F301" s="193">
        <v>261</v>
      </c>
      <c r="G301" s="303">
        <v>327</v>
      </c>
      <c r="H301" s="303">
        <v>350</v>
      </c>
      <c r="I301" s="359">
        <f t="shared" si="22"/>
        <v>963</v>
      </c>
      <c r="J301" s="303">
        <v>0</v>
      </c>
      <c r="K301" s="303">
        <v>0</v>
      </c>
      <c r="L301" s="303">
        <v>414.7</v>
      </c>
      <c r="M301" s="303">
        <v>0</v>
      </c>
      <c r="N301" s="386">
        <f t="shared" si="21"/>
        <v>0</v>
      </c>
      <c r="O301" s="192">
        <f t="shared" si="20"/>
        <v>1278</v>
      </c>
      <c r="P301" s="30">
        <v>0</v>
      </c>
      <c r="Q301" s="28">
        <v>0</v>
      </c>
      <c r="R301" s="28">
        <v>0</v>
      </c>
      <c r="S301" s="280"/>
    </row>
    <row r="302" spans="1:19" ht="12.75">
      <c r="A302" s="28">
        <v>965</v>
      </c>
      <c r="B302" s="29" t="s">
        <v>261</v>
      </c>
      <c r="C302" s="28">
        <v>2913</v>
      </c>
      <c r="D302" s="379">
        <v>0</v>
      </c>
      <c r="E302" s="144">
        <v>0</v>
      </c>
      <c r="F302" s="193">
        <f>IF(C302&lt;972,E302+44,E302)</f>
        <v>0</v>
      </c>
      <c r="G302" s="193">
        <v>0</v>
      </c>
      <c r="H302" s="193">
        <v>0</v>
      </c>
      <c r="I302" s="359">
        <f t="shared" si="22"/>
        <v>965</v>
      </c>
      <c r="J302" s="303">
        <v>0</v>
      </c>
      <c r="K302" s="303">
        <v>0</v>
      </c>
      <c r="L302" s="303">
        <v>0</v>
      </c>
      <c r="M302" s="303">
        <v>0</v>
      </c>
      <c r="N302" s="386">
        <f t="shared" si="21"/>
        <v>0</v>
      </c>
      <c r="O302" s="192">
        <f t="shared" si="20"/>
        <v>2913</v>
      </c>
      <c r="P302" s="30">
        <v>0</v>
      </c>
      <c r="Q302" s="28">
        <v>0</v>
      </c>
      <c r="R302" s="28">
        <v>0</v>
      </c>
      <c r="S302" s="280"/>
    </row>
    <row r="303" spans="1:19" ht="14.25">
      <c r="A303" s="28">
        <v>966</v>
      </c>
      <c r="B303" s="29" t="s">
        <v>262</v>
      </c>
      <c r="C303" s="28">
        <v>1850</v>
      </c>
      <c r="D303" s="379">
        <v>55</v>
      </c>
      <c r="E303" s="144">
        <v>55</v>
      </c>
      <c r="F303" s="193">
        <f>IF(C303&lt;972,E303+44,E303)</f>
        <v>55</v>
      </c>
      <c r="G303" s="193">
        <v>55</v>
      </c>
      <c r="H303" s="193">
        <v>55</v>
      </c>
      <c r="I303" s="359">
        <f t="shared" si="22"/>
        <v>966</v>
      </c>
      <c r="J303" s="303">
        <v>0</v>
      </c>
      <c r="K303" s="303">
        <v>0</v>
      </c>
      <c r="L303" s="303">
        <v>55</v>
      </c>
      <c r="M303" s="363">
        <v>434.5</v>
      </c>
      <c r="N303" s="386">
        <f t="shared" si="21"/>
        <v>434.5</v>
      </c>
      <c r="O303" s="192">
        <f t="shared" si="20"/>
        <v>2339.5</v>
      </c>
      <c r="P303" s="30">
        <v>0</v>
      </c>
      <c r="Q303" s="28">
        <v>0</v>
      </c>
      <c r="R303" s="28">
        <v>0</v>
      </c>
      <c r="S303" s="280"/>
    </row>
    <row r="304" spans="1:19" ht="12.75">
      <c r="A304" s="28">
        <v>967</v>
      </c>
      <c r="B304" s="29" t="s">
        <v>263</v>
      </c>
      <c r="C304" s="28">
        <v>1564</v>
      </c>
      <c r="D304" s="379">
        <v>93</v>
      </c>
      <c r="E304" s="144">
        <v>93</v>
      </c>
      <c r="F304" s="193">
        <f>IF(C304&lt;972,E304+44,E304)</f>
        <v>93</v>
      </c>
      <c r="G304" s="193">
        <v>93</v>
      </c>
      <c r="H304" s="193">
        <v>93</v>
      </c>
      <c r="I304" s="359">
        <f t="shared" si="22"/>
        <v>967</v>
      </c>
      <c r="J304" s="303">
        <v>0</v>
      </c>
      <c r="K304" s="303">
        <v>0</v>
      </c>
      <c r="L304" s="303">
        <v>93</v>
      </c>
      <c r="M304" s="303">
        <v>0</v>
      </c>
      <c r="N304" s="386">
        <f t="shared" si="21"/>
        <v>0</v>
      </c>
      <c r="O304" s="192">
        <f t="shared" si="20"/>
        <v>1657</v>
      </c>
      <c r="P304" s="30">
        <v>0</v>
      </c>
      <c r="Q304" s="28">
        <v>0</v>
      </c>
      <c r="R304" s="28">
        <v>0</v>
      </c>
      <c r="S304" s="280"/>
    </row>
    <row r="305" spans="1:19" ht="12.75">
      <c r="A305" s="28">
        <v>968</v>
      </c>
      <c r="B305" s="29" t="s">
        <v>212</v>
      </c>
      <c r="C305" s="28">
        <v>1500</v>
      </c>
      <c r="D305" s="379">
        <v>101</v>
      </c>
      <c r="E305" s="144">
        <v>101</v>
      </c>
      <c r="F305" s="193">
        <f>IF(C305&lt;972,E305+44,E305)</f>
        <v>101</v>
      </c>
      <c r="G305" s="193">
        <v>101</v>
      </c>
      <c r="H305" s="193">
        <v>101</v>
      </c>
      <c r="I305" s="359">
        <f t="shared" si="22"/>
        <v>968</v>
      </c>
      <c r="J305" s="303">
        <v>0</v>
      </c>
      <c r="K305" s="303">
        <v>0</v>
      </c>
      <c r="L305" s="303">
        <v>101</v>
      </c>
      <c r="M305" s="303">
        <v>388</v>
      </c>
      <c r="N305" s="386">
        <f>M305*1.33333</f>
        <v>517.33204</v>
      </c>
      <c r="O305" s="192">
        <f t="shared" si="20"/>
        <v>1989</v>
      </c>
      <c r="P305" s="30">
        <v>0</v>
      </c>
      <c r="Q305" s="28">
        <v>0</v>
      </c>
      <c r="R305" s="28">
        <v>0</v>
      </c>
      <c r="S305" s="280"/>
    </row>
    <row r="306" spans="1:19" ht="12.75">
      <c r="A306" s="28">
        <v>969</v>
      </c>
      <c r="B306" s="29" t="s">
        <v>264</v>
      </c>
      <c r="C306" s="28">
        <v>971</v>
      </c>
      <c r="D306" s="379">
        <v>170</v>
      </c>
      <c r="E306" s="365">
        <v>216</v>
      </c>
      <c r="F306" s="193">
        <v>261</v>
      </c>
      <c r="G306" s="303">
        <v>327</v>
      </c>
      <c r="H306" s="303">
        <v>350</v>
      </c>
      <c r="I306" s="359">
        <f t="shared" si="22"/>
        <v>969</v>
      </c>
      <c r="J306" s="303">
        <v>0</v>
      </c>
      <c r="K306" s="303">
        <v>0</v>
      </c>
      <c r="L306" s="303">
        <v>414.7</v>
      </c>
      <c r="M306" s="303">
        <v>0</v>
      </c>
      <c r="N306" s="386">
        <f t="shared" si="21"/>
        <v>0</v>
      </c>
      <c r="O306" s="192">
        <f t="shared" si="20"/>
        <v>1298</v>
      </c>
      <c r="P306" s="30">
        <v>150</v>
      </c>
      <c r="Q306" s="28">
        <v>0</v>
      </c>
      <c r="R306" s="28">
        <v>0</v>
      </c>
      <c r="S306" s="280"/>
    </row>
    <row r="307" spans="1:19" ht="12.75">
      <c r="A307" s="28">
        <v>970</v>
      </c>
      <c r="B307" s="29" t="s">
        <v>265</v>
      </c>
      <c r="C307" s="28">
        <v>1480</v>
      </c>
      <c r="D307" s="379">
        <v>104</v>
      </c>
      <c r="E307" s="144">
        <v>104</v>
      </c>
      <c r="F307" s="193">
        <f>IF(C307&lt;972,E307+44,E307)</f>
        <v>104</v>
      </c>
      <c r="G307" s="193">
        <v>104</v>
      </c>
      <c r="H307" s="193">
        <v>104</v>
      </c>
      <c r="I307" s="359">
        <f t="shared" si="22"/>
        <v>970</v>
      </c>
      <c r="J307" s="303">
        <v>0</v>
      </c>
      <c r="K307" s="303">
        <v>0</v>
      </c>
      <c r="L307" s="303">
        <v>104</v>
      </c>
      <c r="M307" s="303">
        <v>0</v>
      </c>
      <c r="N307" s="386">
        <f t="shared" si="21"/>
        <v>0</v>
      </c>
      <c r="O307" s="192">
        <f t="shared" si="20"/>
        <v>1584</v>
      </c>
      <c r="P307" s="30">
        <v>0</v>
      </c>
      <c r="Q307" s="28">
        <v>0</v>
      </c>
      <c r="R307" s="28">
        <v>0</v>
      </c>
      <c r="S307" s="280"/>
    </row>
    <row r="308" spans="1:19" ht="12.75">
      <c r="A308" s="28">
        <v>971</v>
      </c>
      <c r="B308" s="29" t="s">
        <v>266</v>
      </c>
      <c r="C308" s="28">
        <v>1400</v>
      </c>
      <c r="D308" s="379">
        <v>114</v>
      </c>
      <c r="E308" s="144">
        <v>114</v>
      </c>
      <c r="F308" s="193">
        <f>IF(C308&lt;972,E308+44,E308)</f>
        <v>114</v>
      </c>
      <c r="G308" s="193">
        <v>114</v>
      </c>
      <c r="H308" s="193">
        <v>114</v>
      </c>
      <c r="I308" s="359">
        <f t="shared" si="22"/>
        <v>971</v>
      </c>
      <c r="J308" s="303">
        <v>0</v>
      </c>
      <c r="K308" s="303">
        <v>116</v>
      </c>
      <c r="L308" s="303">
        <v>114</v>
      </c>
      <c r="M308" s="303">
        <v>233</v>
      </c>
      <c r="N308" s="386">
        <f>M308*1.33333</f>
        <v>310.66589</v>
      </c>
      <c r="O308" s="192">
        <f t="shared" si="20"/>
        <v>1747</v>
      </c>
      <c r="P308" s="30">
        <v>150</v>
      </c>
      <c r="Q308" s="28">
        <v>0</v>
      </c>
      <c r="R308" s="28">
        <v>0</v>
      </c>
      <c r="S308" s="280"/>
    </row>
    <row r="309" spans="1:19" ht="12.75">
      <c r="A309" s="28">
        <v>972</v>
      </c>
      <c r="B309" s="29" t="s">
        <v>267</v>
      </c>
      <c r="C309" s="28">
        <v>1692</v>
      </c>
      <c r="D309" s="379">
        <v>76</v>
      </c>
      <c r="E309" s="144">
        <v>76</v>
      </c>
      <c r="F309" s="193">
        <f>IF(C309&lt;972,E309+44,E309)</f>
        <v>76</v>
      </c>
      <c r="G309" s="193">
        <v>76</v>
      </c>
      <c r="H309" s="193">
        <v>76</v>
      </c>
      <c r="I309" s="359">
        <f t="shared" si="22"/>
        <v>972</v>
      </c>
      <c r="J309" s="303">
        <v>0</v>
      </c>
      <c r="K309" s="303">
        <v>136</v>
      </c>
      <c r="L309" s="303">
        <v>76</v>
      </c>
      <c r="M309" s="303">
        <v>272</v>
      </c>
      <c r="N309" s="386">
        <f>M309*1.33333</f>
        <v>362.66576</v>
      </c>
      <c r="O309" s="192">
        <f t="shared" si="20"/>
        <v>2040</v>
      </c>
      <c r="P309" s="30">
        <v>17</v>
      </c>
      <c r="Q309" s="28">
        <v>0</v>
      </c>
      <c r="R309" s="28">
        <v>0</v>
      </c>
      <c r="S309" s="280"/>
    </row>
    <row r="310" spans="1:19" ht="12.75">
      <c r="A310" s="28">
        <v>973</v>
      </c>
      <c r="B310" s="29" t="s">
        <v>268</v>
      </c>
      <c r="C310" s="28">
        <v>1592</v>
      </c>
      <c r="D310" s="379">
        <v>89</v>
      </c>
      <c r="E310" s="144">
        <v>89</v>
      </c>
      <c r="F310" s="193">
        <f>IF(C310&lt;972,E310+44,E310)</f>
        <v>89</v>
      </c>
      <c r="G310" s="193">
        <v>89</v>
      </c>
      <c r="H310" s="193">
        <v>89</v>
      </c>
      <c r="I310" s="359">
        <f t="shared" si="22"/>
        <v>973</v>
      </c>
      <c r="J310" s="303">
        <v>0</v>
      </c>
      <c r="K310" s="303">
        <v>0</v>
      </c>
      <c r="L310" s="303">
        <v>89</v>
      </c>
      <c r="M310" s="303">
        <v>233</v>
      </c>
      <c r="N310" s="386">
        <f>M310*1.33333</f>
        <v>310.66589</v>
      </c>
      <c r="O310" s="192">
        <f t="shared" si="20"/>
        <v>1914</v>
      </c>
      <c r="P310" s="30">
        <v>17</v>
      </c>
      <c r="Q310" s="28">
        <v>0</v>
      </c>
      <c r="R310" s="28">
        <v>0</v>
      </c>
      <c r="S310" s="280"/>
    </row>
    <row r="311" spans="1:19" ht="12.75">
      <c r="A311" s="28">
        <v>974</v>
      </c>
      <c r="B311" s="29" t="s">
        <v>269</v>
      </c>
      <c r="C311" s="28">
        <v>1500</v>
      </c>
      <c r="D311" s="379">
        <v>101</v>
      </c>
      <c r="E311" s="144">
        <v>101</v>
      </c>
      <c r="F311" s="193">
        <f>IF(C311&lt;972,E311+44,E311)</f>
        <v>101</v>
      </c>
      <c r="G311" s="193">
        <v>101</v>
      </c>
      <c r="H311" s="193">
        <v>101</v>
      </c>
      <c r="I311" s="359">
        <f t="shared" si="22"/>
        <v>974</v>
      </c>
      <c r="J311" s="303">
        <v>0</v>
      </c>
      <c r="K311" s="303">
        <v>0</v>
      </c>
      <c r="L311" s="303">
        <v>101</v>
      </c>
      <c r="M311" s="303">
        <v>0</v>
      </c>
      <c r="N311" s="386">
        <f t="shared" si="21"/>
        <v>0</v>
      </c>
      <c r="O311" s="192">
        <f t="shared" si="20"/>
        <v>1601</v>
      </c>
      <c r="P311" s="30">
        <v>150</v>
      </c>
      <c r="Q311" s="28">
        <v>0</v>
      </c>
      <c r="R311" s="28">
        <v>0</v>
      </c>
      <c r="S311" s="280"/>
    </row>
    <row r="312" spans="1:19" ht="12.75">
      <c r="A312" s="28">
        <v>975</v>
      </c>
      <c r="B312" s="29" t="s">
        <v>270</v>
      </c>
      <c r="C312" s="28">
        <v>971</v>
      </c>
      <c r="D312" s="379">
        <v>170</v>
      </c>
      <c r="E312" s="365">
        <v>216</v>
      </c>
      <c r="F312" s="193">
        <v>261</v>
      </c>
      <c r="G312" s="303">
        <v>327</v>
      </c>
      <c r="H312" s="303">
        <v>350</v>
      </c>
      <c r="I312" s="359">
        <f t="shared" si="22"/>
        <v>975</v>
      </c>
      <c r="J312" s="303">
        <v>0</v>
      </c>
      <c r="K312" s="303">
        <v>0</v>
      </c>
      <c r="L312" s="303">
        <v>414.7</v>
      </c>
      <c r="M312" s="303">
        <v>0</v>
      </c>
      <c r="N312" s="386">
        <f t="shared" si="21"/>
        <v>0</v>
      </c>
      <c r="O312" s="192">
        <f t="shared" si="20"/>
        <v>1298</v>
      </c>
      <c r="P312" s="30">
        <v>0</v>
      </c>
      <c r="Q312" s="28">
        <v>0</v>
      </c>
      <c r="R312" s="28">
        <v>0</v>
      </c>
      <c r="S312" s="280"/>
    </row>
    <row r="313" spans="1:19" ht="12.75">
      <c r="A313" s="28">
        <v>976</v>
      </c>
      <c r="B313" s="29" t="s">
        <v>271</v>
      </c>
      <c r="C313" s="28">
        <v>971</v>
      </c>
      <c r="D313" s="379">
        <v>170</v>
      </c>
      <c r="E313" s="365">
        <v>216</v>
      </c>
      <c r="F313" s="193">
        <v>261</v>
      </c>
      <c r="G313" s="303">
        <v>327</v>
      </c>
      <c r="H313" s="303">
        <v>350</v>
      </c>
      <c r="I313" s="359">
        <f t="shared" si="22"/>
        <v>976</v>
      </c>
      <c r="J313" s="303">
        <v>0</v>
      </c>
      <c r="K313" s="303">
        <v>0</v>
      </c>
      <c r="L313" s="303">
        <v>414.7</v>
      </c>
      <c r="M313" s="303">
        <v>0</v>
      </c>
      <c r="N313" s="386">
        <f t="shared" si="21"/>
        <v>0</v>
      </c>
      <c r="O313" s="192">
        <f t="shared" si="20"/>
        <v>1298</v>
      </c>
      <c r="P313" s="30">
        <v>0</v>
      </c>
      <c r="Q313" s="28">
        <v>0</v>
      </c>
      <c r="R313" s="28">
        <v>0</v>
      </c>
      <c r="S313" s="280"/>
    </row>
    <row r="314" spans="1:19" ht="12.75">
      <c r="A314" s="28">
        <v>977</v>
      </c>
      <c r="B314" s="29" t="s">
        <v>272</v>
      </c>
      <c r="C314" s="28">
        <v>971</v>
      </c>
      <c r="D314" s="379">
        <v>170</v>
      </c>
      <c r="E314" s="365">
        <v>216</v>
      </c>
      <c r="F314" s="193">
        <v>261</v>
      </c>
      <c r="G314" s="303">
        <v>327</v>
      </c>
      <c r="H314" s="303">
        <v>350</v>
      </c>
      <c r="I314" s="359">
        <f t="shared" si="22"/>
        <v>977</v>
      </c>
      <c r="J314" s="303">
        <v>0</v>
      </c>
      <c r="K314" s="303">
        <v>0</v>
      </c>
      <c r="L314" s="303">
        <v>414.7</v>
      </c>
      <c r="M314" s="303">
        <v>0</v>
      </c>
      <c r="N314" s="386">
        <f t="shared" si="21"/>
        <v>0</v>
      </c>
      <c r="O314" s="192">
        <f t="shared" si="20"/>
        <v>1298</v>
      </c>
      <c r="P314" s="30">
        <v>0</v>
      </c>
      <c r="Q314" s="28">
        <v>0</v>
      </c>
      <c r="R314" s="28">
        <v>0</v>
      </c>
      <c r="S314" s="280"/>
    </row>
    <row r="315" spans="1:19" ht="12.75">
      <c r="A315" s="28">
        <v>978</v>
      </c>
      <c r="B315" s="29" t="s">
        <v>273</v>
      </c>
      <c r="C315" s="28">
        <v>1840</v>
      </c>
      <c r="D315" s="379">
        <v>57</v>
      </c>
      <c r="E315" s="144">
        <v>57</v>
      </c>
      <c r="F315" s="193">
        <f>IF(C315&lt;972,E315+44,E315)</f>
        <v>57</v>
      </c>
      <c r="G315" s="193">
        <v>57</v>
      </c>
      <c r="H315" s="193">
        <v>57</v>
      </c>
      <c r="I315" s="359">
        <f t="shared" si="22"/>
        <v>978</v>
      </c>
      <c r="J315" s="303">
        <v>0</v>
      </c>
      <c r="K315" s="303">
        <v>194</v>
      </c>
      <c r="L315" s="303">
        <v>57</v>
      </c>
      <c r="M315" s="303">
        <v>388</v>
      </c>
      <c r="N315" s="386">
        <f>M315*1.33333</f>
        <v>517.33204</v>
      </c>
      <c r="O315" s="192">
        <f t="shared" si="20"/>
        <v>2285</v>
      </c>
      <c r="P315" s="30">
        <v>0</v>
      </c>
      <c r="Q315" s="28">
        <v>0</v>
      </c>
      <c r="R315" s="28">
        <v>0</v>
      </c>
      <c r="S315" s="280"/>
    </row>
    <row r="316" spans="1:19" ht="12.75">
      <c r="A316" s="28">
        <v>979</v>
      </c>
      <c r="B316" s="29" t="s">
        <v>458</v>
      </c>
      <c r="C316" s="28">
        <v>1400</v>
      </c>
      <c r="D316" s="379">
        <v>70</v>
      </c>
      <c r="E316" s="144">
        <v>70</v>
      </c>
      <c r="F316" s="193">
        <f>IF(C316&lt;972,E316+44,E316)</f>
        <v>70</v>
      </c>
      <c r="G316" s="193">
        <v>70</v>
      </c>
      <c r="H316" s="193">
        <v>70</v>
      </c>
      <c r="I316" s="359">
        <f t="shared" si="22"/>
        <v>979</v>
      </c>
      <c r="J316" s="303">
        <v>0</v>
      </c>
      <c r="K316" s="303">
        <v>0</v>
      </c>
      <c r="L316" s="303">
        <v>70</v>
      </c>
      <c r="M316" s="303">
        <v>233</v>
      </c>
      <c r="N316" s="386">
        <f>M316*1.33333</f>
        <v>310.66589</v>
      </c>
      <c r="O316" s="192">
        <f t="shared" si="20"/>
        <v>1703</v>
      </c>
      <c r="P316" s="30">
        <v>0</v>
      </c>
      <c r="Q316" s="28">
        <v>0</v>
      </c>
      <c r="R316" s="28">
        <v>0</v>
      </c>
      <c r="S316" s="280"/>
    </row>
    <row r="317" spans="1:19" ht="12.75">
      <c r="A317" s="28">
        <v>980</v>
      </c>
      <c r="B317" s="29" t="s">
        <v>459</v>
      </c>
      <c r="C317" s="28">
        <v>1300</v>
      </c>
      <c r="D317" s="379">
        <v>222</v>
      </c>
      <c r="E317" s="144">
        <v>216</v>
      </c>
      <c r="F317" s="193">
        <v>261</v>
      </c>
      <c r="G317" s="193">
        <v>127</v>
      </c>
      <c r="H317" s="193">
        <v>127</v>
      </c>
      <c r="I317" s="359">
        <f t="shared" si="22"/>
        <v>980</v>
      </c>
      <c r="J317" s="303">
        <v>0</v>
      </c>
      <c r="K317" s="303">
        <v>0</v>
      </c>
      <c r="L317" s="303">
        <v>127</v>
      </c>
      <c r="M317" s="303">
        <v>233</v>
      </c>
      <c r="N317" s="386">
        <f>M317*1.33333</f>
        <v>310.66589</v>
      </c>
      <c r="O317" s="192">
        <f t="shared" si="20"/>
        <v>1660</v>
      </c>
      <c r="P317" s="30">
        <v>0</v>
      </c>
      <c r="Q317" s="28">
        <v>0</v>
      </c>
      <c r="R317" s="28">
        <v>0</v>
      </c>
      <c r="S317" s="280"/>
    </row>
    <row r="318" spans="1:19" ht="12.75">
      <c r="A318" s="28">
        <v>981</v>
      </c>
      <c r="B318" s="29" t="s">
        <v>460</v>
      </c>
      <c r="C318" s="28">
        <v>1250</v>
      </c>
      <c r="D318" s="379">
        <v>64</v>
      </c>
      <c r="E318" s="144">
        <v>64</v>
      </c>
      <c r="F318" s="193">
        <f>IF(C318&lt;972,E318+44,E318)</f>
        <v>64</v>
      </c>
      <c r="G318" s="193">
        <v>134</v>
      </c>
      <c r="H318" s="193">
        <v>134</v>
      </c>
      <c r="I318" s="359">
        <f t="shared" si="22"/>
        <v>981</v>
      </c>
      <c r="J318" s="303">
        <v>0</v>
      </c>
      <c r="K318" s="303">
        <v>194</v>
      </c>
      <c r="L318" s="303">
        <v>134</v>
      </c>
      <c r="M318" s="303">
        <v>233</v>
      </c>
      <c r="N318" s="386">
        <f>M318*1.33333</f>
        <v>310.66589</v>
      </c>
      <c r="O318" s="192">
        <f t="shared" si="20"/>
        <v>1617</v>
      </c>
      <c r="P318" s="30">
        <v>0</v>
      </c>
      <c r="Q318" s="28">
        <v>0</v>
      </c>
      <c r="R318" s="28">
        <v>0</v>
      </c>
      <c r="S318" s="280"/>
    </row>
    <row r="319" spans="1:19" ht="12.75">
      <c r="A319" s="28">
        <v>982</v>
      </c>
      <c r="B319" s="29" t="s">
        <v>274</v>
      </c>
      <c r="C319" s="28">
        <v>1740</v>
      </c>
      <c r="D319" s="379">
        <v>70</v>
      </c>
      <c r="E319" s="144">
        <v>70</v>
      </c>
      <c r="F319" s="193">
        <f>IF(C319&lt;972,E319+44,E319)</f>
        <v>70</v>
      </c>
      <c r="G319" s="193">
        <v>70</v>
      </c>
      <c r="H319" s="193">
        <v>70</v>
      </c>
      <c r="I319" s="359">
        <f t="shared" si="22"/>
        <v>982</v>
      </c>
      <c r="J319" s="303">
        <v>0</v>
      </c>
      <c r="K319" s="303">
        <v>155</v>
      </c>
      <c r="L319" s="303">
        <v>70</v>
      </c>
      <c r="M319" s="303">
        <v>310</v>
      </c>
      <c r="N319" s="386">
        <f>M319*1.33333</f>
        <v>413.3323</v>
      </c>
      <c r="O319" s="192">
        <f t="shared" si="20"/>
        <v>2120</v>
      </c>
      <c r="P319" s="30">
        <v>0</v>
      </c>
      <c r="Q319" s="28">
        <v>0</v>
      </c>
      <c r="R319" s="28">
        <v>0</v>
      </c>
      <c r="S319" s="280"/>
    </row>
    <row r="320" spans="1:19" ht="12.75">
      <c r="A320" s="28">
        <v>983</v>
      </c>
      <c r="B320" s="29" t="s">
        <v>275</v>
      </c>
      <c r="C320" s="28">
        <v>1170</v>
      </c>
      <c r="D320" s="379">
        <v>144</v>
      </c>
      <c r="E320" s="144">
        <v>144</v>
      </c>
      <c r="F320" s="193">
        <f>IF(C320&lt;972,E320+44,E320)</f>
        <v>144</v>
      </c>
      <c r="G320" s="193">
        <v>144</v>
      </c>
      <c r="H320" s="193">
        <v>144</v>
      </c>
      <c r="I320" s="359">
        <f t="shared" si="22"/>
        <v>983</v>
      </c>
      <c r="J320" s="303">
        <v>0</v>
      </c>
      <c r="K320" s="303">
        <v>0</v>
      </c>
      <c r="L320" s="303">
        <v>144</v>
      </c>
      <c r="M320" s="303">
        <v>0</v>
      </c>
      <c r="N320" s="386">
        <f t="shared" si="21"/>
        <v>0</v>
      </c>
      <c r="O320" s="192">
        <f t="shared" si="20"/>
        <v>1314</v>
      </c>
      <c r="P320" s="30">
        <v>0</v>
      </c>
      <c r="Q320" s="28">
        <v>0</v>
      </c>
      <c r="R320" s="28">
        <v>0</v>
      </c>
      <c r="S320" s="280"/>
    </row>
    <row r="321" spans="1:19" ht="12.75">
      <c r="A321" s="28">
        <v>984</v>
      </c>
      <c r="B321" s="29" t="s">
        <v>276</v>
      </c>
      <c r="C321" s="28">
        <v>690</v>
      </c>
      <c r="D321" s="379">
        <v>207</v>
      </c>
      <c r="E321" s="365">
        <v>216</v>
      </c>
      <c r="F321" s="193">
        <v>261</v>
      </c>
      <c r="G321" s="303">
        <v>327</v>
      </c>
      <c r="H321" s="303">
        <v>350</v>
      </c>
      <c r="I321" s="359">
        <f t="shared" si="22"/>
        <v>984</v>
      </c>
      <c r="J321" s="303">
        <v>0</v>
      </c>
      <c r="K321" s="303">
        <v>0</v>
      </c>
      <c r="L321" s="303">
        <v>414.7</v>
      </c>
      <c r="M321" s="303">
        <v>0</v>
      </c>
      <c r="N321" s="386">
        <f t="shared" si="21"/>
        <v>0</v>
      </c>
      <c r="O321" s="192">
        <f t="shared" si="20"/>
        <v>1017</v>
      </c>
      <c r="P321" s="30">
        <v>0</v>
      </c>
      <c r="Q321" s="28">
        <v>0</v>
      </c>
      <c r="R321" s="28">
        <v>0</v>
      </c>
      <c r="S321" s="280"/>
    </row>
    <row r="322" spans="1:19" ht="12.75">
      <c r="A322" s="28">
        <v>985</v>
      </c>
      <c r="B322" s="29" t="s">
        <v>277</v>
      </c>
      <c r="C322" s="28">
        <v>2913</v>
      </c>
      <c r="D322" s="379">
        <v>0</v>
      </c>
      <c r="E322" s="144">
        <v>0</v>
      </c>
      <c r="F322" s="193">
        <f>IF(C322&lt;972,E322+44,E322)</f>
        <v>0</v>
      </c>
      <c r="G322" s="193">
        <v>0</v>
      </c>
      <c r="H322" s="193">
        <v>0</v>
      </c>
      <c r="I322" s="359">
        <f t="shared" si="22"/>
        <v>985</v>
      </c>
      <c r="J322" s="303">
        <v>0</v>
      </c>
      <c r="K322" s="303">
        <v>0</v>
      </c>
      <c r="L322" s="303">
        <v>0</v>
      </c>
      <c r="M322" s="303">
        <v>0</v>
      </c>
      <c r="N322" s="386">
        <f t="shared" si="21"/>
        <v>0</v>
      </c>
      <c r="O322" s="192">
        <f t="shared" si="20"/>
        <v>2913</v>
      </c>
      <c r="P322" s="30">
        <v>0</v>
      </c>
      <c r="Q322" s="28">
        <v>0</v>
      </c>
      <c r="R322" s="28">
        <v>0</v>
      </c>
      <c r="S322" s="280"/>
    </row>
    <row r="323" spans="1:19" ht="12.75">
      <c r="A323" s="28">
        <v>986</v>
      </c>
      <c r="B323" s="29" t="s">
        <v>278</v>
      </c>
      <c r="C323" s="28">
        <v>644</v>
      </c>
      <c r="D323" s="379">
        <v>213</v>
      </c>
      <c r="E323" s="365">
        <v>216</v>
      </c>
      <c r="F323" s="193">
        <v>261</v>
      </c>
      <c r="G323" s="303">
        <v>327</v>
      </c>
      <c r="H323" s="303">
        <v>350</v>
      </c>
      <c r="I323" s="359">
        <f t="shared" si="22"/>
        <v>986</v>
      </c>
      <c r="J323" s="303">
        <v>0</v>
      </c>
      <c r="K323" s="303">
        <v>0</v>
      </c>
      <c r="L323" s="303">
        <v>414.7</v>
      </c>
      <c r="M323" s="303">
        <v>0</v>
      </c>
      <c r="N323" s="386">
        <f t="shared" si="21"/>
        <v>0</v>
      </c>
      <c r="O323" s="192">
        <f t="shared" si="20"/>
        <v>971</v>
      </c>
      <c r="P323" s="30">
        <v>0</v>
      </c>
      <c r="Q323" s="28">
        <v>0</v>
      </c>
      <c r="R323" s="28">
        <v>0</v>
      </c>
      <c r="S323" s="280"/>
    </row>
    <row r="324" spans="1:19" ht="12.75">
      <c r="A324" s="28">
        <v>987</v>
      </c>
      <c r="B324" s="29" t="s">
        <v>134</v>
      </c>
      <c r="C324" s="28">
        <v>1170</v>
      </c>
      <c r="D324" s="379">
        <v>144</v>
      </c>
      <c r="E324" s="144">
        <v>144</v>
      </c>
      <c r="F324" s="193">
        <f aca="true" t="shared" si="25" ref="F324:F336">IF(C324&lt;972,E324+44,E324)</f>
        <v>144</v>
      </c>
      <c r="G324" s="193">
        <v>144</v>
      </c>
      <c r="H324" s="193">
        <v>144</v>
      </c>
      <c r="I324" s="359">
        <f t="shared" si="22"/>
        <v>987</v>
      </c>
      <c r="J324" s="303">
        <v>0</v>
      </c>
      <c r="K324" s="303">
        <v>0</v>
      </c>
      <c r="L324" s="303">
        <v>144</v>
      </c>
      <c r="M324" s="303">
        <v>0</v>
      </c>
      <c r="N324" s="386">
        <f t="shared" si="21"/>
        <v>0</v>
      </c>
      <c r="O324" s="192">
        <f aca="true" t="shared" si="26" ref="O324:O336">C324+G324+M324</f>
        <v>1314</v>
      </c>
      <c r="P324" s="30">
        <v>0</v>
      </c>
      <c r="Q324" s="28">
        <v>0</v>
      </c>
      <c r="R324" s="28">
        <v>0</v>
      </c>
      <c r="S324" s="280"/>
    </row>
    <row r="325" spans="1:19" ht="12.75">
      <c r="A325" s="28">
        <v>988</v>
      </c>
      <c r="B325" s="29" t="s">
        <v>279</v>
      </c>
      <c r="C325" s="28">
        <v>2600</v>
      </c>
      <c r="D325" s="379">
        <v>0</v>
      </c>
      <c r="E325" s="144">
        <v>0</v>
      </c>
      <c r="F325" s="193">
        <f t="shared" si="25"/>
        <v>0</v>
      </c>
      <c r="G325" s="193">
        <v>0</v>
      </c>
      <c r="H325" s="193">
        <v>0</v>
      </c>
      <c r="I325" s="359">
        <f t="shared" si="22"/>
        <v>988</v>
      </c>
      <c r="J325" s="303">
        <v>0</v>
      </c>
      <c r="K325" s="303">
        <v>0</v>
      </c>
      <c r="L325" s="303">
        <v>0</v>
      </c>
      <c r="M325" s="303">
        <v>0</v>
      </c>
      <c r="N325" s="386">
        <f aca="true" t="shared" si="27" ref="N325:N335">M325</f>
        <v>0</v>
      </c>
      <c r="O325" s="192">
        <f t="shared" si="26"/>
        <v>2600</v>
      </c>
      <c r="P325" s="30">
        <v>0</v>
      </c>
      <c r="Q325" s="28">
        <v>0</v>
      </c>
      <c r="R325" s="28">
        <v>0</v>
      </c>
      <c r="S325" s="280"/>
    </row>
    <row r="326" spans="1:19" ht="12.75">
      <c r="A326" s="28">
        <v>989</v>
      </c>
      <c r="B326" s="29" t="s">
        <v>280</v>
      </c>
      <c r="C326" s="28">
        <v>2840</v>
      </c>
      <c r="D326" s="379">
        <v>0</v>
      </c>
      <c r="E326" s="144">
        <v>0</v>
      </c>
      <c r="F326" s="193">
        <f t="shared" si="25"/>
        <v>0</v>
      </c>
      <c r="G326" s="193">
        <v>0</v>
      </c>
      <c r="H326" s="193">
        <v>0</v>
      </c>
      <c r="I326" s="359">
        <f t="shared" si="22"/>
        <v>989</v>
      </c>
      <c r="J326" s="303">
        <v>0</v>
      </c>
      <c r="K326" s="303">
        <v>0</v>
      </c>
      <c r="L326" s="303">
        <v>0</v>
      </c>
      <c r="M326" s="303">
        <v>0</v>
      </c>
      <c r="N326" s="386">
        <f t="shared" si="27"/>
        <v>0</v>
      </c>
      <c r="O326" s="192">
        <f t="shared" si="26"/>
        <v>2840</v>
      </c>
      <c r="P326" s="30">
        <v>0</v>
      </c>
      <c r="Q326" s="28">
        <v>0</v>
      </c>
      <c r="R326" s="28">
        <v>0</v>
      </c>
      <c r="S326" s="280"/>
    </row>
    <row r="327" spans="1:19" ht="12.75">
      <c r="A327" s="28">
        <v>990</v>
      </c>
      <c r="B327" s="29" t="s">
        <v>281</v>
      </c>
      <c r="C327" s="28">
        <v>2100</v>
      </c>
      <c r="D327" s="379">
        <v>23</v>
      </c>
      <c r="E327" s="144">
        <v>23</v>
      </c>
      <c r="F327" s="193">
        <f t="shared" si="25"/>
        <v>23</v>
      </c>
      <c r="G327" s="193">
        <v>23</v>
      </c>
      <c r="H327" s="193">
        <v>23</v>
      </c>
      <c r="I327" s="359">
        <f aca="true" t="shared" si="28" ref="I327:I336">A327</f>
        <v>990</v>
      </c>
      <c r="J327" s="303">
        <v>0</v>
      </c>
      <c r="K327" s="303">
        <v>0</v>
      </c>
      <c r="L327" s="303">
        <v>23</v>
      </c>
      <c r="M327" s="303">
        <v>0</v>
      </c>
      <c r="N327" s="386">
        <f t="shared" si="27"/>
        <v>0</v>
      </c>
      <c r="O327" s="192">
        <f t="shared" si="26"/>
        <v>2123</v>
      </c>
      <c r="P327" s="30">
        <v>0</v>
      </c>
      <c r="Q327" s="28">
        <v>0</v>
      </c>
      <c r="R327" s="28">
        <v>0</v>
      </c>
      <c r="S327" s="280"/>
    </row>
    <row r="328" spans="1:19" ht="12.75">
      <c r="A328" s="28">
        <v>991</v>
      </c>
      <c r="B328" s="29" t="s">
        <v>282</v>
      </c>
      <c r="C328" s="28">
        <v>1850</v>
      </c>
      <c r="D328" s="379">
        <v>55</v>
      </c>
      <c r="E328" s="144">
        <v>55</v>
      </c>
      <c r="F328" s="193">
        <f t="shared" si="25"/>
        <v>55</v>
      </c>
      <c r="G328" s="193">
        <v>55</v>
      </c>
      <c r="H328" s="193">
        <v>55</v>
      </c>
      <c r="I328" s="359">
        <f t="shared" si="28"/>
        <v>991</v>
      </c>
      <c r="J328" s="303">
        <v>0</v>
      </c>
      <c r="K328" s="303">
        <v>0</v>
      </c>
      <c r="L328" s="303">
        <v>55</v>
      </c>
      <c r="M328" s="303">
        <v>0</v>
      </c>
      <c r="N328" s="386">
        <f t="shared" si="27"/>
        <v>0</v>
      </c>
      <c r="O328" s="192">
        <f t="shared" si="26"/>
        <v>1905</v>
      </c>
      <c r="P328" s="30">
        <v>0</v>
      </c>
      <c r="Q328" s="28">
        <v>0</v>
      </c>
      <c r="R328" s="28">
        <v>0</v>
      </c>
      <c r="S328" s="280"/>
    </row>
    <row r="329" spans="1:19" ht="12.75">
      <c r="A329" s="28">
        <v>992</v>
      </c>
      <c r="B329" s="29" t="s">
        <v>454</v>
      </c>
      <c r="C329" s="28">
        <v>1500</v>
      </c>
      <c r="D329" s="379">
        <v>0</v>
      </c>
      <c r="E329" s="144">
        <v>0</v>
      </c>
      <c r="F329" s="193">
        <f t="shared" si="25"/>
        <v>0</v>
      </c>
      <c r="G329" s="193">
        <v>0</v>
      </c>
      <c r="H329" s="193">
        <v>0</v>
      </c>
      <c r="I329" s="359">
        <f t="shared" si="28"/>
        <v>992</v>
      </c>
      <c r="J329" s="303">
        <v>0</v>
      </c>
      <c r="K329" s="303">
        <v>0</v>
      </c>
      <c r="L329" s="303">
        <v>0</v>
      </c>
      <c r="M329" s="303">
        <v>233</v>
      </c>
      <c r="N329" s="386">
        <f>M329*1.33333</f>
        <v>310.66589</v>
      </c>
      <c r="O329" s="192">
        <f t="shared" si="26"/>
        <v>1733</v>
      </c>
      <c r="P329" s="30">
        <v>0</v>
      </c>
      <c r="Q329" s="28">
        <v>0</v>
      </c>
      <c r="R329" s="28">
        <v>0</v>
      </c>
      <c r="S329" s="280"/>
    </row>
    <row r="330" spans="1:19" ht="12.75">
      <c r="A330" s="28">
        <v>993</v>
      </c>
      <c r="B330" s="29" t="s">
        <v>283</v>
      </c>
      <c r="C330" s="28">
        <v>2913</v>
      </c>
      <c r="D330" s="379">
        <v>0</v>
      </c>
      <c r="E330" s="144">
        <v>0</v>
      </c>
      <c r="F330" s="193">
        <f t="shared" si="25"/>
        <v>0</v>
      </c>
      <c r="G330" s="193">
        <v>0</v>
      </c>
      <c r="H330" s="193">
        <v>0</v>
      </c>
      <c r="I330" s="359">
        <f t="shared" si="28"/>
        <v>993</v>
      </c>
      <c r="J330" s="303">
        <v>0</v>
      </c>
      <c r="K330" s="303">
        <v>0</v>
      </c>
      <c r="L330" s="303">
        <v>0</v>
      </c>
      <c r="M330" s="303">
        <v>0</v>
      </c>
      <c r="N330" s="386">
        <f t="shared" si="27"/>
        <v>0</v>
      </c>
      <c r="O330" s="192">
        <f t="shared" si="26"/>
        <v>2913</v>
      </c>
      <c r="P330" s="30">
        <v>0</v>
      </c>
      <c r="Q330" s="28">
        <v>0</v>
      </c>
      <c r="R330" s="28">
        <v>0</v>
      </c>
      <c r="S330" s="280"/>
    </row>
    <row r="331" spans="1:19" ht="14.25">
      <c r="A331" s="28">
        <v>994</v>
      </c>
      <c r="B331" s="29" t="s">
        <v>284</v>
      </c>
      <c r="C331" s="28">
        <v>1580</v>
      </c>
      <c r="D331" s="379">
        <v>90</v>
      </c>
      <c r="E331" s="144">
        <v>90</v>
      </c>
      <c r="F331" s="193">
        <f t="shared" si="25"/>
        <v>90</v>
      </c>
      <c r="G331" s="193">
        <v>90</v>
      </c>
      <c r="H331" s="193">
        <v>90</v>
      </c>
      <c r="I331" s="359">
        <f t="shared" si="28"/>
        <v>994</v>
      </c>
      <c r="J331" s="303">
        <v>0</v>
      </c>
      <c r="K331" s="303">
        <v>0</v>
      </c>
      <c r="L331" s="303">
        <v>90</v>
      </c>
      <c r="M331" s="363">
        <v>347.6</v>
      </c>
      <c r="N331" s="386">
        <f t="shared" si="27"/>
        <v>347.6</v>
      </c>
      <c r="O331" s="192">
        <f t="shared" si="26"/>
        <v>2017.6</v>
      </c>
      <c r="P331" s="30">
        <v>0</v>
      </c>
      <c r="Q331" s="28">
        <v>0</v>
      </c>
      <c r="R331" s="28">
        <v>0</v>
      </c>
      <c r="S331" s="280"/>
    </row>
    <row r="332" spans="1:19" ht="12.75">
      <c r="A332" s="28">
        <v>995</v>
      </c>
      <c r="B332" s="29" t="s">
        <v>285</v>
      </c>
      <c r="C332" s="28">
        <v>1564</v>
      </c>
      <c r="D332" s="379">
        <v>93</v>
      </c>
      <c r="E332" s="144">
        <v>93</v>
      </c>
      <c r="F332" s="193">
        <f t="shared" si="25"/>
        <v>93</v>
      </c>
      <c r="G332" s="193">
        <v>93</v>
      </c>
      <c r="H332" s="193">
        <v>93</v>
      </c>
      <c r="I332" s="359">
        <f t="shared" si="28"/>
        <v>995</v>
      </c>
      <c r="J332" s="303">
        <v>0</v>
      </c>
      <c r="K332" s="303">
        <v>0</v>
      </c>
      <c r="L332" s="303">
        <v>93</v>
      </c>
      <c r="M332" s="303">
        <v>0</v>
      </c>
      <c r="N332" s="386">
        <f t="shared" si="27"/>
        <v>0</v>
      </c>
      <c r="O332" s="192">
        <f t="shared" si="26"/>
        <v>1657</v>
      </c>
      <c r="P332" s="30">
        <v>0</v>
      </c>
      <c r="Q332" s="28">
        <v>0</v>
      </c>
      <c r="R332" s="28">
        <v>0</v>
      </c>
      <c r="S332" s="280"/>
    </row>
    <row r="333" spans="1:19" ht="12.75">
      <c r="A333" s="28">
        <v>996</v>
      </c>
      <c r="B333" s="29" t="s">
        <v>51</v>
      </c>
      <c r="C333" s="28">
        <v>1480</v>
      </c>
      <c r="D333" s="379">
        <v>104</v>
      </c>
      <c r="E333" s="144">
        <v>104</v>
      </c>
      <c r="F333" s="193">
        <f t="shared" si="25"/>
        <v>104</v>
      </c>
      <c r="G333" s="193">
        <v>104</v>
      </c>
      <c r="H333" s="193">
        <v>104</v>
      </c>
      <c r="I333" s="359">
        <f t="shared" si="28"/>
        <v>996</v>
      </c>
      <c r="J333" s="303">
        <v>0</v>
      </c>
      <c r="K333" s="303">
        <v>0</v>
      </c>
      <c r="L333" s="303">
        <v>104</v>
      </c>
      <c r="M333" s="303">
        <v>0</v>
      </c>
      <c r="N333" s="386">
        <f t="shared" si="27"/>
        <v>0</v>
      </c>
      <c r="O333" s="192">
        <f t="shared" si="26"/>
        <v>1584</v>
      </c>
      <c r="P333" s="30">
        <v>0</v>
      </c>
      <c r="Q333" s="28">
        <v>0</v>
      </c>
      <c r="R333" s="28">
        <v>0</v>
      </c>
      <c r="S333" s="280"/>
    </row>
    <row r="334" spans="1:19" ht="12.75">
      <c r="A334" s="28">
        <v>997</v>
      </c>
      <c r="B334" s="29" t="s">
        <v>286</v>
      </c>
      <c r="C334" s="28">
        <v>1564</v>
      </c>
      <c r="D334" s="379">
        <v>93</v>
      </c>
      <c r="E334" s="144">
        <v>93</v>
      </c>
      <c r="F334" s="193">
        <f t="shared" si="25"/>
        <v>93</v>
      </c>
      <c r="G334" s="193">
        <v>93</v>
      </c>
      <c r="H334" s="193">
        <v>93</v>
      </c>
      <c r="I334" s="359">
        <f t="shared" si="28"/>
        <v>997</v>
      </c>
      <c r="J334" s="303">
        <v>0</v>
      </c>
      <c r="K334" s="303">
        <v>0</v>
      </c>
      <c r="L334" s="303">
        <v>93</v>
      </c>
      <c r="M334" s="303">
        <v>0</v>
      </c>
      <c r="N334" s="386">
        <f t="shared" si="27"/>
        <v>0</v>
      </c>
      <c r="O334" s="192">
        <f t="shared" si="26"/>
        <v>1657</v>
      </c>
      <c r="P334" s="30">
        <v>0</v>
      </c>
      <c r="Q334" s="28">
        <v>0</v>
      </c>
      <c r="R334" s="28">
        <v>0</v>
      </c>
      <c r="S334" s="280"/>
    </row>
    <row r="335" spans="1:19" ht="12.75">
      <c r="A335" s="28">
        <v>998</v>
      </c>
      <c r="B335" s="29" t="s">
        <v>287</v>
      </c>
      <c r="C335" s="28">
        <v>2220</v>
      </c>
      <c r="D335" s="379">
        <v>7</v>
      </c>
      <c r="E335" s="144">
        <v>7</v>
      </c>
      <c r="F335" s="193">
        <f t="shared" si="25"/>
        <v>7</v>
      </c>
      <c r="G335" s="193">
        <v>7</v>
      </c>
      <c r="H335" s="193">
        <v>7</v>
      </c>
      <c r="I335" s="359">
        <f t="shared" si="28"/>
        <v>998</v>
      </c>
      <c r="J335" s="303">
        <v>0</v>
      </c>
      <c r="K335" s="303">
        <v>0</v>
      </c>
      <c r="L335" s="303">
        <v>7</v>
      </c>
      <c r="M335" s="303">
        <v>0</v>
      </c>
      <c r="N335" s="386">
        <f t="shared" si="27"/>
        <v>0</v>
      </c>
      <c r="O335" s="192">
        <f t="shared" si="26"/>
        <v>2227</v>
      </c>
      <c r="P335" s="30">
        <v>0</v>
      </c>
      <c r="Q335" s="28">
        <v>0</v>
      </c>
      <c r="R335" s="28">
        <v>0</v>
      </c>
      <c r="S335" s="280"/>
    </row>
    <row r="336" spans="1:19" ht="13.5" thickBot="1">
      <c r="A336" s="28">
        <v>999</v>
      </c>
      <c r="B336" s="29" t="s">
        <v>456</v>
      </c>
      <c r="C336" s="28">
        <v>1250</v>
      </c>
      <c r="D336" s="379">
        <v>0</v>
      </c>
      <c r="E336" s="144">
        <v>0</v>
      </c>
      <c r="F336" s="193">
        <f t="shared" si="25"/>
        <v>0</v>
      </c>
      <c r="G336" s="193">
        <v>134</v>
      </c>
      <c r="H336" s="193">
        <v>134</v>
      </c>
      <c r="I336" s="359">
        <f t="shared" si="28"/>
        <v>999</v>
      </c>
      <c r="J336" s="303">
        <v>0</v>
      </c>
      <c r="K336" s="303">
        <v>0</v>
      </c>
      <c r="L336" s="303">
        <v>134</v>
      </c>
      <c r="M336" s="303">
        <v>233</v>
      </c>
      <c r="N336" s="386">
        <f>M336*1.33333</f>
        <v>310.66589</v>
      </c>
      <c r="O336" s="192">
        <f t="shared" si="26"/>
        <v>1617</v>
      </c>
      <c r="P336" s="40">
        <v>0</v>
      </c>
      <c r="Q336" s="41">
        <v>0</v>
      </c>
      <c r="R336" s="41">
        <v>0</v>
      </c>
      <c r="S336" s="280"/>
    </row>
    <row r="337" ht="12.75">
      <c r="D337" s="379"/>
    </row>
    <row r="345" ht="12.75">
      <c r="C345">
        <f>45*13+8.4*6+9*3</f>
        <v>662.4</v>
      </c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36"/>
  <sheetViews>
    <sheetView showGridLines="0" zoomScale="85" zoomScaleNormal="85" zoomScalePageLayoutView="0" workbookViewId="0" topLeftCell="A1">
      <selection activeCell="I17" sqref="I17"/>
    </sheetView>
  </sheetViews>
  <sheetFormatPr defaultColWidth="11.421875" defaultRowHeight="12.75"/>
  <cols>
    <col min="1" max="1" width="3.7109375" style="0" customWidth="1"/>
    <col min="3" max="3" width="12.00390625" style="0" customWidth="1"/>
    <col min="4" max="4" width="30.7109375" style="0" customWidth="1"/>
    <col min="5" max="5" width="19.421875" style="0" customWidth="1"/>
    <col min="6" max="6" width="13.00390625" style="0" customWidth="1"/>
    <col min="7" max="7" width="8.57421875" style="0" customWidth="1"/>
    <col min="8" max="8" width="9.28125" style="0" customWidth="1"/>
  </cols>
  <sheetData>
    <row r="2" spans="2:8" ht="12.75">
      <c r="B2" s="222" t="s">
        <v>17</v>
      </c>
      <c r="C2" s="222" t="s">
        <v>291</v>
      </c>
      <c r="D2" s="222" t="s">
        <v>290</v>
      </c>
      <c r="E2" s="222" t="s">
        <v>288</v>
      </c>
      <c r="F2" s="222" t="s">
        <v>289</v>
      </c>
      <c r="G2" s="223" t="s">
        <v>369</v>
      </c>
      <c r="H2" s="223" t="s">
        <v>379</v>
      </c>
    </row>
    <row r="3" spans="2:8" ht="12.75">
      <c r="B3" s="224">
        <f>'recibo de sueldo'!A97</f>
        <v>749</v>
      </c>
      <c r="C3" s="224">
        <f>'recibo de sueldo'!B97</f>
        <v>971</v>
      </c>
      <c r="D3" s="224">
        <f>'recibo de sueldo'!C97</f>
        <v>0</v>
      </c>
      <c r="E3" s="224">
        <f>'recibo de sueldo'!D97</f>
        <v>0</v>
      </c>
      <c r="F3" s="224">
        <f>'recibo de sueldo'!E97</f>
        <v>0</v>
      </c>
      <c r="G3" s="224" t="e">
        <f>'recibo de sueldo'!#REF!</f>
        <v>#REF!</v>
      </c>
      <c r="H3" s="224" t="e">
        <f>'recibo de sueldo'!#REF!</f>
        <v>#REF!</v>
      </c>
    </row>
    <row r="4" spans="2:8" ht="12.75">
      <c r="B4" s="225" t="s">
        <v>345</v>
      </c>
      <c r="C4" s="218"/>
      <c r="D4" s="219" t="str">
        <f>LOOKUP(B3,numcargo,nombrecargo)</f>
        <v> MAESTRO DE GRADO</v>
      </c>
      <c r="E4" s="220"/>
      <c r="F4" s="220"/>
      <c r="G4" s="220"/>
      <c r="H4" s="221"/>
    </row>
    <row r="5" ht="13.5" thickBot="1"/>
    <row r="6" spans="4:6" ht="16.5" thickBot="1">
      <c r="D6" s="93" t="s">
        <v>319</v>
      </c>
      <c r="E6" s="42"/>
      <c r="F6" s="214">
        <f>'recibo de sueldo'!D102</f>
        <v>0</v>
      </c>
    </row>
    <row r="7" spans="4:6" ht="15.75">
      <c r="D7" s="5"/>
      <c r="E7" s="5" t="s">
        <v>384</v>
      </c>
      <c r="F7" s="66">
        <f>porantigcargo</f>
        <v>0</v>
      </c>
    </row>
    <row r="9" spans="2:6" ht="16.5" thickBot="1">
      <c r="B9" s="3"/>
      <c r="C9" s="176" t="s">
        <v>383</v>
      </c>
      <c r="D9" s="10"/>
      <c r="E9" s="209"/>
      <c r="F9" s="7"/>
    </row>
    <row r="10" spans="2:6" ht="13.5" thickBot="1">
      <c r="B10" s="81" t="s">
        <v>349</v>
      </c>
      <c r="C10" s="124" t="s">
        <v>348</v>
      </c>
      <c r="D10" s="124" t="s">
        <v>320</v>
      </c>
      <c r="E10" s="124" t="s">
        <v>321</v>
      </c>
      <c r="F10" s="125" t="s">
        <v>322</v>
      </c>
    </row>
    <row r="11" spans="2:6" ht="12.75">
      <c r="B11" s="122" t="s">
        <v>297</v>
      </c>
      <c r="C11" s="108"/>
      <c r="D11" s="123" t="s">
        <v>298</v>
      </c>
      <c r="E11" s="203" t="e">
        <f>'recibo de sueldo'!#REF!</f>
        <v>#REF!</v>
      </c>
      <c r="F11" s="75"/>
    </row>
    <row r="12" spans="2:6" ht="12.75">
      <c r="B12" s="122" t="s">
        <v>371</v>
      </c>
      <c r="C12" s="108"/>
      <c r="D12" s="123" t="s">
        <v>368</v>
      </c>
      <c r="E12" s="203" t="e">
        <f>'recibo de sueldo'!#REF!</f>
        <v>#REF!</v>
      </c>
      <c r="F12" s="75"/>
    </row>
    <row r="13" spans="2:6" ht="12.75">
      <c r="B13" s="204" t="s">
        <v>380</v>
      </c>
      <c r="C13" s="87"/>
      <c r="D13" s="205" t="s">
        <v>378</v>
      </c>
      <c r="E13" s="203" t="e">
        <f>'recibo de sueldo'!#REF!</f>
        <v>#REF!</v>
      </c>
      <c r="F13" s="75"/>
    </row>
    <row r="14" spans="2:6" ht="12.75">
      <c r="B14" s="44" t="s">
        <v>301</v>
      </c>
      <c r="C14" s="43"/>
      <c r="D14" s="72" t="s">
        <v>328</v>
      </c>
      <c r="E14" s="203" t="e">
        <f>'recibo de sueldo'!#REF!</f>
        <v>#REF!</v>
      </c>
      <c r="F14" s="47"/>
    </row>
    <row r="15" spans="2:6" ht="12.75">
      <c r="B15" s="73" t="s">
        <v>296</v>
      </c>
      <c r="C15" s="74">
        <f>porantigcargo</f>
        <v>0</v>
      </c>
      <c r="D15" s="48" t="s">
        <v>0</v>
      </c>
      <c r="E15" s="203" t="e">
        <f>'recibo de sueldo'!#REF!</f>
        <v>#REF!</v>
      </c>
      <c r="F15" s="75"/>
    </row>
    <row r="16" spans="2:6" ht="12.75">
      <c r="B16" s="44" t="s">
        <v>302</v>
      </c>
      <c r="C16" s="43"/>
      <c r="D16" s="72" t="s">
        <v>329</v>
      </c>
      <c r="E16" s="203" t="e">
        <f>'recibo de sueldo'!#REF!</f>
        <v>#REF!</v>
      </c>
      <c r="F16" s="47"/>
    </row>
    <row r="17" spans="2:6" ht="12.75">
      <c r="B17" s="76" t="s">
        <v>299</v>
      </c>
      <c r="C17" s="48">
        <v>0.07</v>
      </c>
      <c r="D17" s="48" t="s">
        <v>330</v>
      </c>
      <c r="E17" s="203" t="e">
        <f>'recibo de sueldo'!#REF!</f>
        <v>#REF!</v>
      </c>
      <c r="F17" s="75"/>
    </row>
    <row r="18" spans="2:6" ht="12.75">
      <c r="B18" s="70" t="s">
        <v>295</v>
      </c>
      <c r="C18" s="71"/>
      <c r="D18" s="72" t="s">
        <v>311</v>
      </c>
      <c r="E18" s="203" t="e">
        <f>'recibo de sueldo'!#REF!</f>
        <v>#REF!</v>
      </c>
      <c r="F18" s="75"/>
    </row>
    <row r="19" spans="2:6" ht="12.75">
      <c r="B19" s="70" t="s">
        <v>294</v>
      </c>
      <c r="C19" s="71"/>
      <c r="D19" s="48" t="s">
        <v>312</v>
      </c>
      <c r="E19" s="203" t="e">
        <f>'recibo de sueldo'!#REF!</f>
        <v>#REF!</v>
      </c>
      <c r="F19" s="75"/>
    </row>
    <row r="20" spans="2:6" ht="12.75">
      <c r="B20" s="70" t="s">
        <v>293</v>
      </c>
      <c r="C20" s="249" t="e">
        <f>'recibo de sueldo'!#REF!</f>
        <v>#REF!</v>
      </c>
      <c r="D20" s="48" t="s">
        <v>351</v>
      </c>
      <c r="E20" s="203" t="e">
        <f>'recibo de sueldo'!#REF!</f>
        <v>#REF!</v>
      </c>
      <c r="F20" s="77"/>
    </row>
    <row r="21" spans="2:6" ht="12.75">
      <c r="B21" s="76" t="s">
        <v>300</v>
      </c>
      <c r="C21" s="71"/>
      <c r="D21" s="207" t="s">
        <v>317</v>
      </c>
      <c r="E21" s="203" t="e">
        <f>'recibo de sueldo'!#REF!</f>
        <v>#REF!</v>
      </c>
      <c r="F21" s="208"/>
    </row>
    <row r="22" spans="2:6" ht="13.5" thickBot="1">
      <c r="B22" s="78" t="s">
        <v>313</v>
      </c>
      <c r="C22" s="79" t="s">
        <v>314</v>
      </c>
      <c r="D22" s="60"/>
      <c r="E22" s="203" t="e">
        <f>'recibo de sueldo'!#REF!</f>
        <v>#REF!</v>
      </c>
      <c r="F22" s="120"/>
    </row>
    <row r="23" spans="2:6" ht="13.5" thickBot="1">
      <c r="B23" s="78"/>
      <c r="C23" s="80"/>
      <c r="D23" s="81" t="s">
        <v>316</v>
      </c>
      <c r="E23" s="203" t="e">
        <f>'recibo de sueldo'!#REF!</f>
        <v>#REF!</v>
      </c>
      <c r="F23" s="121"/>
    </row>
    <row r="24" spans="2:6" ht="12.75">
      <c r="B24" s="73" t="s">
        <v>303</v>
      </c>
      <c r="C24" s="206" t="e">
        <f>'recibo de sueldo'!#REF!</f>
        <v>#REF!</v>
      </c>
      <c r="D24" s="83" t="s">
        <v>315</v>
      </c>
      <c r="E24" s="203" t="e">
        <f>'recibo de sueldo'!#REF!</f>
        <v>#REF!</v>
      </c>
      <c r="F24" s="120"/>
    </row>
    <row r="25" spans="2:6" ht="15.75">
      <c r="B25" s="73" t="s">
        <v>309</v>
      </c>
      <c r="C25" s="172"/>
      <c r="D25" s="79" t="s">
        <v>318</v>
      </c>
      <c r="E25" s="203" t="e">
        <f>'recibo de sueldo'!#REF!</f>
        <v>#REF!</v>
      </c>
      <c r="F25" s="120"/>
    </row>
    <row r="26" spans="2:6" ht="13.5" thickBot="1">
      <c r="B26" s="73" t="s">
        <v>304</v>
      </c>
      <c r="C26" s="206" t="e">
        <f>'recibo de sueldo'!#REF!</f>
        <v>#REF!</v>
      </c>
      <c r="D26" s="210" t="s">
        <v>310</v>
      </c>
      <c r="E26" s="211" t="e">
        <f>'recibo de sueldo'!#REF!</f>
        <v>#REF!</v>
      </c>
      <c r="F26" s="120"/>
    </row>
    <row r="27" spans="2:6" ht="16.5" thickBot="1">
      <c r="B27" s="78"/>
      <c r="C27" s="84"/>
      <c r="D27" s="85" t="s">
        <v>1</v>
      </c>
      <c r="E27" s="212" t="e">
        <f>'recibo de sueldo'!#REF!</f>
        <v>#REF!</v>
      </c>
      <c r="F27" s="213"/>
    </row>
    <row r="28" spans="2:6" ht="15.75">
      <c r="B28" s="73" t="s">
        <v>335</v>
      </c>
      <c r="C28" s="86"/>
      <c r="D28" s="87" t="s">
        <v>336</v>
      </c>
      <c r="E28" s="136"/>
      <c r="F28" s="216" t="e">
        <f>'recibo de sueldo'!#REF!</f>
        <v>#REF!</v>
      </c>
    </row>
    <row r="29" spans="2:6" ht="15.75">
      <c r="B29" s="70" t="s">
        <v>305</v>
      </c>
      <c r="C29" s="88">
        <v>0.16</v>
      </c>
      <c r="D29" s="89" t="s">
        <v>326</v>
      </c>
      <c r="E29" s="136"/>
      <c r="F29" s="216" t="e">
        <f>'recibo de sueldo'!#REF!</f>
        <v>#REF!</v>
      </c>
    </row>
    <row r="30" spans="2:6" ht="15.75">
      <c r="B30" s="70" t="s">
        <v>306</v>
      </c>
      <c r="C30" s="90">
        <v>0.006</v>
      </c>
      <c r="D30" s="71" t="s">
        <v>323</v>
      </c>
      <c r="E30" s="136"/>
      <c r="F30" s="216" t="e">
        <f>'recibo de sueldo'!#REF!</f>
        <v>#REF!</v>
      </c>
    </row>
    <row r="31" spans="2:6" ht="15.75">
      <c r="B31" s="70" t="s">
        <v>307</v>
      </c>
      <c r="C31" s="88">
        <v>0.03</v>
      </c>
      <c r="D31" s="89" t="s">
        <v>325</v>
      </c>
      <c r="E31" s="136"/>
      <c r="F31" s="216" t="e">
        <f>'recibo de sueldo'!#REF!</f>
        <v>#REF!</v>
      </c>
    </row>
    <row r="32" spans="2:6" ht="15.75">
      <c r="B32" s="70" t="s">
        <v>308</v>
      </c>
      <c r="C32" s="88"/>
      <c r="D32" s="89" t="s">
        <v>324</v>
      </c>
      <c r="E32" s="115"/>
      <c r="F32" s="216" t="e">
        <f>'recibo de sueldo'!#REF!</f>
        <v>#REF!</v>
      </c>
    </row>
    <row r="33" spans="2:6" ht="13.5" thickBot="1">
      <c r="B33" s="91"/>
      <c r="C33" s="206" t="e">
        <f>'recibo de sueldo'!#REF!</f>
        <v>#REF!</v>
      </c>
      <c r="D33" s="92" t="s">
        <v>2</v>
      </c>
      <c r="E33" s="92"/>
      <c r="F33" s="216" t="e">
        <f>'recibo de sueldo'!#REF!</f>
        <v>#REF!</v>
      </c>
    </row>
    <row r="34" spans="2:6" ht="16.5" thickBot="1">
      <c r="B34" s="91"/>
      <c r="C34" s="84"/>
      <c r="D34" s="85" t="s">
        <v>3</v>
      </c>
      <c r="E34" s="61"/>
      <c r="F34" s="215" t="e">
        <f>'recibo de sueldo'!#REF!</f>
        <v>#REF!</v>
      </c>
    </row>
    <row r="35" spans="2:6" ht="13.5" thickBot="1">
      <c r="B35" s="130"/>
      <c r="C35" s="1"/>
      <c r="D35" s="8"/>
      <c r="E35" s="1"/>
      <c r="F35" s="5"/>
    </row>
    <row r="36" spans="2:6" ht="27" customHeight="1" thickBot="1">
      <c r="B36" s="117"/>
      <c r="C36" s="227" t="s">
        <v>4</v>
      </c>
      <c r="D36" s="94"/>
      <c r="E36" s="226" t="e">
        <f>'recibo de sueldo'!#REF!</f>
        <v>#REF!</v>
      </c>
      <c r="F36" s="5"/>
    </row>
  </sheetData>
  <sheetProtection password="DFB3" sheet="1" objects="1" scenarios="1"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F30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4.8515625" style="0" customWidth="1"/>
    <col min="4" max="4" width="27.28125" style="0" customWidth="1"/>
    <col min="6" max="6" width="12.8515625" style="0" customWidth="1"/>
  </cols>
  <sheetData>
    <row r="2" spans="2:4" ht="15.75">
      <c r="B2" s="1"/>
      <c r="C2" s="247" t="s">
        <v>6</v>
      </c>
      <c r="D2" s="1"/>
    </row>
    <row r="3" spans="2:4" ht="12.75">
      <c r="B3" s="1"/>
      <c r="C3" s="1"/>
      <c r="D3" s="1"/>
    </row>
    <row r="4" spans="3:5" ht="12.75">
      <c r="C4" s="242" t="s">
        <v>7</v>
      </c>
      <c r="D4" s="242"/>
      <c r="E4" s="243">
        <f>canthormed</f>
        <v>36</v>
      </c>
    </row>
    <row r="5" spans="3:6" ht="12.75">
      <c r="C5" s="72" t="s">
        <v>344</v>
      </c>
      <c r="D5" s="72"/>
      <c r="E5" s="241">
        <f>canthormed</f>
        <v>36</v>
      </c>
      <c r="F5" s="245">
        <f>porantighormed</f>
        <v>1.2</v>
      </c>
    </row>
    <row r="6" spans="2:6" ht="12.75">
      <c r="B6" s="244"/>
      <c r="C6" s="184"/>
      <c r="D6" s="59"/>
      <c r="E6" s="239"/>
      <c r="F6" s="244"/>
    </row>
    <row r="7" spans="3:5" ht="12.75">
      <c r="C7" s="240" t="s">
        <v>358</v>
      </c>
      <c r="D7" s="240"/>
      <c r="E7" s="243">
        <f>canthor06med</f>
        <v>36</v>
      </c>
    </row>
    <row r="8" spans="3:5" ht="12.75">
      <c r="C8" s="240" t="s">
        <v>359</v>
      </c>
      <c r="D8" s="240"/>
      <c r="E8" s="243">
        <f>canthorincmed</f>
        <v>36</v>
      </c>
    </row>
    <row r="9" spans="3:5" ht="12.75">
      <c r="C9" s="240" t="s">
        <v>360</v>
      </c>
      <c r="D9" s="240"/>
      <c r="E9" s="241" t="e">
        <f>canthor113med</f>
        <v>#NAME?</v>
      </c>
    </row>
    <row r="10" spans="3:5" ht="12.75">
      <c r="C10" s="59"/>
      <c r="D10" s="59"/>
      <c r="E10" s="246"/>
    </row>
    <row r="11" spans="2:6" ht="15.75" thickBot="1">
      <c r="B11" s="10" t="s">
        <v>385</v>
      </c>
      <c r="D11" s="3"/>
      <c r="E11" s="7"/>
      <c r="F11" s="7"/>
    </row>
    <row r="12" spans="2:6" ht="13.5" thickBot="1">
      <c r="B12" s="81" t="s">
        <v>349</v>
      </c>
      <c r="C12" s="124" t="s">
        <v>348</v>
      </c>
      <c r="D12" s="124" t="s">
        <v>320</v>
      </c>
      <c r="E12" s="124" t="s">
        <v>321</v>
      </c>
      <c r="F12" s="238" t="s">
        <v>322</v>
      </c>
    </row>
    <row r="13" spans="2:6" ht="12.75">
      <c r="B13" s="126" t="s">
        <v>331</v>
      </c>
      <c r="C13" s="248" t="e">
        <f>'recibo de sueldo'!#REF!</f>
        <v>#REF!</v>
      </c>
      <c r="D13" s="83" t="s">
        <v>332</v>
      </c>
      <c r="E13" s="127" t="e">
        <f>'recibo de sueldo'!#REF!</f>
        <v>#REF!</v>
      </c>
      <c r="F13" s="100"/>
    </row>
    <row r="14" spans="2:6" ht="12.75">
      <c r="B14" s="99" t="s">
        <v>296</v>
      </c>
      <c r="C14" s="231" t="e">
        <f>'recibo de sueldo'!#REF!</f>
        <v>#REF!</v>
      </c>
      <c r="D14" s="46" t="s">
        <v>0</v>
      </c>
      <c r="E14" s="127" t="e">
        <f>'recibo de sueldo'!#REF!</f>
        <v>#REF!</v>
      </c>
      <c r="F14" s="100"/>
    </row>
    <row r="15" spans="2:6" ht="12.75">
      <c r="B15" s="99" t="s">
        <v>301</v>
      </c>
      <c r="C15" s="248" t="e">
        <f>'recibo de sueldo'!#REF!</f>
        <v>#REF!</v>
      </c>
      <c r="D15" s="72" t="s">
        <v>328</v>
      </c>
      <c r="E15" s="127" t="e">
        <f>'recibo de sueldo'!#REF!</f>
        <v>#REF!</v>
      </c>
      <c r="F15" s="100"/>
    </row>
    <row r="16" spans="2:6" ht="12.75">
      <c r="B16" s="101" t="s">
        <v>302</v>
      </c>
      <c r="C16" s="231" t="e">
        <f>'recibo de sueldo'!#REF!</f>
        <v>#REF!</v>
      </c>
      <c r="D16" s="72" t="s">
        <v>333</v>
      </c>
      <c r="E16" s="127" t="e">
        <f>'recibo de sueldo'!#REF!</f>
        <v>#REF!</v>
      </c>
      <c r="F16" s="100"/>
    </row>
    <row r="17" spans="2:6" ht="12.75">
      <c r="B17" s="102" t="s">
        <v>303</v>
      </c>
      <c r="C17" s="248" t="e">
        <f>'recibo de sueldo'!#REF!</f>
        <v>#REF!</v>
      </c>
      <c r="D17" s="46" t="s">
        <v>315</v>
      </c>
      <c r="E17" s="127" t="e">
        <f>'recibo de sueldo'!#REF!</f>
        <v>#REF!</v>
      </c>
      <c r="F17" s="100"/>
    </row>
    <row r="18" spans="2:6" ht="12.75">
      <c r="B18" s="99" t="s">
        <v>304</v>
      </c>
      <c r="C18" s="248" t="e">
        <f>'recibo de sueldo'!#REF!</f>
        <v>#REF!</v>
      </c>
      <c r="D18" s="46" t="s">
        <v>334</v>
      </c>
      <c r="E18" s="127" t="e">
        <f>'recibo de sueldo'!#REF!</f>
        <v>#REF!</v>
      </c>
      <c r="F18" s="103"/>
    </row>
    <row r="19" spans="2:6" ht="12.75">
      <c r="B19" s="99" t="s">
        <v>299</v>
      </c>
      <c r="C19" s="231" t="e">
        <f>'recibo de sueldo'!#REF!</f>
        <v>#REF!</v>
      </c>
      <c r="D19" s="48" t="s">
        <v>330</v>
      </c>
      <c r="E19" s="127" t="e">
        <f>'recibo de sueldo'!#REF!</f>
        <v>#REF!</v>
      </c>
      <c r="F19" s="100"/>
    </row>
    <row r="20" spans="2:6" ht="12.75">
      <c r="B20" s="99" t="s">
        <v>293</v>
      </c>
      <c r="C20" s="232" t="e">
        <f>'recibo de sueldo'!#REF!</f>
        <v>#REF!</v>
      </c>
      <c r="D20" s="48" t="s">
        <v>351</v>
      </c>
      <c r="E20" s="127" t="e">
        <f>'recibo de sueldo'!#REF!</f>
        <v>#REF!</v>
      </c>
      <c r="F20" s="100"/>
    </row>
    <row r="21" spans="2:6" ht="13.5" thickBot="1">
      <c r="B21" s="105" t="s">
        <v>340</v>
      </c>
      <c r="C21" s="60"/>
      <c r="D21" s="60"/>
      <c r="E21" s="75" t="e">
        <f>'recibo de sueldo'!#REF!</f>
        <v>#REF!</v>
      </c>
      <c r="F21" s="100"/>
    </row>
    <row r="22" spans="2:6" ht="16.5" thickBot="1">
      <c r="B22" s="106"/>
      <c r="C22" s="93" t="s">
        <v>8</v>
      </c>
      <c r="D22" s="107"/>
      <c r="E22" s="237" t="e">
        <f>'recibo de sueldo'!#REF!</f>
        <v>#REF!</v>
      </c>
      <c r="F22" s="236"/>
    </row>
    <row r="23" spans="2:6" ht="15.75">
      <c r="B23" s="104" t="s">
        <v>335</v>
      </c>
      <c r="C23" s="109"/>
      <c r="D23" s="87" t="s">
        <v>336</v>
      </c>
      <c r="E23" s="115"/>
      <c r="F23" s="230" t="e">
        <f>'recibo de sueldo'!#REF!</f>
        <v>#REF!</v>
      </c>
    </row>
    <row r="24" spans="2:6" ht="12.75">
      <c r="B24" s="46">
        <v>502</v>
      </c>
      <c r="C24" s="228" t="e">
        <f>'recibo de sueldo'!#REF!</f>
        <v>#REF!</v>
      </c>
      <c r="D24" s="89" t="s">
        <v>339</v>
      </c>
      <c r="E24" s="89"/>
      <c r="F24" s="230" t="e">
        <f>'recibo de sueldo'!#REF!</f>
        <v>#REF!</v>
      </c>
    </row>
    <row r="25" spans="2:6" ht="12.75">
      <c r="B25" s="46">
        <v>504</v>
      </c>
      <c r="C25" s="229" t="e">
        <f>'recibo de sueldo'!#REF!</f>
        <v>#REF!</v>
      </c>
      <c r="D25" s="71" t="s">
        <v>338</v>
      </c>
      <c r="E25" s="71"/>
      <c r="F25" s="230" t="e">
        <f>'recibo de sueldo'!#REF!</f>
        <v>#REF!</v>
      </c>
    </row>
    <row r="26" spans="2:6" ht="12.75">
      <c r="B26" s="46">
        <v>505</v>
      </c>
      <c r="C26" s="228" t="e">
        <f>'recibo de sueldo'!#REF!</f>
        <v>#REF!</v>
      </c>
      <c r="D26" s="89" t="s">
        <v>337</v>
      </c>
      <c r="E26" s="89"/>
      <c r="F26" s="230" t="e">
        <f>'recibo de sueldo'!#REF!</f>
        <v>#REF!</v>
      </c>
    </row>
    <row r="27" spans="2:6" ht="13.5" thickBot="1">
      <c r="B27" s="110" t="s">
        <v>2</v>
      </c>
      <c r="C27" s="229" t="e">
        <f>'recibo de sueldo'!#REF!</f>
        <v>#REF!</v>
      </c>
      <c r="D27" s="60"/>
      <c r="E27" s="60"/>
      <c r="F27" s="234" t="e">
        <f>'recibo de sueldo'!#REF!</f>
        <v>#REF!</v>
      </c>
    </row>
    <row r="28" spans="2:6" ht="16.5" thickBot="1">
      <c r="B28" s="64"/>
      <c r="C28" s="111"/>
      <c r="D28" s="93" t="s">
        <v>3</v>
      </c>
      <c r="E28" s="112"/>
      <c r="F28" s="235" t="e">
        <f>'recibo de sueldo'!#REF!</f>
        <v>#REF!</v>
      </c>
    </row>
    <row r="29" spans="2:6" ht="13.5" thickBot="1">
      <c r="B29" s="133"/>
      <c r="C29" s="60"/>
      <c r="D29" s="100"/>
      <c r="E29" s="100"/>
      <c r="F29" s="1"/>
    </row>
    <row r="30" spans="2:6" ht="16.5" thickBot="1">
      <c r="B30" s="14"/>
      <c r="C30" s="93" t="s">
        <v>4</v>
      </c>
      <c r="D30" s="94"/>
      <c r="E30" s="82" t="e">
        <f>'recibo de sueldo'!#REF!</f>
        <v>#REF!</v>
      </c>
      <c r="F30" s="2"/>
    </row>
  </sheetData>
  <sheetProtection password="DFB3" sheet="1" objects="1" scenarios="1"/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B2:F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4" max="4" width="29.7109375" style="0" customWidth="1"/>
    <col min="6" max="6" width="12.140625" style="0" customWidth="1"/>
  </cols>
  <sheetData>
    <row r="2" spans="2:4" ht="18">
      <c r="B2" s="1"/>
      <c r="C2" s="264" t="s">
        <v>9</v>
      </c>
      <c r="D2" s="1"/>
    </row>
    <row r="3" spans="2:4" ht="12.75">
      <c r="B3" s="1"/>
      <c r="C3" s="1"/>
      <c r="D3" s="1"/>
    </row>
    <row r="4" spans="3:5" ht="14.25">
      <c r="C4" s="233" t="s">
        <v>7</v>
      </c>
      <c r="D4" s="233"/>
      <c r="E4" s="265">
        <f>'recibo de sueldo'!D236</f>
        <v>36</v>
      </c>
    </row>
    <row r="5" spans="3:6" ht="14.25">
      <c r="C5" s="233" t="s">
        <v>344</v>
      </c>
      <c r="D5" s="233"/>
      <c r="E5" s="265">
        <f>'recibo de sueldo'!D237</f>
        <v>24</v>
      </c>
      <c r="F5" s="266">
        <f>'recibo de sueldo'!D238</f>
        <v>1.2</v>
      </c>
    </row>
    <row r="6" spans="3:4" ht="12.75">
      <c r="C6" s="1"/>
      <c r="D6" s="1"/>
    </row>
    <row r="7" spans="3:5" ht="14.25">
      <c r="C7" s="269" t="s">
        <v>358</v>
      </c>
      <c r="D7" s="267"/>
      <c r="E7" s="268">
        <f>'recibo de sueldo'!D240</f>
        <v>36</v>
      </c>
    </row>
    <row r="8" spans="3:5" ht="14.25">
      <c r="C8" s="269" t="s">
        <v>359</v>
      </c>
      <c r="D8" s="267"/>
      <c r="E8" s="268">
        <f>'recibo de sueldo'!D241</f>
        <v>36</v>
      </c>
    </row>
    <row r="9" spans="3:5" ht="14.25">
      <c r="C9" s="269" t="s">
        <v>360</v>
      </c>
      <c r="D9" s="267"/>
      <c r="E9" s="268" t="e">
        <f>'recibo de sueldo'!#REF!</f>
        <v>#REF!</v>
      </c>
    </row>
    <row r="11" spans="2:6" ht="16.5" thickBot="1">
      <c r="B11" s="270" t="s">
        <v>386</v>
      </c>
      <c r="D11" s="250"/>
      <c r="E11" s="251"/>
      <c r="F11" s="251"/>
    </row>
    <row r="12" spans="2:6" ht="13.5" thickBot="1">
      <c r="B12" s="81" t="s">
        <v>349</v>
      </c>
      <c r="C12" s="124" t="s">
        <v>348</v>
      </c>
      <c r="D12" s="124" t="s">
        <v>320</v>
      </c>
      <c r="E12" s="124" t="s">
        <v>321</v>
      </c>
      <c r="F12" s="238" t="s">
        <v>322</v>
      </c>
    </row>
    <row r="13" spans="2:6" ht="12.75">
      <c r="B13" s="126" t="s">
        <v>331</v>
      </c>
      <c r="C13" s="252" t="e">
        <f>'recibo de sueldo'!#REF!</f>
        <v>#REF!</v>
      </c>
      <c r="D13" s="83" t="s">
        <v>332</v>
      </c>
      <c r="E13" s="127" t="e">
        <f>'recibo de sueldo'!#REF!</f>
        <v>#REF!</v>
      </c>
      <c r="F13" s="168"/>
    </row>
    <row r="14" spans="2:6" ht="12.75">
      <c r="B14" s="99" t="s">
        <v>296</v>
      </c>
      <c r="C14" s="228" t="e">
        <f>'recibo de sueldo'!#REF!</f>
        <v>#REF!</v>
      </c>
      <c r="D14" s="46" t="s">
        <v>0</v>
      </c>
      <c r="E14" s="127" t="e">
        <f>'recibo de sueldo'!#REF!</f>
        <v>#REF!</v>
      </c>
      <c r="F14" s="169"/>
    </row>
    <row r="15" spans="2:6" ht="12.75">
      <c r="B15" s="99" t="s">
        <v>301</v>
      </c>
      <c r="C15" s="252" t="e">
        <f>'recibo de sueldo'!#REF!</f>
        <v>#REF!</v>
      </c>
      <c r="D15" s="72" t="s">
        <v>328</v>
      </c>
      <c r="E15" s="127" t="e">
        <f>'recibo de sueldo'!#REF!</f>
        <v>#REF!</v>
      </c>
      <c r="F15" s="169"/>
    </row>
    <row r="16" spans="2:6" ht="12.75">
      <c r="B16" s="101" t="s">
        <v>302</v>
      </c>
      <c r="C16" s="228" t="e">
        <f>'recibo de sueldo'!#REF!</f>
        <v>#REF!</v>
      </c>
      <c r="D16" s="72" t="s">
        <v>333</v>
      </c>
      <c r="E16" s="127" t="e">
        <f>'recibo de sueldo'!#REF!</f>
        <v>#REF!</v>
      </c>
      <c r="F16" s="169"/>
    </row>
    <row r="17" spans="2:6" ht="12.75">
      <c r="B17" s="102" t="s">
        <v>303</v>
      </c>
      <c r="C17" s="252" t="e">
        <f>'recibo de sueldo'!#REF!</f>
        <v>#REF!</v>
      </c>
      <c r="D17" s="46" t="s">
        <v>315</v>
      </c>
      <c r="E17" s="127" t="e">
        <f>'recibo de sueldo'!#REF!</f>
        <v>#REF!</v>
      </c>
      <c r="F17" s="169"/>
    </row>
    <row r="18" spans="2:6" ht="12.75">
      <c r="B18" s="99" t="s">
        <v>304</v>
      </c>
      <c r="C18" s="252" t="e">
        <f>'recibo de sueldo'!#REF!</f>
        <v>#REF!</v>
      </c>
      <c r="D18" s="46" t="s">
        <v>334</v>
      </c>
      <c r="E18" s="127" t="e">
        <f>'recibo de sueldo'!#REF!</f>
        <v>#REF!</v>
      </c>
      <c r="F18" s="169"/>
    </row>
    <row r="19" spans="2:6" ht="12.75">
      <c r="B19" s="99" t="s">
        <v>299</v>
      </c>
      <c r="C19" s="228" t="e">
        <f>'recibo de sueldo'!#REF!</f>
        <v>#REF!</v>
      </c>
      <c r="D19" s="48" t="s">
        <v>330</v>
      </c>
      <c r="E19" s="127" t="e">
        <f>'recibo de sueldo'!#REF!</f>
        <v>#REF!</v>
      </c>
      <c r="F19" s="169"/>
    </row>
    <row r="20" spans="2:6" ht="13.5" thickBot="1">
      <c r="B20" s="105" t="s">
        <v>340</v>
      </c>
      <c r="C20" s="253"/>
      <c r="D20" s="60"/>
      <c r="E20" s="75" t="e">
        <f>'recibo de sueldo'!#REF!</f>
        <v>#REF!</v>
      </c>
      <c r="F20" s="169"/>
    </row>
    <row r="21" spans="2:6" ht="16.5" thickBot="1">
      <c r="B21" s="106"/>
      <c r="C21" s="255" t="s">
        <v>8</v>
      </c>
      <c r="D21" s="113"/>
      <c r="E21" s="258" t="e">
        <f>'recibo de sueldo'!#REF!</f>
        <v>#REF!</v>
      </c>
      <c r="F21" s="236"/>
    </row>
    <row r="22" spans="2:6" ht="15.75">
      <c r="B22" s="104" t="s">
        <v>335</v>
      </c>
      <c r="C22" s="254"/>
      <c r="D22" s="256" t="s">
        <v>336</v>
      </c>
      <c r="E22" s="259"/>
      <c r="F22" s="262" t="e">
        <f>'recibo de sueldo'!#REF!</f>
        <v>#REF!</v>
      </c>
    </row>
    <row r="23" spans="2:6" ht="12.75">
      <c r="B23" s="46">
        <v>502</v>
      </c>
      <c r="C23" s="228" t="e">
        <f>'recibo de sueldo'!#REF!</f>
        <v>#REF!</v>
      </c>
      <c r="D23" s="257" t="s">
        <v>339</v>
      </c>
      <c r="E23" s="260"/>
      <c r="F23" s="262" t="e">
        <f>'recibo de sueldo'!#REF!</f>
        <v>#REF!</v>
      </c>
    </row>
    <row r="24" spans="2:6" ht="12.75">
      <c r="B24" s="46">
        <v>504</v>
      </c>
      <c r="C24" s="229" t="e">
        <f>'recibo de sueldo'!#REF!</f>
        <v>#REF!</v>
      </c>
      <c r="D24" s="217" t="s">
        <v>338</v>
      </c>
      <c r="E24" s="100"/>
      <c r="F24" s="262" t="e">
        <f>'recibo de sueldo'!#REF!</f>
        <v>#REF!</v>
      </c>
    </row>
    <row r="25" spans="2:6" ht="12.75">
      <c r="B25" s="46">
        <v>505</v>
      </c>
      <c r="C25" s="228" t="e">
        <f>'recibo de sueldo'!#REF!</f>
        <v>#REF!</v>
      </c>
      <c r="D25" s="257" t="s">
        <v>337</v>
      </c>
      <c r="E25" s="47"/>
      <c r="F25" s="262" t="e">
        <f>'recibo de sueldo'!#REF!</f>
        <v>#REF!</v>
      </c>
    </row>
    <row r="26" spans="2:6" ht="13.5" thickBot="1">
      <c r="B26" s="110" t="s">
        <v>2</v>
      </c>
      <c r="C26" s="228" t="e">
        <f>'recibo de sueldo'!#REF!</f>
        <v>#REF!</v>
      </c>
      <c r="D26" s="191"/>
      <c r="E26" s="100"/>
      <c r="F26" s="263" t="e">
        <f>'recibo de sueldo'!#REF!</f>
        <v>#REF!</v>
      </c>
    </row>
    <row r="27" spans="2:6" ht="16.5" thickBot="1">
      <c r="B27" s="64"/>
      <c r="C27" s="111"/>
      <c r="D27" s="93" t="s">
        <v>3</v>
      </c>
      <c r="E27" s="124"/>
      <c r="F27" s="261" t="e">
        <f>'recibo de sueldo'!#REF!</f>
        <v>#REF!</v>
      </c>
    </row>
    <row r="28" spans="2:6" ht="13.5" thickBot="1">
      <c r="B28" s="1"/>
      <c r="C28" s="1"/>
      <c r="D28" s="1"/>
      <c r="E28" s="1"/>
      <c r="F28" s="1"/>
    </row>
    <row r="29" spans="2:6" ht="16.5" thickBot="1">
      <c r="B29" s="166"/>
      <c r="C29" s="93" t="s">
        <v>4</v>
      </c>
      <c r="D29" s="93"/>
      <c r="E29" s="82" t="e">
        <f>'recibo de sueldo'!#REF!</f>
        <v>#REF!</v>
      </c>
      <c r="F29" s="1"/>
    </row>
  </sheetData>
  <sheetProtection password="DFB3" sheet="1" objects="1" scenarios="1"/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AGMER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 Hutt</dc:creator>
  <cp:keywords/>
  <dc:description/>
  <cp:lastModifiedBy>Victor</cp:lastModifiedBy>
  <cp:lastPrinted>2010-03-10T23:40:12Z</cp:lastPrinted>
  <dcterms:created xsi:type="dcterms:W3CDTF">2005-08-01T16:16:18Z</dcterms:created>
  <dcterms:modified xsi:type="dcterms:W3CDTF">2021-04-29T03:37:13Z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