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ctor\Google Drive\AGMER\"/>
    </mc:Choice>
  </mc:AlternateContent>
  <bookViews>
    <workbookView xWindow="0" yWindow="0" windowWidth="20490" windowHeight="7905"/>
  </bookViews>
  <sheets>
    <sheet name="Recibo" sheetId="1" r:id="rId1"/>
    <sheet name="cargos" sheetId="2" r:id="rId2"/>
  </sheets>
  <definedNames>
    <definedName name="adicdir2016">cargos!$E$3:$E$336</definedName>
    <definedName name="adichsmedia">Recibo!$D$252</definedName>
    <definedName name="adicnina">cargos!$J$3:$J$336</definedName>
    <definedName name="Aumento1">Recibo!$G$88</definedName>
    <definedName name="Aumento2">Recibo!$G$89</definedName>
    <definedName name="Aumento3">Recibo!$G$90</definedName>
    <definedName name="Aumento4">Recibo!$G$91</definedName>
    <definedName name="Aumento5">Recibo!$G$92</definedName>
    <definedName name="aumento6">Recibo!$G$93</definedName>
    <definedName name="Aumentomar21">Recibo!$E$90</definedName>
    <definedName name="canthor06med">Recibo!$D$250</definedName>
    <definedName name="canthor06sup">Recibo!$D$379</definedName>
    <definedName name="canthorincmed">Recibo!$D$251</definedName>
    <definedName name="canthorincsup">Recibo!$D$380</definedName>
    <definedName name="canthormed">Recibo!$D$246</definedName>
    <definedName name="canthorsup">Recibo!$D$375</definedName>
    <definedName name="cantkm">Recibo!$D$113</definedName>
    <definedName name="cantkmhm">Recibo!$D$253</definedName>
    <definedName name="cantkmhs">Recibo!$D$381</definedName>
    <definedName name="codigo06cargosdic22">Recibo!$I$64:$I$75</definedName>
    <definedName name="codigo06cargosene20">Recibo!$I$18:$I$29</definedName>
    <definedName name="codigo06cargosfeb21">Recibo!$I$47:$I$58</definedName>
    <definedName name="compbas16">cargos!$D$3:$D$336</definedName>
    <definedName name="compbas2015">#REF!</definedName>
    <definedName name="compbas2016">Recibo!$F$106</definedName>
    <definedName name="compdir14">#REF!</definedName>
    <definedName name="compdir16">Recibo!$G$106</definedName>
    <definedName name="escalaañosantig">Recibo!$D$18:$D$29</definedName>
    <definedName name="escalaporcantig">Recibo!$E$18:$E$29</definedName>
    <definedName name="indicedic21">Recibo!$I$88</definedName>
    <definedName name="indiceene20">Recibo!$C$88</definedName>
    <definedName name="indiceene22">Recibo!$K$88</definedName>
    <definedName name="indicemar21">Recibo!$E$88</definedName>
    <definedName name="indiceproljordic21">Recibo!$I$89</definedName>
    <definedName name="indiceproljorene20">Recibo!$C$89</definedName>
    <definedName name="indiceproljorene22">Recibo!$K$89</definedName>
    <definedName name="indiceproljormar21">Recibo!$E$89</definedName>
    <definedName name="kmsem">Recibo!$C$197</definedName>
    <definedName name="kmsemhsmed">Recibo!$C$327</definedName>
    <definedName name="kmsemhssup">Recibo!$C$450</definedName>
    <definedName name="nina">Recibo!$D$110</definedName>
    <definedName name="nombrecargo">cargos!$B$3:$B$336</definedName>
    <definedName name="numcargo">cargos!$A$3:$A$336</definedName>
    <definedName name="poragmer">Recibo!$C$465</definedName>
    <definedName name="porant">Recibo!$H$18:$H$29</definedName>
    <definedName name="porantigcargo">Recibo!$D$112</definedName>
    <definedName name="porantighormed">Recibo!$D$248</definedName>
    <definedName name="porantighorsup">Recibo!$D$377</definedName>
    <definedName name="porjub">Recibo!$C$462</definedName>
    <definedName name="porley">Recibo!$C$463</definedName>
    <definedName name="poros">Recibo!$C$464</definedName>
    <definedName name="porzonacargo">Recibo!$C$194</definedName>
    <definedName name="porzonahsmed">Recibo!$C$326</definedName>
    <definedName name="punbascar">Recibo!$D$114</definedName>
    <definedName name="punbascargo">cargos!$C$3:$C$336</definedName>
    <definedName name="punbashormed">Recibo!$D$256</definedName>
    <definedName name="punbashorsup">Recibo!$D$382</definedName>
    <definedName name="punjorcomcargo">cargos!$I$3:$I$336</definedName>
    <definedName name="punproljorcargo">cargos!$H$3:$H$336</definedName>
    <definedName name="puntardifcargo">cargos!$G$3:$G$336</definedName>
    <definedName name="puntosadicnina">Recibo!$H$106</definedName>
    <definedName name="PUNTOSbasicos">Recibo!$B$106</definedName>
    <definedName name="puntosproljor">Recibo!$D$115</definedName>
    <definedName name="puntostardif">Recibo!$C$106</definedName>
    <definedName name="totalrem1">Recibo!$T$217</definedName>
    <definedName name="totalrem2">Recibo!$Q$217</definedName>
    <definedName name="totalrem3">Recibo!$N$217</definedName>
    <definedName name="totalrem4">Recibo!$K$217</definedName>
    <definedName name="totalrem5">Recibo!$H$217</definedName>
    <definedName name="totalremene22">Recibo!$E$217</definedName>
    <definedName name="totalremfeb21">Recibo!$Z$217</definedName>
    <definedName name="totalremmar20">Recibo!$AC$217</definedName>
  </definedNames>
  <calcPr calcId="162913"/>
</workbook>
</file>

<file path=xl/calcChain.xml><?xml version="1.0" encoding="utf-8"?>
<calcChain xmlns="http://schemas.openxmlformats.org/spreadsheetml/2006/main">
  <c r="H457" i="1" l="1"/>
  <c r="C470" i="1"/>
  <c r="H334" i="1"/>
  <c r="C327" i="1" l="1"/>
  <c r="C267" i="1" s="1"/>
  <c r="L424" i="1" l="1"/>
  <c r="F280" i="1"/>
  <c r="E152" i="1"/>
  <c r="F153" i="1"/>
  <c r="F154" i="1"/>
  <c r="E155" i="1"/>
  <c r="E156" i="1"/>
  <c r="E158" i="1"/>
  <c r="E159" i="1"/>
  <c r="E161" i="1"/>
  <c r="E162" i="1"/>
  <c r="E164" i="1"/>
  <c r="F164" i="1"/>
  <c r="E165" i="1"/>
  <c r="E166" i="1"/>
  <c r="F166" i="1"/>
  <c r="E167" i="1"/>
  <c r="E168" i="1"/>
  <c r="E169" i="1"/>
  <c r="E170" i="1"/>
  <c r="E171" i="1"/>
  <c r="E173" i="1"/>
  <c r="E175" i="1"/>
  <c r="E150" i="1"/>
  <c r="E106" i="1"/>
  <c r="N331" i="1"/>
  <c r="Z278" i="1"/>
  <c r="W278" i="1"/>
  <c r="T278" i="1"/>
  <c r="C264" i="1"/>
  <c r="E457" i="1"/>
  <c r="E399" i="1" s="1"/>
  <c r="E450" i="1"/>
  <c r="D143" i="1"/>
  <c r="AF187" i="1"/>
  <c r="G128" i="1"/>
  <c r="G130" i="1"/>
  <c r="G133" i="1"/>
  <c r="E322" i="1"/>
  <c r="E323" i="1" s="1"/>
  <c r="E263" i="1" s="1"/>
  <c r="E446" i="1"/>
  <c r="E447" i="1" s="1"/>
  <c r="E389" i="1" s="1"/>
  <c r="E439" i="1"/>
  <c r="E449" i="1"/>
  <c r="E391" i="1" s="1"/>
  <c r="E455" i="1"/>
  <c r="E397" i="1" s="1"/>
  <c r="E433" i="1"/>
  <c r="E431" i="1"/>
  <c r="E429" i="1"/>
  <c r="E428" i="1"/>
  <c r="E427" i="1"/>
  <c r="E426" i="1"/>
  <c r="E425" i="1"/>
  <c r="F424" i="1"/>
  <c r="E424" i="1"/>
  <c r="E423" i="1"/>
  <c r="E422" i="1"/>
  <c r="E420" i="1"/>
  <c r="E419" i="1"/>
  <c r="E417" i="1"/>
  <c r="E416" i="1"/>
  <c r="E414" i="1"/>
  <c r="E413" i="1"/>
  <c r="E411" i="1"/>
  <c r="F386" i="1"/>
  <c r="E396" i="1"/>
  <c r="E398" i="1"/>
  <c r="E400" i="1"/>
  <c r="E401" i="1"/>
  <c r="E286" i="1"/>
  <c r="E288" i="1"/>
  <c r="E289" i="1"/>
  <c r="E291" i="1"/>
  <c r="E292" i="1"/>
  <c r="E294" i="1"/>
  <c r="E295" i="1"/>
  <c r="E297" i="1"/>
  <c r="E298" i="1"/>
  <c r="E299" i="1"/>
  <c r="E300" i="1"/>
  <c r="E301" i="1"/>
  <c r="E302" i="1"/>
  <c r="E303" i="1"/>
  <c r="E304" i="1"/>
  <c r="E306" i="1"/>
  <c r="E308" i="1"/>
  <c r="F299" i="1"/>
  <c r="F267" i="1"/>
  <c r="E273" i="1"/>
  <c r="E275" i="1"/>
  <c r="E276" i="1"/>
  <c r="E334" i="1"/>
  <c r="E274" i="1" s="1"/>
  <c r="E328" i="1"/>
  <c r="E268" i="1" s="1"/>
  <c r="E327" i="1"/>
  <c r="E267" i="1" s="1"/>
  <c r="E324" i="1"/>
  <c r="E264" i="1" s="1"/>
  <c r="E332" i="1"/>
  <c r="E272" i="1" s="1"/>
  <c r="H322" i="1"/>
  <c r="H262" i="1" s="1"/>
  <c r="M127" i="1"/>
  <c r="M128" i="1"/>
  <c r="M130" i="1"/>
  <c r="M132" i="1"/>
  <c r="M133" i="1"/>
  <c r="P127" i="1"/>
  <c r="P128" i="1"/>
  <c r="P130" i="1"/>
  <c r="P132" i="1"/>
  <c r="P133" i="1"/>
  <c r="S127" i="1"/>
  <c r="S128" i="1"/>
  <c r="S130" i="1"/>
  <c r="S132" i="1"/>
  <c r="S133" i="1"/>
  <c r="V127" i="1"/>
  <c r="V128" i="1"/>
  <c r="V130" i="1"/>
  <c r="V132" i="1"/>
  <c r="V133" i="1"/>
  <c r="Y127" i="1"/>
  <c r="Y128" i="1"/>
  <c r="Y130" i="1"/>
  <c r="Y132" i="1"/>
  <c r="Y133" i="1"/>
  <c r="AB127" i="1"/>
  <c r="AB128" i="1"/>
  <c r="AB130" i="1"/>
  <c r="AB132" i="1"/>
  <c r="AB133" i="1"/>
  <c r="AE127" i="1"/>
  <c r="AE128" i="1"/>
  <c r="AE130" i="1"/>
  <c r="AE132" i="1"/>
  <c r="AE133" i="1"/>
  <c r="J133" i="1"/>
  <c r="J132" i="1"/>
  <c r="J130" i="1"/>
  <c r="J128" i="1"/>
  <c r="J127" i="1"/>
  <c r="E137" i="1"/>
  <c r="E142" i="1"/>
  <c r="E144" i="1"/>
  <c r="E146" i="1"/>
  <c r="E148" i="1"/>
  <c r="C466" i="1"/>
  <c r="C465" i="1"/>
  <c r="AD461" i="1"/>
  <c r="AD403" i="1" s="1"/>
  <c r="AA461" i="1"/>
  <c r="AA403" i="1" s="1"/>
  <c r="X461" i="1"/>
  <c r="X403" i="1" s="1"/>
  <c r="U461" i="1"/>
  <c r="U403" i="1" s="1"/>
  <c r="R461" i="1"/>
  <c r="R403" i="1" s="1"/>
  <c r="O461" i="1"/>
  <c r="O403" i="1" s="1"/>
  <c r="L461" i="1"/>
  <c r="L403" i="1" s="1"/>
  <c r="H461" i="1"/>
  <c r="I461" i="1" s="1"/>
  <c r="I403" i="1" s="1"/>
  <c r="AC457" i="1"/>
  <c r="AC399" i="1" s="1"/>
  <c r="Z457" i="1"/>
  <c r="Z399" i="1" s="1"/>
  <c r="W457" i="1"/>
  <c r="W399" i="1" s="1"/>
  <c r="T457" i="1"/>
  <c r="T399" i="1" s="1"/>
  <c r="Q457" i="1"/>
  <c r="Q399" i="1" s="1"/>
  <c r="N457" i="1"/>
  <c r="N399" i="1" s="1"/>
  <c r="K457" i="1"/>
  <c r="K399" i="1" s="1"/>
  <c r="H399" i="1"/>
  <c r="AC456" i="1"/>
  <c r="AC398" i="1" s="1"/>
  <c r="Z456" i="1"/>
  <c r="Z398" i="1" s="1"/>
  <c r="AC455" i="1"/>
  <c r="AC397" i="1" s="1"/>
  <c r="Z455" i="1"/>
  <c r="Z397" i="1" s="1"/>
  <c r="W455" i="1"/>
  <c r="W397" i="1" s="1"/>
  <c r="T455" i="1"/>
  <c r="T397" i="1" s="1"/>
  <c r="Q455" i="1"/>
  <c r="Q397" i="1" s="1"/>
  <c r="N455" i="1"/>
  <c r="N397" i="1" s="1"/>
  <c r="K455" i="1"/>
  <c r="K397" i="1" s="1"/>
  <c r="H455" i="1"/>
  <c r="H397" i="1" s="1"/>
  <c r="H453" i="1"/>
  <c r="Z451" i="1"/>
  <c r="Z393" i="1" s="1"/>
  <c r="C451" i="1"/>
  <c r="W451" i="1" s="1"/>
  <c r="W393" i="1" s="1"/>
  <c r="C450" i="1"/>
  <c r="AC449" i="1"/>
  <c r="AC391" i="1" s="1"/>
  <c r="Z449" i="1"/>
  <c r="Z391" i="1" s="1"/>
  <c r="W449" i="1"/>
  <c r="W391" i="1" s="1"/>
  <c r="T449" i="1"/>
  <c r="T391" i="1" s="1"/>
  <c r="Q449" i="1"/>
  <c r="Q391" i="1" s="1"/>
  <c r="N449" i="1"/>
  <c r="N391" i="1" s="1"/>
  <c r="K449" i="1"/>
  <c r="K391" i="1" s="1"/>
  <c r="H449" i="1"/>
  <c r="H391" i="1" s="1"/>
  <c r="AC446" i="1"/>
  <c r="AC447" i="1" s="1"/>
  <c r="AC389" i="1" s="1"/>
  <c r="Z446" i="1"/>
  <c r="Z447" i="1" s="1"/>
  <c r="Z389" i="1" s="1"/>
  <c r="W446" i="1"/>
  <c r="W447" i="1" s="1"/>
  <c r="W389" i="1" s="1"/>
  <c r="T446" i="1"/>
  <c r="Q446" i="1"/>
  <c r="Q447" i="1" s="1"/>
  <c r="Q389" i="1" s="1"/>
  <c r="N446" i="1"/>
  <c r="N447" i="1" s="1"/>
  <c r="N389" i="1" s="1"/>
  <c r="K446" i="1"/>
  <c r="K447" i="1" s="1"/>
  <c r="K389" i="1" s="1"/>
  <c r="H446" i="1"/>
  <c r="H388" i="1" s="1"/>
  <c r="AC433" i="1"/>
  <c r="Z433" i="1"/>
  <c r="W433" i="1"/>
  <c r="T433" i="1"/>
  <c r="Q433" i="1"/>
  <c r="N433" i="1"/>
  <c r="K433" i="1"/>
  <c r="H433" i="1"/>
  <c r="AC431" i="1"/>
  <c r="Z431" i="1"/>
  <c r="W431" i="1"/>
  <c r="T431" i="1"/>
  <c r="Q431" i="1"/>
  <c r="N431" i="1"/>
  <c r="K431" i="1"/>
  <c r="H431" i="1"/>
  <c r="AC429" i="1"/>
  <c r="Z429" i="1"/>
  <c r="W429" i="1"/>
  <c r="T429" i="1"/>
  <c r="Q429" i="1"/>
  <c r="N429" i="1"/>
  <c r="K429" i="1"/>
  <c r="H429" i="1"/>
  <c r="AC428" i="1"/>
  <c r="Z428" i="1"/>
  <c r="W428" i="1"/>
  <c r="T428" i="1"/>
  <c r="Q428" i="1"/>
  <c r="N428" i="1"/>
  <c r="K428" i="1"/>
  <c r="H428" i="1"/>
  <c r="AC427" i="1"/>
  <c r="Z427" i="1"/>
  <c r="W427" i="1"/>
  <c r="T427" i="1"/>
  <c r="Q427" i="1"/>
  <c r="N427" i="1"/>
  <c r="K427" i="1"/>
  <c r="H427" i="1"/>
  <c r="AC426" i="1"/>
  <c r="Z426" i="1"/>
  <c r="W426" i="1"/>
  <c r="T426" i="1"/>
  <c r="Q426" i="1"/>
  <c r="N426" i="1"/>
  <c r="K426" i="1"/>
  <c r="H426" i="1"/>
  <c r="AC425" i="1"/>
  <c r="Z425" i="1"/>
  <c r="W425" i="1"/>
  <c r="T425" i="1"/>
  <c r="Q425" i="1"/>
  <c r="N425" i="1"/>
  <c r="K425" i="1"/>
  <c r="H425" i="1"/>
  <c r="AD424" i="1"/>
  <c r="AC424" i="1"/>
  <c r="AA424" i="1"/>
  <c r="Z424" i="1"/>
  <c r="X424" i="1"/>
  <c r="W424" i="1"/>
  <c r="U424" i="1"/>
  <c r="T424" i="1"/>
  <c r="R424" i="1"/>
  <c r="Q424" i="1"/>
  <c r="O424" i="1"/>
  <c r="N424" i="1"/>
  <c r="K424" i="1"/>
  <c r="I424" i="1"/>
  <c r="H424" i="1"/>
  <c r="AC423" i="1"/>
  <c r="Z423" i="1"/>
  <c r="W423" i="1"/>
  <c r="T423" i="1"/>
  <c r="Q423" i="1"/>
  <c r="N423" i="1"/>
  <c r="K423" i="1"/>
  <c r="H423" i="1"/>
  <c r="AC422" i="1"/>
  <c r="Z422" i="1"/>
  <c r="W422" i="1"/>
  <c r="T422" i="1"/>
  <c r="Q422" i="1"/>
  <c r="N422" i="1"/>
  <c r="K422" i="1"/>
  <c r="H422" i="1"/>
  <c r="Z420" i="1"/>
  <c r="W420" i="1"/>
  <c r="T420" i="1"/>
  <c r="Q420" i="1"/>
  <c r="N420" i="1"/>
  <c r="K420" i="1"/>
  <c r="H420" i="1"/>
  <c r="Z419" i="1"/>
  <c r="W419" i="1"/>
  <c r="T419" i="1"/>
  <c r="Q419" i="1"/>
  <c r="N419" i="1"/>
  <c r="K419" i="1"/>
  <c r="H419" i="1"/>
  <c r="Z417" i="1"/>
  <c r="W417" i="1"/>
  <c r="T417" i="1"/>
  <c r="Q417" i="1"/>
  <c r="N417" i="1"/>
  <c r="K417" i="1"/>
  <c r="H417" i="1"/>
  <c r="Z416" i="1"/>
  <c r="W416" i="1"/>
  <c r="T416" i="1"/>
  <c r="Q416" i="1"/>
  <c r="N416" i="1"/>
  <c r="K416" i="1"/>
  <c r="H416" i="1"/>
  <c r="Z414" i="1"/>
  <c r="W414" i="1"/>
  <c r="T414" i="1"/>
  <c r="Q414" i="1"/>
  <c r="N414" i="1"/>
  <c r="K414" i="1"/>
  <c r="H414" i="1"/>
  <c r="Z413" i="1"/>
  <c r="W413" i="1"/>
  <c r="T413" i="1"/>
  <c r="Q413" i="1"/>
  <c r="N413" i="1"/>
  <c r="K413" i="1"/>
  <c r="H413" i="1"/>
  <c r="AC411" i="1"/>
  <c r="Z411" i="1"/>
  <c r="W411" i="1"/>
  <c r="T411" i="1"/>
  <c r="Q411" i="1"/>
  <c r="N411" i="1"/>
  <c r="K411" i="1"/>
  <c r="H411" i="1"/>
  <c r="AD410" i="1"/>
  <c r="AA410" i="1"/>
  <c r="X410" i="1"/>
  <c r="U410" i="1"/>
  <c r="AC403" i="1"/>
  <c r="Z403" i="1"/>
  <c r="W403" i="1"/>
  <c r="T403" i="1"/>
  <c r="Q403" i="1"/>
  <c r="N403" i="1"/>
  <c r="K403" i="1"/>
  <c r="AC401" i="1"/>
  <c r="Z401" i="1"/>
  <c r="W401" i="1"/>
  <c r="T401" i="1"/>
  <c r="Q401" i="1"/>
  <c r="N401" i="1"/>
  <c r="K401" i="1"/>
  <c r="H401" i="1"/>
  <c r="AC400" i="1"/>
  <c r="Z400" i="1"/>
  <c r="W400" i="1"/>
  <c r="T400" i="1"/>
  <c r="Q400" i="1"/>
  <c r="N400" i="1"/>
  <c r="K400" i="1"/>
  <c r="H400" i="1"/>
  <c r="W398" i="1"/>
  <c r="T398" i="1"/>
  <c r="Q398" i="1"/>
  <c r="N398" i="1"/>
  <c r="K398" i="1"/>
  <c r="H398" i="1"/>
  <c r="AC396" i="1"/>
  <c r="Z396" i="1"/>
  <c r="W396" i="1"/>
  <c r="T396" i="1"/>
  <c r="Q396" i="1"/>
  <c r="N396" i="1"/>
  <c r="K396" i="1"/>
  <c r="H396" i="1"/>
  <c r="AC395" i="1"/>
  <c r="Z395" i="1"/>
  <c r="W395" i="1"/>
  <c r="T395" i="1"/>
  <c r="Q395" i="1"/>
  <c r="N395" i="1"/>
  <c r="K395" i="1"/>
  <c r="AC393" i="1"/>
  <c r="AD392" i="1"/>
  <c r="AA392" i="1"/>
  <c r="X392" i="1"/>
  <c r="U392" i="1"/>
  <c r="R392" i="1"/>
  <c r="O392" i="1"/>
  <c r="L392" i="1"/>
  <c r="I392" i="1"/>
  <c r="C392" i="1"/>
  <c r="D382" i="1"/>
  <c r="E444" i="1" s="1"/>
  <c r="E386" i="1" s="1"/>
  <c r="D377" i="1"/>
  <c r="C343" i="1"/>
  <c r="C342" i="1"/>
  <c r="AD338" i="1"/>
  <c r="AD278" i="1" s="1"/>
  <c r="AA338" i="1"/>
  <c r="AA278" i="1" s="1"/>
  <c r="X338" i="1"/>
  <c r="X278" i="1" s="1"/>
  <c r="U338" i="1"/>
  <c r="U278" i="1" s="1"/>
  <c r="R338" i="1"/>
  <c r="R278" i="1" s="1"/>
  <c r="O338" i="1"/>
  <c r="O278" i="1" s="1"/>
  <c r="L338" i="1"/>
  <c r="L278" i="1" s="1"/>
  <c r="H338" i="1"/>
  <c r="I338" i="1" s="1"/>
  <c r="I278" i="1" s="1"/>
  <c r="AC334" i="1"/>
  <c r="AC274" i="1" s="1"/>
  <c r="Z334" i="1"/>
  <c r="Z274" i="1" s="1"/>
  <c r="W334" i="1"/>
  <c r="W274" i="1" s="1"/>
  <c r="T334" i="1"/>
  <c r="T274" i="1" s="1"/>
  <c r="Q334" i="1"/>
  <c r="Q274" i="1" s="1"/>
  <c r="N334" i="1"/>
  <c r="N274" i="1" s="1"/>
  <c r="K334" i="1"/>
  <c r="K274" i="1" s="1"/>
  <c r="H274" i="1"/>
  <c r="AC333" i="1"/>
  <c r="AC273" i="1" s="1"/>
  <c r="Z333" i="1"/>
  <c r="Z273" i="1" s="1"/>
  <c r="AC332" i="1"/>
  <c r="AC272" i="1" s="1"/>
  <c r="Z332" i="1"/>
  <c r="Z272" i="1" s="1"/>
  <c r="W332" i="1"/>
  <c r="W272" i="1" s="1"/>
  <c r="T332" i="1"/>
  <c r="T272" i="1" s="1"/>
  <c r="Q332" i="1"/>
  <c r="Q272" i="1" s="1"/>
  <c r="N332" i="1"/>
  <c r="N272" i="1" s="1"/>
  <c r="K332" i="1"/>
  <c r="K272" i="1" s="1"/>
  <c r="H332" i="1"/>
  <c r="H272" i="1" s="1"/>
  <c r="H331" i="1"/>
  <c r="C329" i="1"/>
  <c r="Q329" i="1" s="1"/>
  <c r="Q269" i="1" s="1"/>
  <c r="AC328" i="1"/>
  <c r="AC268" i="1" s="1"/>
  <c r="Z328" i="1"/>
  <c r="Z268" i="1" s="1"/>
  <c r="W328" i="1"/>
  <c r="W268" i="1" s="1"/>
  <c r="T328" i="1"/>
  <c r="T268" i="1" s="1"/>
  <c r="Q328" i="1"/>
  <c r="Q268" i="1" s="1"/>
  <c r="N328" i="1"/>
  <c r="N268" i="1" s="1"/>
  <c r="K328" i="1"/>
  <c r="K268" i="1" s="1"/>
  <c r="H328" i="1"/>
  <c r="H268" i="1" s="1"/>
  <c r="AC327" i="1"/>
  <c r="AC267" i="1" s="1"/>
  <c r="Z327" i="1"/>
  <c r="Z267" i="1" s="1"/>
  <c r="W327" i="1"/>
  <c r="W267" i="1" s="1"/>
  <c r="T327" i="1"/>
  <c r="T267" i="1" s="1"/>
  <c r="Q327" i="1"/>
  <c r="Q267" i="1" s="1"/>
  <c r="N327" i="1"/>
  <c r="N267" i="1" s="1"/>
  <c r="K327" i="1"/>
  <c r="K267" i="1" s="1"/>
  <c r="H327" i="1"/>
  <c r="H267" i="1" s="1"/>
  <c r="C326" i="1"/>
  <c r="AC324" i="1"/>
  <c r="AC264" i="1" s="1"/>
  <c r="Z324" i="1"/>
  <c r="Z264" i="1" s="1"/>
  <c r="W324" i="1"/>
  <c r="W264" i="1" s="1"/>
  <c r="T324" i="1"/>
  <c r="T264" i="1" s="1"/>
  <c r="Q324" i="1"/>
  <c r="Q264" i="1" s="1"/>
  <c r="N324" i="1"/>
  <c r="N264" i="1" s="1"/>
  <c r="K324" i="1"/>
  <c r="K264" i="1" s="1"/>
  <c r="H324" i="1"/>
  <c r="H264" i="1" s="1"/>
  <c r="AC322" i="1"/>
  <c r="AC323" i="1" s="1"/>
  <c r="AC263" i="1" s="1"/>
  <c r="Z322" i="1"/>
  <c r="Z323" i="1" s="1"/>
  <c r="Z263" i="1" s="1"/>
  <c r="W322" i="1"/>
  <c r="W323" i="1" s="1"/>
  <c r="W263" i="1" s="1"/>
  <c r="T322" i="1"/>
  <c r="T262" i="1" s="1"/>
  <c r="Q322" i="1"/>
  <c r="Q323" i="1" s="1"/>
  <c r="Q263" i="1" s="1"/>
  <c r="N322" i="1"/>
  <c r="N323" i="1" s="1"/>
  <c r="N263" i="1" s="1"/>
  <c r="K322" i="1"/>
  <c r="K323" i="1" s="1"/>
  <c r="K263" i="1" s="1"/>
  <c r="K309" i="1"/>
  <c r="AC308" i="1"/>
  <c r="Z308" i="1"/>
  <c r="W308" i="1"/>
  <c r="T308" i="1"/>
  <c r="Q308" i="1"/>
  <c r="N308" i="1"/>
  <c r="K308" i="1"/>
  <c r="H308" i="1"/>
  <c r="AC306" i="1"/>
  <c r="Z306" i="1"/>
  <c r="W306" i="1"/>
  <c r="T306" i="1"/>
  <c r="Q306" i="1"/>
  <c r="N306" i="1"/>
  <c r="K306" i="1"/>
  <c r="H306" i="1"/>
  <c r="AC304" i="1"/>
  <c r="Z304" i="1"/>
  <c r="W304" i="1"/>
  <c r="T304" i="1"/>
  <c r="Q304" i="1"/>
  <c r="N304" i="1"/>
  <c r="K304" i="1"/>
  <c r="H304" i="1"/>
  <c r="AC303" i="1"/>
  <c r="Z303" i="1"/>
  <c r="W303" i="1"/>
  <c r="T303" i="1"/>
  <c r="Q303" i="1"/>
  <c r="N303" i="1"/>
  <c r="K303" i="1"/>
  <c r="H303" i="1"/>
  <c r="AC302" i="1"/>
  <c r="Z302" i="1"/>
  <c r="W302" i="1"/>
  <c r="T302" i="1"/>
  <c r="Q302" i="1"/>
  <c r="N302" i="1"/>
  <c r="K302" i="1"/>
  <c r="H302" i="1"/>
  <c r="AC301" i="1"/>
  <c r="Z301" i="1"/>
  <c r="W301" i="1"/>
  <c r="T301" i="1"/>
  <c r="Q301" i="1"/>
  <c r="N301" i="1"/>
  <c r="K301" i="1"/>
  <c r="H301" i="1"/>
  <c r="AC300" i="1"/>
  <c r="Z300" i="1"/>
  <c r="W300" i="1"/>
  <c r="T300" i="1"/>
  <c r="Q300" i="1"/>
  <c r="N300" i="1"/>
  <c r="K300" i="1"/>
  <c r="H300" i="1"/>
  <c r="AD299" i="1"/>
  <c r="AC299" i="1"/>
  <c r="AA299" i="1"/>
  <c r="Z299" i="1"/>
  <c r="X299" i="1"/>
  <c r="W299" i="1"/>
  <c r="U299" i="1"/>
  <c r="T299" i="1"/>
  <c r="R299" i="1"/>
  <c r="Q299" i="1"/>
  <c r="O299" i="1"/>
  <c r="N299" i="1"/>
  <c r="L299" i="1"/>
  <c r="K299" i="1"/>
  <c r="I299" i="1"/>
  <c r="H299" i="1"/>
  <c r="AC298" i="1"/>
  <c r="Z298" i="1"/>
  <c r="W298" i="1"/>
  <c r="T298" i="1"/>
  <c r="Q298" i="1"/>
  <c r="N298" i="1"/>
  <c r="K298" i="1"/>
  <c r="H298" i="1"/>
  <c r="AC297" i="1"/>
  <c r="Z297" i="1"/>
  <c r="W297" i="1"/>
  <c r="T297" i="1"/>
  <c r="Q297" i="1"/>
  <c r="N297" i="1"/>
  <c r="K297" i="1"/>
  <c r="H297" i="1"/>
  <c r="Z295" i="1"/>
  <c r="W295" i="1"/>
  <c r="T295" i="1"/>
  <c r="Q295" i="1"/>
  <c r="N295" i="1"/>
  <c r="K295" i="1"/>
  <c r="H295" i="1"/>
  <c r="Z294" i="1"/>
  <c r="W294" i="1"/>
  <c r="T294" i="1"/>
  <c r="Q294" i="1"/>
  <c r="N294" i="1"/>
  <c r="K294" i="1"/>
  <c r="H294" i="1"/>
  <c r="Z292" i="1"/>
  <c r="W292" i="1"/>
  <c r="T292" i="1"/>
  <c r="Q292" i="1"/>
  <c r="N292" i="1"/>
  <c r="K292" i="1"/>
  <c r="H292" i="1"/>
  <c r="Z291" i="1"/>
  <c r="W291" i="1"/>
  <c r="T291" i="1"/>
  <c r="Q291" i="1"/>
  <c r="N291" i="1"/>
  <c r="K291" i="1"/>
  <c r="H291" i="1"/>
  <c r="Z289" i="1"/>
  <c r="W289" i="1"/>
  <c r="T289" i="1"/>
  <c r="Q289" i="1"/>
  <c r="N289" i="1"/>
  <c r="K289" i="1"/>
  <c r="H289" i="1"/>
  <c r="Z288" i="1"/>
  <c r="W288" i="1"/>
  <c r="T288" i="1"/>
  <c r="Q288" i="1"/>
  <c r="N288" i="1"/>
  <c r="K288" i="1"/>
  <c r="H288" i="1"/>
  <c r="AC286" i="1"/>
  <c r="Z286" i="1"/>
  <c r="W286" i="1"/>
  <c r="T286" i="1"/>
  <c r="Q286" i="1"/>
  <c r="N286" i="1"/>
  <c r="K286" i="1"/>
  <c r="H286" i="1"/>
  <c r="AC278" i="1"/>
  <c r="N278" i="1"/>
  <c r="K278" i="1"/>
  <c r="AC276" i="1"/>
  <c r="Z276" i="1"/>
  <c r="W276" i="1"/>
  <c r="T276" i="1"/>
  <c r="Q276" i="1"/>
  <c r="N276" i="1"/>
  <c r="K276" i="1"/>
  <c r="H276" i="1"/>
  <c r="AC275" i="1"/>
  <c r="Z275" i="1"/>
  <c r="W275" i="1"/>
  <c r="T275" i="1"/>
  <c r="Q275" i="1"/>
  <c r="N275" i="1"/>
  <c r="K275" i="1"/>
  <c r="H275" i="1"/>
  <c r="W273" i="1"/>
  <c r="T273" i="1"/>
  <c r="Q273" i="1"/>
  <c r="N273" i="1"/>
  <c r="K273" i="1"/>
  <c r="H273" i="1"/>
  <c r="AC271" i="1"/>
  <c r="Z271" i="1"/>
  <c r="W271" i="1"/>
  <c r="T271" i="1"/>
  <c r="Q271" i="1"/>
  <c r="AC269" i="1"/>
  <c r="AD267" i="1"/>
  <c r="AA267" i="1"/>
  <c r="X267" i="1"/>
  <c r="U267" i="1"/>
  <c r="R267" i="1"/>
  <c r="O267" i="1"/>
  <c r="L267" i="1"/>
  <c r="I267" i="1"/>
  <c r="D256" i="1"/>
  <c r="E320" i="1" s="1"/>
  <c r="E260" i="1" s="1"/>
  <c r="D248" i="1"/>
  <c r="C261" i="1" s="1"/>
  <c r="AD211" i="1"/>
  <c r="AD147" i="1" s="1"/>
  <c r="AA211" i="1"/>
  <c r="AA147" i="1" s="1"/>
  <c r="X211" i="1"/>
  <c r="X147" i="1" s="1"/>
  <c r="U211" i="1"/>
  <c r="U147" i="1" s="1"/>
  <c r="R211" i="1"/>
  <c r="R147" i="1" s="1"/>
  <c r="O211" i="1"/>
  <c r="O147" i="1" s="1"/>
  <c r="L211" i="1"/>
  <c r="L147" i="1" s="1"/>
  <c r="H211" i="1"/>
  <c r="I211" i="1" s="1"/>
  <c r="I147" i="1" s="1"/>
  <c r="C210" i="1"/>
  <c r="AD209" i="1"/>
  <c r="AD145" i="1" s="1"/>
  <c r="AA209" i="1"/>
  <c r="AA145" i="1" s="1"/>
  <c r="X209" i="1"/>
  <c r="X145" i="1" s="1"/>
  <c r="U209" i="1"/>
  <c r="U145" i="1" s="1"/>
  <c r="R209" i="1"/>
  <c r="R145" i="1" s="1"/>
  <c r="O209" i="1"/>
  <c r="O145" i="1" s="1"/>
  <c r="H209" i="1"/>
  <c r="L209" i="1" s="1"/>
  <c r="L145" i="1" s="1"/>
  <c r="AD205" i="1"/>
  <c r="AD141" i="1" s="1"/>
  <c r="AA205" i="1"/>
  <c r="AA141" i="1" s="1"/>
  <c r="X205" i="1"/>
  <c r="X141" i="1" s="1"/>
  <c r="U205" i="1"/>
  <c r="U141" i="1" s="1"/>
  <c r="R205" i="1"/>
  <c r="R141" i="1" s="1"/>
  <c r="O205" i="1"/>
  <c r="O141" i="1" s="1"/>
  <c r="L205" i="1"/>
  <c r="L141" i="1" s="1"/>
  <c r="H205" i="1"/>
  <c r="I205" i="1" s="1"/>
  <c r="I141" i="1" s="1"/>
  <c r="C203" i="1"/>
  <c r="H202" i="1"/>
  <c r="C201" i="1"/>
  <c r="C200" i="1"/>
  <c r="H198" i="1"/>
  <c r="C197" i="1"/>
  <c r="AC197" i="1" s="1"/>
  <c r="AC133" i="1" s="1"/>
  <c r="C196" i="1"/>
  <c r="C194" i="1"/>
  <c r="AD177" i="1"/>
  <c r="AC175" i="1"/>
  <c r="Z175" i="1"/>
  <c r="W175" i="1"/>
  <c r="T175" i="1"/>
  <c r="Q175" i="1"/>
  <c r="N175" i="1"/>
  <c r="K175" i="1"/>
  <c r="H175" i="1"/>
  <c r="Z174" i="1"/>
  <c r="N174" i="1"/>
  <c r="K174" i="1"/>
  <c r="AC173" i="1"/>
  <c r="AA173" i="1"/>
  <c r="Z173" i="1"/>
  <c r="W173" i="1"/>
  <c r="T173" i="1"/>
  <c r="Q173" i="1"/>
  <c r="O173" i="1"/>
  <c r="N173" i="1"/>
  <c r="L173" i="1"/>
  <c r="K173" i="1"/>
  <c r="H173" i="1"/>
  <c r="AC171" i="1"/>
  <c r="Z171" i="1"/>
  <c r="W171" i="1"/>
  <c r="T171" i="1"/>
  <c r="Q171" i="1"/>
  <c r="N171" i="1"/>
  <c r="K171" i="1"/>
  <c r="H171" i="1"/>
  <c r="AC170" i="1"/>
  <c r="Z170" i="1"/>
  <c r="W170" i="1"/>
  <c r="T170" i="1"/>
  <c r="Q170" i="1"/>
  <c r="N170" i="1"/>
  <c r="K170" i="1"/>
  <c r="H170" i="1"/>
  <c r="AC169" i="1"/>
  <c r="Z169" i="1"/>
  <c r="W169" i="1"/>
  <c r="T169" i="1"/>
  <c r="Q169" i="1"/>
  <c r="N169" i="1"/>
  <c r="K169" i="1"/>
  <c r="H169" i="1"/>
  <c r="AD168" i="1"/>
  <c r="AC168" i="1"/>
  <c r="AA168" i="1"/>
  <c r="Z168" i="1"/>
  <c r="X168" i="1"/>
  <c r="W168" i="1"/>
  <c r="T168" i="1"/>
  <c r="Q168" i="1"/>
  <c r="N168" i="1"/>
  <c r="K168" i="1"/>
  <c r="H168" i="1"/>
  <c r="AC167" i="1"/>
  <c r="Z167" i="1"/>
  <c r="W167" i="1"/>
  <c r="T167" i="1"/>
  <c r="Q167" i="1"/>
  <c r="N167" i="1"/>
  <c r="K167" i="1"/>
  <c r="H167" i="1"/>
  <c r="AD166" i="1"/>
  <c r="AC166" i="1"/>
  <c r="AA166" i="1"/>
  <c r="Z166" i="1"/>
  <c r="X166" i="1"/>
  <c r="W166" i="1"/>
  <c r="U166" i="1"/>
  <c r="T166" i="1"/>
  <c r="R166" i="1"/>
  <c r="Q166" i="1"/>
  <c r="O166" i="1"/>
  <c r="N166" i="1"/>
  <c r="L166" i="1"/>
  <c r="K166" i="1"/>
  <c r="I166" i="1"/>
  <c r="H166" i="1"/>
  <c r="AC165" i="1"/>
  <c r="Z165" i="1"/>
  <c r="W165" i="1"/>
  <c r="T165" i="1"/>
  <c r="Q165" i="1"/>
  <c r="N165" i="1"/>
  <c r="K165" i="1"/>
  <c r="H165" i="1"/>
  <c r="AD164" i="1"/>
  <c r="AC164" i="1"/>
  <c r="AA164" i="1"/>
  <c r="Z164" i="1"/>
  <c r="X164" i="1"/>
  <c r="W164" i="1"/>
  <c r="T164" i="1"/>
  <c r="Q164" i="1"/>
  <c r="N164" i="1"/>
  <c r="K164" i="1"/>
  <c r="H164" i="1"/>
  <c r="Z162" i="1"/>
  <c r="W162" i="1"/>
  <c r="T162" i="1"/>
  <c r="Q162" i="1"/>
  <c r="N162" i="1"/>
  <c r="K162" i="1"/>
  <c r="H162" i="1"/>
  <c r="Z161" i="1"/>
  <c r="W161" i="1"/>
  <c r="T161" i="1"/>
  <c r="Q161" i="1"/>
  <c r="N161" i="1"/>
  <c r="K161" i="1"/>
  <c r="H161" i="1"/>
  <c r="Z159" i="1"/>
  <c r="W159" i="1"/>
  <c r="T159" i="1"/>
  <c r="Q159" i="1"/>
  <c r="N159" i="1"/>
  <c r="K159" i="1"/>
  <c r="H159" i="1"/>
  <c r="Z158" i="1"/>
  <c r="W158" i="1"/>
  <c r="T158" i="1"/>
  <c r="Q158" i="1"/>
  <c r="N158" i="1"/>
  <c r="K158" i="1"/>
  <c r="H158" i="1"/>
  <c r="Z156" i="1"/>
  <c r="W156" i="1"/>
  <c r="T156" i="1"/>
  <c r="Q156" i="1"/>
  <c r="N156" i="1"/>
  <c r="K156" i="1"/>
  <c r="H156" i="1"/>
  <c r="Z155" i="1"/>
  <c r="W155" i="1"/>
  <c r="T155" i="1"/>
  <c r="Q155" i="1"/>
  <c r="N155" i="1"/>
  <c r="K155" i="1"/>
  <c r="H155" i="1"/>
  <c r="AD154" i="1"/>
  <c r="AA154" i="1"/>
  <c r="X154" i="1"/>
  <c r="U154" i="1"/>
  <c r="R154" i="1"/>
  <c r="O154" i="1"/>
  <c r="L154" i="1"/>
  <c r="I154" i="1"/>
  <c r="AD153" i="1"/>
  <c r="AA153" i="1"/>
  <c r="X153" i="1"/>
  <c r="U153" i="1"/>
  <c r="R153" i="1"/>
  <c r="O153" i="1"/>
  <c r="L153" i="1"/>
  <c r="I153" i="1"/>
  <c r="AC152" i="1"/>
  <c r="Z152" i="1"/>
  <c r="W152" i="1"/>
  <c r="T152" i="1"/>
  <c r="Q152" i="1"/>
  <c r="N152" i="1"/>
  <c r="K152" i="1"/>
  <c r="H152" i="1"/>
  <c r="AC150" i="1"/>
  <c r="Z150" i="1"/>
  <c r="W150" i="1"/>
  <c r="T150" i="1"/>
  <c r="Q150" i="1"/>
  <c r="N150" i="1"/>
  <c r="K150" i="1"/>
  <c r="H150" i="1"/>
  <c r="AD149" i="1"/>
  <c r="AA149" i="1"/>
  <c r="X149" i="1"/>
  <c r="U149" i="1"/>
  <c r="R149" i="1"/>
  <c r="O149" i="1"/>
  <c r="AC141" i="1"/>
  <c r="Z141" i="1"/>
  <c r="W141" i="1"/>
  <c r="T141" i="1"/>
  <c r="Q141" i="1"/>
  <c r="N141" i="1"/>
  <c r="K141" i="1"/>
  <c r="AC138" i="1"/>
  <c r="Z138" i="1"/>
  <c r="W138" i="1"/>
  <c r="T138" i="1"/>
  <c r="Q138" i="1"/>
  <c r="N138" i="1"/>
  <c r="K138" i="1"/>
  <c r="W137" i="1"/>
  <c r="T137" i="1"/>
  <c r="Q137" i="1"/>
  <c r="N137" i="1"/>
  <c r="K137" i="1"/>
  <c r="H137" i="1"/>
  <c r="AC134" i="1"/>
  <c r="Z134" i="1"/>
  <c r="W134" i="1"/>
  <c r="T134" i="1"/>
  <c r="Q134" i="1"/>
  <c r="N134" i="1"/>
  <c r="K134" i="1"/>
  <c r="AD133" i="1"/>
  <c r="AA133" i="1"/>
  <c r="X133" i="1"/>
  <c r="U133" i="1"/>
  <c r="R133" i="1"/>
  <c r="O133" i="1"/>
  <c r="L133" i="1"/>
  <c r="I133" i="1"/>
  <c r="C133" i="1"/>
  <c r="D112" i="1"/>
  <c r="C107" i="1"/>
  <c r="H106" i="1"/>
  <c r="E187" i="1" s="1"/>
  <c r="E123" i="1" s="1"/>
  <c r="G106" i="1"/>
  <c r="AC186" i="1" s="1"/>
  <c r="AC122" i="1" s="1"/>
  <c r="F106" i="1"/>
  <c r="AC185" i="1" s="1"/>
  <c r="AC121" i="1" s="1"/>
  <c r="D106" i="1"/>
  <c r="C106" i="1"/>
  <c r="AC193" i="1" s="1"/>
  <c r="AC129" i="1" s="1"/>
  <c r="B106" i="1"/>
  <c r="E451" i="1" l="1"/>
  <c r="E393" i="1" s="1"/>
  <c r="D114" i="1"/>
  <c r="H184" i="1" s="1"/>
  <c r="S28" i="1"/>
  <c r="T28" i="1" s="1"/>
  <c r="U28" i="1" s="1"/>
  <c r="V28" i="1" s="1"/>
  <c r="W28" i="1" s="1"/>
  <c r="S26" i="1"/>
  <c r="T26" i="1" s="1"/>
  <c r="U26" i="1" s="1"/>
  <c r="V26" i="1" s="1"/>
  <c r="W26" i="1" s="1"/>
  <c r="S24" i="1"/>
  <c r="T24" i="1" s="1"/>
  <c r="U24" i="1" s="1"/>
  <c r="V24" i="1" s="1"/>
  <c r="W24" i="1" s="1"/>
  <c r="S22" i="1"/>
  <c r="S20" i="1"/>
  <c r="S18" i="1"/>
  <c r="R27" i="1"/>
  <c r="T22" i="1"/>
  <c r="U22" i="1" s="1"/>
  <c r="V22" i="1" s="1"/>
  <c r="W22" i="1" s="1"/>
  <c r="R21" i="1"/>
  <c r="T18" i="1"/>
  <c r="U18" i="1" s="1"/>
  <c r="V18" i="1" s="1"/>
  <c r="W18" i="1" s="1"/>
  <c r="R28" i="1"/>
  <c r="R26" i="1"/>
  <c r="R24" i="1"/>
  <c r="R22" i="1"/>
  <c r="R20" i="1"/>
  <c r="R18" i="1"/>
  <c r="R29" i="1"/>
  <c r="S29" i="1"/>
  <c r="T29" i="1" s="1"/>
  <c r="U29" i="1" s="1"/>
  <c r="V29" i="1" s="1"/>
  <c r="W29" i="1" s="1"/>
  <c r="S27" i="1"/>
  <c r="T27" i="1" s="1"/>
  <c r="U27" i="1" s="1"/>
  <c r="V27" i="1" s="1"/>
  <c r="W27" i="1" s="1"/>
  <c r="S25" i="1"/>
  <c r="T25" i="1" s="1"/>
  <c r="U25" i="1" s="1"/>
  <c r="V25" i="1" s="1"/>
  <c r="W25" i="1" s="1"/>
  <c r="S23" i="1"/>
  <c r="T23" i="1" s="1"/>
  <c r="U23" i="1" s="1"/>
  <c r="V23" i="1" s="1"/>
  <c r="W23" i="1" s="1"/>
  <c r="S21" i="1"/>
  <c r="T21" i="1" s="1"/>
  <c r="U21" i="1" s="1"/>
  <c r="V21" i="1" s="1"/>
  <c r="W21" i="1" s="1"/>
  <c r="S19" i="1"/>
  <c r="T19" i="1" s="1"/>
  <c r="U19" i="1" s="1"/>
  <c r="V19" i="1" s="1"/>
  <c r="W19" i="1" s="1"/>
  <c r="R25" i="1"/>
  <c r="R23" i="1"/>
  <c r="T20" i="1"/>
  <c r="U20" i="1" s="1"/>
  <c r="V20" i="1" s="1"/>
  <c r="W20" i="1" s="1"/>
  <c r="R19" i="1"/>
  <c r="C332" i="1"/>
  <c r="C272" i="1" s="1"/>
  <c r="E388" i="1"/>
  <c r="C446" i="1"/>
  <c r="C388" i="1" s="1"/>
  <c r="C334" i="1"/>
  <c r="C274" i="1" s="1"/>
  <c r="C455" i="1"/>
  <c r="C397" i="1" s="1"/>
  <c r="C457" i="1"/>
  <c r="C399" i="1" s="1"/>
  <c r="E392" i="1"/>
  <c r="E185" i="1"/>
  <c r="E121" i="1" s="1"/>
  <c r="E193" i="1"/>
  <c r="E129" i="1" s="1"/>
  <c r="E186" i="1"/>
  <c r="E122" i="1" s="1"/>
  <c r="E184" i="1"/>
  <c r="E120" i="1" s="1"/>
  <c r="E262" i="1"/>
  <c r="C322" i="1"/>
  <c r="C262" i="1" s="1"/>
  <c r="E197" i="1"/>
  <c r="E133" i="1" s="1"/>
  <c r="E445" i="1"/>
  <c r="Q388" i="1"/>
  <c r="AC388" i="1"/>
  <c r="R72" i="1"/>
  <c r="S65" i="1"/>
  <c r="T65" i="1" s="1"/>
  <c r="U65" i="1" s="1"/>
  <c r="V65" i="1" s="1"/>
  <c r="W65" i="1" s="1"/>
  <c r="S67" i="1"/>
  <c r="T67" i="1" s="1"/>
  <c r="U67" i="1" s="1"/>
  <c r="V67" i="1" s="1"/>
  <c r="W67" i="1" s="1"/>
  <c r="R69" i="1"/>
  <c r="R71" i="1"/>
  <c r="S72" i="1"/>
  <c r="T72" i="1" s="1"/>
  <c r="U72" i="1" s="1"/>
  <c r="V72" i="1" s="1"/>
  <c r="W72" i="1" s="1"/>
  <c r="S74" i="1"/>
  <c r="T74" i="1" s="1"/>
  <c r="U74" i="1" s="1"/>
  <c r="V74" i="1" s="1"/>
  <c r="W74" i="1" s="1"/>
  <c r="E321" i="1"/>
  <c r="E261" i="1" s="1"/>
  <c r="R65" i="1"/>
  <c r="S70" i="1"/>
  <c r="T70" i="1" s="1"/>
  <c r="U70" i="1" s="1"/>
  <c r="V70" i="1" s="1"/>
  <c r="W70" i="1" s="1"/>
  <c r="R64" i="1"/>
  <c r="R66" i="1"/>
  <c r="R68" i="1"/>
  <c r="S69" i="1"/>
  <c r="T69" i="1" s="1"/>
  <c r="U69" i="1" s="1"/>
  <c r="V69" i="1" s="1"/>
  <c r="W69" i="1" s="1"/>
  <c r="S71" i="1"/>
  <c r="T71" i="1" s="1"/>
  <c r="U71" i="1" s="1"/>
  <c r="V71" i="1" s="1"/>
  <c r="W71" i="1" s="1"/>
  <c r="R73" i="1"/>
  <c r="R75" i="1"/>
  <c r="R67" i="1"/>
  <c r="R74" i="1"/>
  <c r="S64" i="1"/>
  <c r="T64" i="1" s="1"/>
  <c r="U64" i="1" s="1"/>
  <c r="V64" i="1" s="1"/>
  <c r="W64" i="1" s="1"/>
  <c r="S66" i="1"/>
  <c r="T66" i="1" s="1"/>
  <c r="U66" i="1" s="1"/>
  <c r="V66" i="1" s="1"/>
  <c r="W66" i="1" s="1"/>
  <c r="S68" i="1"/>
  <c r="T68" i="1" s="1"/>
  <c r="U68" i="1" s="1"/>
  <c r="V68" i="1" s="1"/>
  <c r="W68" i="1" s="1"/>
  <c r="R70" i="1"/>
  <c r="S73" i="1"/>
  <c r="T73" i="1" s="1"/>
  <c r="U73" i="1" s="1"/>
  <c r="V73" i="1" s="1"/>
  <c r="W73" i="1" s="1"/>
  <c r="S75" i="1"/>
  <c r="T75" i="1" s="1"/>
  <c r="U75" i="1" s="1"/>
  <c r="V75" i="1" s="1"/>
  <c r="W75" i="1" s="1"/>
  <c r="E329" i="1"/>
  <c r="E269" i="1" s="1"/>
  <c r="E326" i="1"/>
  <c r="Z388" i="1"/>
  <c r="N388" i="1"/>
  <c r="K262" i="1"/>
  <c r="Z262" i="1"/>
  <c r="W262" i="1"/>
  <c r="I209" i="1"/>
  <c r="I145" i="1" s="1"/>
  <c r="S53" i="1"/>
  <c r="T53" i="1" s="1"/>
  <c r="U53" i="1" s="1"/>
  <c r="V53" i="1" s="1"/>
  <c r="W53" i="1" s="1"/>
  <c r="R48" i="1"/>
  <c r="T197" i="1"/>
  <c r="T133" i="1" s="1"/>
  <c r="Z329" i="1"/>
  <c r="Z269" i="1" s="1"/>
  <c r="S49" i="1"/>
  <c r="T49" i="1" s="1"/>
  <c r="U49" i="1" s="1"/>
  <c r="V49" i="1" s="1"/>
  <c r="W49" i="1" s="1"/>
  <c r="S55" i="1"/>
  <c r="T55" i="1" s="1"/>
  <c r="U55" i="1" s="1"/>
  <c r="V55" i="1" s="1"/>
  <c r="W55" i="1" s="1"/>
  <c r="H329" i="1"/>
  <c r="H269" i="1" s="1"/>
  <c r="T451" i="1"/>
  <c r="T393" i="1" s="1"/>
  <c r="S51" i="1"/>
  <c r="T51" i="1" s="1"/>
  <c r="U51" i="1" s="1"/>
  <c r="V51" i="1" s="1"/>
  <c r="W51" i="1" s="1"/>
  <c r="R56" i="1"/>
  <c r="D115" i="1"/>
  <c r="N262" i="1"/>
  <c r="K329" i="1"/>
  <c r="K269" i="1" s="1"/>
  <c r="S47" i="1"/>
  <c r="T47" i="1" s="1"/>
  <c r="U47" i="1" s="1"/>
  <c r="V47" i="1" s="1"/>
  <c r="W47" i="1" s="1"/>
  <c r="R52" i="1"/>
  <c r="S57" i="1"/>
  <c r="T57" i="1" s="1"/>
  <c r="U57" i="1" s="1"/>
  <c r="V57" i="1" s="1"/>
  <c r="W57" i="1" s="1"/>
  <c r="T185" i="1"/>
  <c r="T121" i="1" s="1"/>
  <c r="W329" i="1"/>
  <c r="W269" i="1" s="1"/>
  <c r="H186" i="1"/>
  <c r="H122" i="1" s="1"/>
  <c r="Z197" i="1"/>
  <c r="Z133" i="1" s="1"/>
  <c r="R50" i="1"/>
  <c r="R54" i="1"/>
  <c r="R58" i="1"/>
  <c r="T186" i="1"/>
  <c r="T122" i="1" s="1"/>
  <c r="H197" i="1"/>
  <c r="H133" i="1" s="1"/>
  <c r="AC262" i="1"/>
  <c r="N329" i="1"/>
  <c r="N269" i="1" s="1"/>
  <c r="W388" i="1"/>
  <c r="H451" i="1"/>
  <c r="H393" i="1" s="1"/>
  <c r="H185" i="1"/>
  <c r="H121" i="1" s="1"/>
  <c r="N197" i="1"/>
  <c r="N133" i="1" s="1"/>
  <c r="Q262" i="1"/>
  <c r="T329" i="1"/>
  <c r="T269" i="1" s="1"/>
  <c r="K388" i="1"/>
  <c r="N451" i="1"/>
  <c r="N393" i="1" s="1"/>
  <c r="C189" i="1"/>
  <c r="C125" i="1" s="1"/>
  <c r="AC187" i="1"/>
  <c r="AC123" i="1" s="1"/>
  <c r="Q187" i="1"/>
  <c r="Q123" i="1" s="1"/>
  <c r="Z187" i="1"/>
  <c r="Z123" i="1" s="1"/>
  <c r="N187" i="1"/>
  <c r="N123" i="1" s="1"/>
  <c r="W187" i="1"/>
  <c r="W123" i="1" s="1"/>
  <c r="K187" i="1"/>
  <c r="K123" i="1" s="1"/>
  <c r="T184" i="1"/>
  <c r="H120" i="1"/>
  <c r="H187" i="1"/>
  <c r="H123" i="1" s="1"/>
  <c r="AC184" i="1"/>
  <c r="Q184" i="1"/>
  <c r="Z184" i="1"/>
  <c r="N184" i="1"/>
  <c r="W184" i="1"/>
  <c r="K184" i="1"/>
  <c r="T187" i="1"/>
  <c r="T123" i="1" s="1"/>
  <c r="R49" i="1"/>
  <c r="S50" i="1"/>
  <c r="T50" i="1" s="1"/>
  <c r="U50" i="1" s="1"/>
  <c r="V50" i="1" s="1"/>
  <c r="W50" i="1" s="1"/>
  <c r="R53" i="1"/>
  <c r="S54" i="1"/>
  <c r="T54" i="1" s="1"/>
  <c r="U54" i="1" s="1"/>
  <c r="V54" i="1" s="1"/>
  <c r="W54" i="1" s="1"/>
  <c r="R57" i="1"/>
  <c r="S58" i="1"/>
  <c r="T58" i="1" s="1"/>
  <c r="U58" i="1" s="1"/>
  <c r="V58" i="1" s="1"/>
  <c r="W58" i="1" s="1"/>
  <c r="K185" i="1"/>
  <c r="K121" i="1" s="1"/>
  <c r="W185" i="1"/>
  <c r="W121" i="1" s="1"/>
  <c r="K186" i="1"/>
  <c r="K122" i="1" s="1"/>
  <c r="W186" i="1"/>
  <c r="W122" i="1" s="1"/>
  <c r="H193" i="1"/>
  <c r="H129" i="1" s="1"/>
  <c r="N193" i="1"/>
  <c r="N129" i="1" s="1"/>
  <c r="T193" i="1"/>
  <c r="T129" i="1" s="1"/>
  <c r="Z193" i="1"/>
  <c r="Z129" i="1" s="1"/>
  <c r="K197" i="1"/>
  <c r="K133" i="1" s="1"/>
  <c r="W197" i="1"/>
  <c r="W133" i="1" s="1"/>
  <c r="Z320" i="1"/>
  <c r="N320" i="1"/>
  <c r="W320" i="1"/>
  <c r="K320" i="1"/>
  <c r="H320" i="1"/>
  <c r="AC320" i="1"/>
  <c r="T320" i="1"/>
  <c r="N185" i="1"/>
  <c r="N121" i="1" s="1"/>
  <c r="Z185" i="1"/>
  <c r="Z121" i="1" s="1"/>
  <c r="N186" i="1"/>
  <c r="N122" i="1" s="1"/>
  <c r="Z186" i="1"/>
  <c r="Z122" i="1" s="1"/>
  <c r="R47" i="1"/>
  <c r="S48" i="1"/>
  <c r="T48" i="1" s="1"/>
  <c r="U48" i="1" s="1"/>
  <c r="V48" i="1" s="1"/>
  <c r="W48" i="1" s="1"/>
  <c r="R51" i="1"/>
  <c r="S52" i="1"/>
  <c r="T52" i="1" s="1"/>
  <c r="U52" i="1" s="1"/>
  <c r="V52" i="1" s="1"/>
  <c r="W52" i="1" s="1"/>
  <c r="R55" i="1"/>
  <c r="S56" i="1"/>
  <c r="T56" i="1" s="1"/>
  <c r="U56" i="1" s="1"/>
  <c r="V56" i="1" s="1"/>
  <c r="W56" i="1" s="1"/>
  <c r="Q185" i="1"/>
  <c r="Q121" i="1" s="1"/>
  <c r="Q186" i="1"/>
  <c r="Q122" i="1" s="1"/>
  <c r="K193" i="1"/>
  <c r="K129" i="1" s="1"/>
  <c r="Q193" i="1"/>
  <c r="Q129" i="1" s="1"/>
  <c r="W193" i="1"/>
  <c r="W129" i="1" s="1"/>
  <c r="Q197" i="1"/>
  <c r="Q133" i="1" s="1"/>
  <c r="Q320" i="1"/>
  <c r="T388" i="1"/>
  <c r="T447" i="1"/>
  <c r="T389" i="1" s="1"/>
  <c r="H447" i="1"/>
  <c r="H389" i="1" s="1"/>
  <c r="AC444" i="1"/>
  <c r="Q444" i="1"/>
  <c r="W444" i="1"/>
  <c r="K444" i="1"/>
  <c r="Z444" i="1"/>
  <c r="T444" i="1"/>
  <c r="N444" i="1"/>
  <c r="H444" i="1"/>
  <c r="C321" i="1"/>
  <c r="H323" i="1"/>
  <c r="H263" i="1" s="1"/>
  <c r="T323" i="1"/>
  <c r="T263" i="1" s="1"/>
  <c r="Z450" i="1"/>
  <c r="Z392" i="1" s="1"/>
  <c r="N450" i="1"/>
  <c r="N392" i="1" s="1"/>
  <c r="T450" i="1"/>
  <c r="T392" i="1" s="1"/>
  <c r="H450" i="1"/>
  <c r="H392" i="1" s="1"/>
  <c r="W450" i="1"/>
  <c r="W392" i="1" s="1"/>
  <c r="Q450" i="1"/>
  <c r="Q392" i="1" s="1"/>
  <c r="K450" i="1"/>
  <c r="K392" i="1" s="1"/>
  <c r="AC450" i="1"/>
  <c r="AC392" i="1" s="1"/>
  <c r="Q451" i="1"/>
  <c r="Q393" i="1" s="1"/>
  <c r="K451" i="1"/>
  <c r="K393" i="1" s="1"/>
  <c r="I29" i="1" l="1"/>
  <c r="I20" i="1"/>
  <c r="I24" i="1"/>
  <c r="I21" i="1"/>
  <c r="I25" i="1"/>
  <c r="I28" i="1"/>
  <c r="E200" i="1"/>
  <c r="E136" i="1" s="1"/>
  <c r="I27" i="1"/>
  <c r="I19" i="1"/>
  <c r="I26" i="1"/>
  <c r="I18" i="1"/>
  <c r="I23" i="1"/>
  <c r="I22" i="1"/>
  <c r="I68" i="1"/>
  <c r="I72" i="1"/>
  <c r="I65" i="1"/>
  <c r="Z200" i="1"/>
  <c r="Z136" i="1" s="1"/>
  <c r="E192" i="1"/>
  <c r="E128" i="1" s="1"/>
  <c r="E203" i="1"/>
  <c r="E139" i="1" s="1"/>
  <c r="E196" i="1"/>
  <c r="E132" i="1" s="1"/>
  <c r="E325" i="1"/>
  <c r="E265" i="1" s="1"/>
  <c r="E266" i="1"/>
  <c r="E387" i="1"/>
  <c r="E448" i="1"/>
  <c r="E390" i="1" s="1"/>
  <c r="I73" i="1"/>
  <c r="I66" i="1"/>
  <c r="I71" i="1"/>
  <c r="I64" i="1"/>
  <c r="I75" i="1"/>
  <c r="I69" i="1"/>
  <c r="I70" i="1"/>
  <c r="I74" i="1"/>
  <c r="I67" i="1"/>
  <c r="I55" i="1"/>
  <c r="K200" i="1"/>
  <c r="K136" i="1" s="1"/>
  <c r="H192" i="1"/>
  <c r="H128" i="1" s="1"/>
  <c r="W200" i="1"/>
  <c r="W136" i="1" s="1"/>
  <c r="Z203" i="1"/>
  <c r="Z139" i="1" s="1"/>
  <c r="I47" i="1"/>
  <c r="Q196" i="1"/>
  <c r="Q132" i="1" s="1"/>
  <c r="AC201" i="1"/>
  <c r="AC137" i="1" s="1"/>
  <c r="I51" i="1"/>
  <c r="I50" i="1"/>
  <c r="W196" i="1"/>
  <c r="W132" i="1" s="1"/>
  <c r="N192" i="1"/>
  <c r="N128" i="1" s="1"/>
  <c r="K196" i="1"/>
  <c r="K132" i="1" s="1"/>
  <c r="T192" i="1"/>
  <c r="T128" i="1" s="1"/>
  <c r="AC196" i="1"/>
  <c r="AC132" i="1" s="1"/>
  <c r="N203" i="1"/>
  <c r="N139" i="1" s="1"/>
  <c r="I57" i="1"/>
  <c r="I49" i="1"/>
  <c r="I58" i="1"/>
  <c r="T200" i="1"/>
  <c r="T136" i="1" s="1"/>
  <c r="Q192" i="1"/>
  <c r="Q128" i="1" s="1"/>
  <c r="N196" i="1"/>
  <c r="N132" i="1" s="1"/>
  <c r="K192" i="1"/>
  <c r="K128" i="1" s="1"/>
  <c r="H200" i="1"/>
  <c r="H136" i="1" s="1"/>
  <c r="H196" i="1"/>
  <c r="H132" i="1" s="1"/>
  <c r="Q200" i="1"/>
  <c r="Q136" i="1" s="1"/>
  <c r="N200" i="1"/>
  <c r="N136" i="1" s="1"/>
  <c r="W203" i="1"/>
  <c r="W139" i="1" s="1"/>
  <c r="I54" i="1"/>
  <c r="T203" i="1"/>
  <c r="T139" i="1" s="1"/>
  <c r="AC203" i="1"/>
  <c r="AC139" i="1" s="1"/>
  <c r="Z192" i="1"/>
  <c r="Z128" i="1" s="1"/>
  <c r="Q203" i="1"/>
  <c r="Q139" i="1" s="1"/>
  <c r="K203" i="1"/>
  <c r="K139" i="1" s="1"/>
  <c r="I53" i="1"/>
  <c r="I56" i="1"/>
  <c r="I52" i="1"/>
  <c r="I48" i="1"/>
  <c r="AC192" i="1"/>
  <c r="AC128" i="1" s="1"/>
  <c r="Z201" i="1"/>
  <c r="Z137" i="1" s="1"/>
  <c r="Z196" i="1"/>
  <c r="Z132" i="1" s="1"/>
  <c r="W192" i="1"/>
  <c r="W128" i="1" s="1"/>
  <c r="AC200" i="1"/>
  <c r="AC136" i="1" s="1"/>
  <c r="T196" i="1"/>
  <c r="T132" i="1" s="1"/>
  <c r="H203" i="1"/>
  <c r="H139" i="1" s="1"/>
  <c r="Z445" i="1"/>
  <c r="Z386" i="1"/>
  <c r="AC445" i="1"/>
  <c r="AC386" i="1"/>
  <c r="Q260" i="1"/>
  <c r="Q326" i="1"/>
  <c r="Q266" i="1" s="1"/>
  <c r="Q321" i="1"/>
  <c r="Q261" i="1" s="1"/>
  <c r="K321" i="1"/>
  <c r="K261" i="1" s="1"/>
  <c r="K326" i="1"/>
  <c r="K266" i="1" s="1"/>
  <c r="K260" i="1"/>
  <c r="K120" i="1"/>
  <c r="Q120" i="1"/>
  <c r="H386" i="1"/>
  <c r="H445" i="1"/>
  <c r="H448" i="1" s="1"/>
  <c r="H390" i="1" s="1"/>
  <c r="K445" i="1"/>
  <c r="K448" i="1" s="1"/>
  <c r="K390" i="1" s="1"/>
  <c r="K386" i="1"/>
  <c r="T326" i="1"/>
  <c r="T266" i="1" s="1"/>
  <c r="T321" i="1"/>
  <c r="T261" i="1" s="1"/>
  <c r="T260" i="1"/>
  <c r="W321" i="1"/>
  <c r="W261" i="1" s="1"/>
  <c r="W326" i="1"/>
  <c r="W266" i="1" s="1"/>
  <c r="W260" i="1"/>
  <c r="W120" i="1"/>
  <c r="AC120" i="1"/>
  <c r="N445" i="1"/>
  <c r="N448" i="1" s="1"/>
  <c r="N386" i="1"/>
  <c r="W445" i="1"/>
  <c r="W386" i="1"/>
  <c r="AC260" i="1"/>
  <c r="AC326" i="1"/>
  <c r="AC266" i="1" s="1"/>
  <c r="AC321" i="1"/>
  <c r="AC261" i="1" s="1"/>
  <c r="N326" i="1"/>
  <c r="N266" i="1" s="1"/>
  <c r="N260" i="1"/>
  <c r="N321" i="1"/>
  <c r="N261" i="1" s="1"/>
  <c r="N120" i="1"/>
  <c r="T120" i="1"/>
  <c r="T386" i="1"/>
  <c r="T445" i="1"/>
  <c r="T448" i="1" s="1"/>
  <c r="Q445" i="1"/>
  <c r="Q386" i="1"/>
  <c r="H326" i="1"/>
  <c r="H266" i="1" s="1"/>
  <c r="H321" i="1"/>
  <c r="H261" i="1" s="1"/>
  <c r="H260" i="1"/>
  <c r="Z321" i="1"/>
  <c r="Z261" i="1" s="1"/>
  <c r="Z260" i="1"/>
  <c r="Z326" i="1"/>
  <c r="Z266" i="1" s="1"/>
  <c r="Z120" i="1"/>
  <c r="AC188" i="1" l="1"/>
  <c r="E330" i="1"/>
  <c r="E270" i="1" s="1"/>
  <c r="E189" i="1"/>
  <c r="E125" i="1" s="1"/>
  <c r="E194" i="1"/>
  <c r="E130" i="1" s="1"/>
  <c r="T188" i="1"/>
  <c r="T190" i="1" s="1"/>
  <c r="T126" i="1" s="1"/>
  <c r="F358" i="1"/>
  <c r="F298" i="1" s="1"/>
  <c r="H189" i="1"/>
  <c r="H125" i="1" s="1"/>
  <c r="H188" i="1"/>
  <c r="H124" i="1" s="1"/>
  <c r="E188" i="1"/>
  <c r="F481" i="1"/>
  <c r="E452" i="1"/>
  <c r="Q188" i="1"/>
  <c r="Q124" i="1" s="1"/>
  <c r="N189" i="1"/>
  <c r="N125" i="1" s="1"/>
  <c r="Q189" i="1"/>
  <c r="Q125" i="1" s="1"/>
  <c r="N194" i="1"/>
  <c r="N130" i="1" s="1"/>
  <c r="Q194" i="1"/>
  <c r="Q130" i="1" s="1"/>
  <c r="K194" i="1"/>
  <c r="K130" i="1" s="1"/>
  <c r="H194" i="1"/>
  <c r="H130" i="1" s="1"/>
  <c r="T189" i="1"/>
  <c r="T125" i="1" s="1"/>
  <c r="K188" i="1"/>
  <c r="K190" i="1" s="1"/>
  <c r="K126" i="1" s="1"/>
  <c r="T194" i="1"/>
  <c r="T130" i="1" s="1"/>
  <c r="W189" i="1"/>
  <c r="W125" i="1" s="1"/>
  <c r="N188" i="1"/>
  <c r="N124" i="1" s="1"/>
  <c r="Z188" i="1"/>
  <c r="Z124" i="1" s="1"/>
  <c r="W194" i="1"/>
  <c r="W130" i="1" s="1"/>
  <c r="W188" i="1"/>
  <c r="W190" i="1" s="1"/>
  <c r="W126" i="1" s="1"/>
  <c r="AC189" i="1"/>
  <c r="AC125" i="1" s="1"/>
  <c r="AC194" i="1"/>
  <c r="AC130" i="1" s="1"/>
  <c r="K189" i="1"/>
  <c r="K125" i="1" s="1"/>
  <c r="Z194" i="1"/>
  <c r="Z130" i="1" s="1"/>
  <c r="Z189" i="1"/>
  <c r="Z125" i="1" s="1"/>
  <c r="H452" i="1"/>
  <c r="Z325" i="1"/>
  <c r="Z265" i="1" s="1"/>
  <c r="T390" i="1"/>
  <c r="T452" i="1"/>
  <c r="T460" i="1" s="1"/>
  <c r="N390" i="1"/>
  <c r="O462" i="1"/>
  <c r="O404" i="1" s="1"/>
  <c r="U481" i="1"/>
  <c r="U487" i="1" s="1"/>
  <c r="U429" i="1" s="1"/>
  <c r="U465" i="1"/>
  <c r="U407" i="1" s="1"/>
  <c r="U464" i="1"/>
  <c r="U406" i="1" s="1"/>
  <c r="N325" i="1"/>
  <c r="N265" i="1" s="1"/>
  <c r="W448" i="1"/>
  <c r="X463" i="1" s="1"/>
  <c r="X405" i="1" s="1"/>
  <c r="N452" i="1"/>
  <c r="N460" i="1" s="1"/>
  <c r="O481" i="1"/>
  <c r="O487" i="1" s="1"/>
  <c r="O429" i="1" s="1"/>
  <c r="O465" i="1"/>
  <c r="O407" i="1" s="1"/>
  <c r="L481" i="1"/>
  <c r="L465" i="1"/>
  <c r="L407" i="1" s="1"/>
  <c r="I481" i="1"/>
  <c r="I485" i="1" s="1"/>
  <c r="I427" i="1" s="1"/>
  <c r="I465" i="1"/>
  <c r="I407" i="1" s="1"/>
  <c r="AC387" i="1"/>
  <c r="Q387" i="1"/>
  <c r="T325" i="1"/>
  <c r="U339" i="1" s="1"/>
  <c r="L462" i="1"/>
  <c r="I462" i="1"/>
  <c r="Q325" i="1"/>
  <c r="Q265" i="1" s="1"/>
  <c r="AC448" i="1"/>
  <c r="AC390" i="1" s="1"/>
  <c r="H325" i="1"/>
  <c r="H265" i="1" s="1"/>
  <c r="Q448" i="1"/>
  <c r="R462" i="1" s="1"/>
  <c r="T387" i="1"/>
  <c r="U462" i="1"/>
  <c r="AC325" i="1"/>
  <c r="AC265" i="1" s="1"/>
  <c r="N387" i="1"/>
  <c r="O463" i="1"/>
  <c r="O405" i="1" s="1"/>
  <c r="K452" i="1"/>
  <c r="K460" i="1" s="1"/>
  <c r="L463" i="1"/>
  <c r="L405" i="1" s="1"/>
  <c r="I466" i="1"/>
  <c r="I408" i="1" s="1"/>
  <c r="H387" i="1"/>
  <c r="I463" i="1"/>
  <c r="I405" i="1" s="1"/>
  <c r="K325" i="1"/>
  <c r="L339" i="1" s="1"/>
  <c r="Z387" i="1"/>
  <c r="U463" i="1"/>
  <c r="U405" i="1" s="1"/>
  <c r="W387" i="1"/>
  <c r="O464" i="1"/>
  <c r="O406" i="1" s="1"/>
  <c r="W325" i="1"/>
  <c r="K387" i="1"/>
  <c r="L464" i="1"/>
  <c r="L406" i="1" s="1"/>
  <c r="I464" i="1"/>
  <c r="I406" i="1" s="1"/>
  <c r="Z448" i="1"/>
  <c r="AC124" i="1" l="1"/>
  <c r="AC190" i="1"/>
  <c r="AC126" i="1" s="1"/>
  <c r="T124" i="1"/>
  <c r="F360" i="1"/>
  <c r="F300" i="1" s="1"/>
  <c r="L487" i="1"/>
  <c r="L429" i="1" s="1"/>
  <c r="L423" i="1"/>
  <c r="H190" i="1"/>
  <c r="H126" i="1" s="1"/>
  <c r="Q190" i="1"/>
  <c r="Q126" i="1" s="1"/>
  <c r="E190" i="1"/>
  <c r="E126" i="1" s="1"/>
  <c r="E124" i="1"/>
  <c r="H394" i="1"/>
  <c r="H460" i="1"/>
  <c r="H402" i="1" s="1"/>
  <c r="E394" i="1"/>
  <c r="F483" i="1"/>
  <c r="F425" i="1" s="1"/>
  <c r="F423" i="1"/>
  <c r="N190" i="1"/>
  <c r="N126" i="1" s="1"/>
  <c r="H217" i="1"/>
  <c r="J193" i="1" s="1"/>
  <c r="J129" i="1" s="1"/>
  <c r="K217" i="1"/>
  <c r="AD462" i="1"/>
  <c r="AD404" i="1" s="1"/>
  <c r="AC452" i="1"/>
  <c r="AC460" i="1" s="1"/>
  <c r="AD463" i="1"/>
  <c r="AD405" i="1" s="1"/>
  <c r="O358" i="1"/>
  <c r="O360" i="1" s="1"/>
  <c r="O300" i="1" s="1"/>
  <c r="I487" i="1"/>
  <c r="I429" i="1" s="1"/>
  <c r="N217" i="1"/>
  <c r="K124" i="1"/>
  <c r="AC217" i="1"/>
  <c r="AE193" i="1" s="1"/>
  <c r="AE129" i="1" s="1"/>
  <c r="T217" i="1"/>
  <c r="Z190" i="1"/>
  <c r="Z126" i="1" s="1"/>
  <c r="Q217" i="1"/>
  <c r="Q452" i="1"/>
  <c r="Q460" i="1" s="1"/>
  <c r="O341" i="1"/>
  <c r="O281" i="1" s="1"/>
  <c r="O339" i="1"/>
  <c r="O279" i="1" s="1"/>
  <c r="N330" i="1"/>
  <c r="N337" i="1" s="1"/>
  <c r="R341" i="1"/>
  <c r="R281" i="1" s="1"/>
  <c r="W124" i="1"/>
  <c r="O486" i="1"/>
  <c r="O428" i="1" s="1"/>
  <c r="W217" i="1"/>
  <c r="W153" i="1" s="1"/>
  <c r="AA358" i="1"/>
  <c r="AA363" i="1" s="1"/>
  <c r="AA303" i="1" s="1"/>
  <c r="L340" i="1"/>
  <c r="L280" i="1" s="1"/>
  <c r="L485" i="1"/>
  <c r="L427" i="1" s="1"/>
  <c r="U483" i="1"/>
  <c r="U425" i="1" s="1"/>
  <c r="AD341" i="1"/>
  <c r="AD281" i="1" s="1"/>
  <c r="U486" i="1"/>
  <c r="U428" i="1" s="1"/>
  <c r="Z217" i="1"/>
  <c r="I486" i="1"/>
  <c r="I428" i="1" s="1"/>
  <c r="U485" i="1"/>
  <c r="U427" i="1" s="1"/>
  <c r="R481" i="1"/>
  <c r="R487" i="1" s="1"/>
  <c r="R429" i="1" s="1"/>
  <c r="AA342" i="1"/>
  <c r="AA282" i="1" s="1"/>
  <c r="Z330" i="1"/>
  <c r="AA364" i="1"/>
  <c r="AA304" i="1" s="1"/>
  <c r="AA339" i="1"/>
  <c r="AA279" i="1" s="1"/>
  <c r="Q330" i="1"/>
  <c r="X464" i="1"/>
  <c r="X406" i="1" s="1"/>
  <c r="AA340" i="1"/>
  <c r="AA280" i="1" s="1"/>
  <c r="R358" i="1"/>
  <c r="R363" i="1" s="1"/>
  <c r="R303" i="1" s="1"/>
  <c r="U358" i="1"/>
  <c r="U364" i="1" s="1"/>
  <c r="U304" i="1" s="1"/>
  <c r="T394" i="1"/>
  <c r="U340" i="1"/>
  <c r="U280" i="1" s="1"/>
  <c r="U341" i="1"/>
  <c r="U281" i="1" s="1"/>
  <c r="U423" i="1"/>
  <c r="X465" i="1"/>
  <c r="X407" i="1" s="1"/>
  <c r="AA343" i="1"/>
  <c r="AA283" i="1" s="1"/>
  <c r="AD343" i="1"/>
  <c r="AD283" i="1" s="1"/>
  <c r="I358" i="1"/>
  <c r="I364" i="1" s="1"/>
  <c r="I304" i="1" s="1"/>
  <c r="I341" i="1"/>
  <c r="I281" i="1" s="1"/>
  <c r="L358" i="1"/>
  <c r="L362" i="1" s="1"/>
  <c r="L302" i="1" s="1"/>
  <c r="O340" i="1"/>
  <c r="O280" i="1" s="1"/>
  <c r="AA341" i="1"/>
  <c r="AA281" i="1" s="1"/>
  <c r="I343" i="1"/>
  <c r="I283" i="1" s="1"/>
  <c r="AD340" i="1"/>
  <c r="AD280" i="1" s="1"/>
  <c r="L466" i="1"/>
  <c r="L408" i="1" s="1"/>
  <c r="AD465" i="1"/>
  <c r="AD407" i="1" s="1"/>
  <c r="L279" i="1"/>
  <c r="U279" i="1"/>
  <c r="W265" i="1"/>
  <c r="X339" i="1"/>
  <c r="W330" i="1"/>
  <c r="W337" i="1" s="1"/>
  <c r="X358" i="1"/>
  <c r="X362" i="1" s="1"/>
  <c r="X302" i="1" s="1"/>
  <c r="X341" i="1"/>
  <c r="X281" i="1" s="1"/>
  <c r="X343" i="1"/>
  <c r="X283" i="1" s="1"/>
  <c r="X340" i="1"/>
  <c r="X280" i="1" s="1"/>
  <c r="R404" i="1"/>
  <c r="U404" i="1"/>
  <c r="Q390" i="1"/>
  <c r="R464" i="1"/>
  <c r="R406" i="1" s="1"/>
  <c r="R340" i="1"/>
  <c r="R280" i="1" s="1"/>
  <c r="AD339" i="1"/>
  <c r="AD464" i="1"/>
  <c r="AD406" i="1" s="1"/>
  <c r="R339" i="1"/>
  <c r="I483" i="1"/>
  <c r="I425" i="1" s="1"/>
  <c r="I423" i="1"/>
  <c r="L483" i="1"/>
  <c r="L425" i="1" s="1"/>
  <c r="O483" i="1"/>
  <c r="O425" i="1" s="1"/>
  <c r="O423" i="1"/>
  <c r="O485" i="1"/>
  <c r="O427" i="1" s="1"/>
  <c r="W390" i="1"/>
  <c r="X462" i="1"/>
  <c r="W452" i="1"/>
  <c r="W460" i="1" s="1"/>
  <c r="R465" i="1"/>
  <c r="R407" i="1" s="1"/>
  <c r="Z390" i="1"/>
  <c r="AA462" i="1"/>
  <c r="AA465" i="1"/>
  <c r="AA407" i="1" s="1"/>
  <c r="AA481" i="1"/>
  <c r="AA485" i="1" s="1"/>
  <c r="AA427" i="1" s="1"/>
  <c r="Z452" i="1"/>
  <c r="Z460" i="1" s="1"/>
  <c r="AA464" i="1"/>
  <c r="AA406" i="1" s="1"/>
  <c r="I340" i="1"/>
  <c r="I280" i="1" s="1"/>
  <c r="AD481" i="1"/>
  <c r="AD487" i="1" s="1"/>
  <c r="AD429" i="1" s="1"/>
  <c r="I467" i="1"/>
  <c r="I409" i="1" s="1"/>
  <c r="I404" i="1"/>
  <c r="T265" i="1"/>
  <c r="U342" i="1"/>
  <c r="U282" i="1" s="1"/>
  <c r="U343" i="1"/>
  <c r="U283" i="1" s="1"/>
  <c r="N394" i="1"/>
  <c r="AD342" i="1"/>
  <c r="AD282" i="1" s="1"/>
  <c r="AA463" i="1"/>
  <c r="AA405" i="1" s="1"/>
  <c r="K265" i="1"/>
  <c r="K330" i="1"/>
  <c r="L341" i="1"/>
  <c r="L281" i="1" s="1"/>
  <c r="K394" i="1"/>
  <c r="X342" i="1"/>
  <c r="X282" i="1" s="1"/>
  <c r="I339" i="1"/>
  <c r="T330" i="1"/>
  <c r="T337" i="1" s="1"/>
  <c r="AC330" i="1"/>
  <c r="AC337" i="1" s="1"/>
  <c r="H330" i="1"/>
  <c r="H337" i="1" s="1"/>
  <c r="L486" i="1"/>
  <c r="L428" i="1" s="1"/>
  <c r="L404" i="1"/>
  <c r="AD358" i="1"/>
  <c r="AD363" i="1" s="1"/>
  <c r="AD303" i="1" s="1"/>
  <c r="X481" i="1"/>
  <c r="X485" i="1" s="1"/>
  <c r="X427" i="1" s="1"/>
  <c r="R463" i="1"/>
  <c r="R405" i="1" s="1"/>
  <c r="I342" i="1"/>
  <c r="I282" i="1" s="1"/>
  <c r="K218" i="1" l="1"/>
  <c r="K154" i="1" s="1"/>
  <c r="AB195" i="1"/>
  <c r="AB131" i="1" s="1"/>
  <c r="P193" i="1"/>
  <c r="P129" i="1" s="1"/>
  <c r="Q153" i="1"/>
  <c r="T218" i="1"/>
  <c r="T154" i="1" s="1"/>
  <c r="Q394" i="1"/>
  <c r="Q402" i="1"/>
  <c r="Q270" i="1"/>
  <c r="Q337" i="1"/>
  <c r="Q277" i="1" s="1"/>
  <c r="Z270" i="1"/>
  <c r="Z337" i="1"/>
  <c r="Z277" i="1" s="1"/>
  <c r="J195" i="1"/>
  <c r="H218" i="1"/>
  <c r="H154" i="1" s="1"/>
  <c r="W218" i="1"/>
  <c r="W154" i="1" s="1"/>
  <c r="Y198" i="1"/>
  <c r="Y134" i="1" s="1"/>
  <c r="J198" i="1"/>
  <c r="J134" i="1" s="1"/>
  <c r="H153" i="1"/>
  <c r="AE198" i="1"/>
  <c r="AE134" i="1" s="1"/>
  <c r="M195" i="1"/>
  <c r="O364" i="1"/>
  <c r="O304" i="1" s="1"/>
  <c r="Q218" i="1"/>
  <c r="Q154" i="1" s="1"/>
  <c r="O363" i="1"/>
  <c r="O303" i="1" s="1"/>
  <c r="M193" i="1"/>
  <c r="M129" i="1" s="1"/>
  <c r="M198" i="1"/>
  <c r="M134" i="1" s="1"/>
  <c r="AC153" i="1"/>
  <c r="S195" i="1"/>
  <c r="O362" i="1"/>
  <c r="O302" i="1" s="1"/>
  <c r="O298" i="1"/>
  <c r="AC402" i="1"/>
  <c r="AC218" i="1"/>
  <c r="AC154" i="1" s="1"/>
  <c r="AE195" i="1"/>
  <c r="S193" i="1"/>
  <c r="S129" i="1" s="1"/>
  <c r="K153" i="1"/>
  <c r="S198" i="1"/>
  <c r="S134" i="1" s="1"/>
  <c r="T402" i="1"/>
  <c r="P195" i="1"/>
  <c r="AC394" i="1"/>
  <c r="P198" i="1"/>
  <c r="P134" i="1" s="1"/>
  <c r="AB198" i="1"/>
  <c r="AB134" i="1" s="1"/>
  <c r="N153" i="1"/>
  <c r="N218" i="1"/>
  <c r="N154" i="1" s="1"/>
  <c r="T153" i="1"/>
  <c r="V193" i="1"/>
  <c r="V129" i="1" s="1"/>
  <c r="L467" i="1"/>
  <c r="V195" i="1"/>
  <c r="V198" i="1"/>
  <c r="V134" i="1" s="1"/>
  <c r="I363" i="1"/>
  <c r="I303" i="1" s="1"/>
  <c r="I298" i="1"/>
  <c r="I360" i="1"/>
  <c r="I300" i="1" s="1"/>
  <c r="Z153" i="1"/>
  <c r="U360" i="1"/>
  <c r="U300" i="1" s="1"/>
  <c r="I490" i="1"/>
  <c r="I432" i="1" s="1"/>
  <c r="N270" i="1"/>
  <c r="Y195" i="1"/>
  <c r="I469" i="1"/>
  <c r="H378" i="1" s="1"/>
  <c r="L343" i="1"/>
  <c r="O343" i="1" s="1"/>
  <c r="AA298" i="1"/>
  <c r="I362" i="1"/>
  <c r="I302" i="1" s="1"/>
  <c r="U363" i="1"/>
  <c r="U303" i="1" s="1"/>
  <c r="AB193" i="1"/>
  <c r="AB129" i="1" s="1"/>
  <c r="Z218" i="1"/>
  <c r="Z154" i="1" s="1"/>
  <c r="U298" i="1"/>
  <c r="AA362" i="1"/>
  <c r="AA302" i="1" s="1"/>
  <c r="Y193" i="1"/>
  <c r="Y129" i="1" s="1"/>
  <c r="AA360" i="1"/>
  <c r="AA300" i="1" s="1"/>
  <c r="U362" i="1"/>
  <c r="U302" i="1" s="1"/>
  <c r="R483" i="1"/>
  <c r="R425" i="1" s="1"/>
  <c r="R486" i="1"/>
  <c r="R428" i="1" s="1"/>
  <c r="R360" i="1"/>
  <c r="R300" i="1" s="1"/>
  <c r="R423" i="1"/>
  <c r="AA486" i="1"/>
  <c r="AA428" i="1" s="1"/>
  <c r="AA344" i="1"/>
  <c r="AA284" i="1" s="1"/>
  <c r="R298" i="1"/>
  <c r="R364" i="1"/>
  <c r="R304" i="1" s="1"/>
  <c r="R362" i="1"/>
  <c r="R302" i="1" s="1"/>
  <c r="L360" i="1"/>
  <c r="L300" i="1" s="1"/>
  <c r="L298" i="1"/>
  <c r="R485" i="1"/>
  <c r="R427" i="1" s="1"/>
  <c r="L363" i="1"/>
  <c r="L303" i="1" s="1"/>
  <c r="L364" i="1"/>
  <c r="L304" i="1" s="1"/>
  <c r="O466" i="1"/>
  <c r="O408" i="1" s="1"/>
  <c r="X486" i="1"/>
  <c r="X428" i="1" s="1"/>
  <c r="T270" i="1"/>
  <c r="H270" i="1"/>
  <c r="AD483" i="1"/>
  <c r="AD425" i="1" s="1"/>
  <c r="AD423" i="1"/>
  <c r="AD485" i="1"/>
  <c r="AD427" i="1" s="1"/>
  <c r="AD486" i="1"/>
  <c r="AD428" i="1" s="1"/>
  <c r="AA483" i="1"/>
  <c r="AA425" i="1" s="1"/>
  <c r="AA423" i="1"/>
  <c r="X364" i="1"/>
  <c r="X304" i="1" s="1"/>
  <c r="W270" i="1"/>
  <c r="U344" i="1"/>
  <c r="U284" i="1" s="1"/>
  <c r="I344" i="1"/>
  <c r="I284" i="1" s="1"/>
  <c r="I279" i="1"/>
  <c r="O490" i="1"/>
  <c r="N402" i="1"/>
  <c r="AD344" i="1"/>
  <c r="AD284" i="1" s="1"/>
  <c r="AD279" i="1"/>
  <c r="X344" i="1"/>
  <c r="X284" i="1" s="1"/>
  <c r="X279" i="1"/>
  <c r="X483" i="1"/>
  <c r="X425" i="1" s="1"/>
  <c r="X423" i="1"/>
  <c r="X487" i="1"/>
  <c r="X429" i="1" s="1"/>
  <c r="AD298" i="1"/>
  <c r="AD360" i="1"/>
  <c r="AD300" i="1" s="1"/>
  <c r="AD362" i="1"/>
  <c r="AD302" i="1" s="1"/>
  <c r="AD364" i="1"/>
  <c r="AD304" i="1" s="1"/>
  <c r="AC270" i="1"/>
  <c r="L490" i="1"/>
  <c r="L432" i="1" s="1"/>
  <c r="K402" i="1"/>
  <c r="K270" i="1"/>
  <c r="AA404" i="1"/>
  <c r="W394" i="1"/>
  <c r="R279" i="1"/>
  <c r="X363" i="1"/>
  <c r="X303" i="1" s="1"/>
  <c r="AA487" i="1"/>
  <c r="AA429" i="1" s="1"/>
  <c r="L342" i="1"/>
  <c r="N277" i="1"/>
  <c r="Z394" i="1"/>
  <c r="X404" i="1"/>
  <c r="X360" i="1"/>
  <c r="X300" i="1" s="1"/>
  <c r="X298" i="1"/>
  <c r="L409" i="1" l="1"/>
  <c r="L469" i="1"/>
  <c r="J190" i="1"/>
  <c r="H195" i="1" s="1"/>
  <c r="AB190" i="1"/>
  <c r="Z195" i="1" s="1"/>
  <c r="AA210" i="1" s="1"/>
  <c r="P190" i="1"/>
  <c r="P131" i="1"/>
  <c r="Y190" i="1"/>
  <c r="Y131" i="1"/>
  <c r="AE190" i="1"/>
  <c r="AE131" i="1"/>
  <c r="M190" i="1"/>
  <c r="M131" i="1"/>
  <c r="V190" i="1"/>
  <c r="V131" i="1"/>
  <c r="S190" i="1"/>
  <c r="S131" i="1"/>
  <c r="J131" i="1"/>
  <c r="O367" i="1"/>
  <c r="O307" i="1" s="1"/>
  <c r="L283" i="1"/>
  <c r="U490" i="1"/>
  <c r="U432" i="1" s="1"/>
  <c r="L344" i="1"/>
  <c r="L284" i="1" s="1"/>
  <c r="L492" i="1"/>
  <c r="L434" i="1" s="1"/>
  <c r="AA346" i="1"/>
  <c r="I492" i="1"/>
  <c r="I434" i="1" s="1"/>
  <c r="I411" i="1"/>
  <c r="AA367" i="1"/>
  <c r="R490" i="1"/>
  <c r="R432" i="1" s="1"/>
  <c r="R367" i="1"/>
  <c r="R307" i="1" s="1"/>
  <c r="R466" i="1"/>
  <c r="O467" i="1"/>
  <c r="O409" i="1" s="1"/>
  <c r="O283" i="1"/>
  <c r="R343" i="1"/>
  <c r="R283" i="1" s="1"/>
  <c r="O432" i="1"/>
  <c r="AC277" i="1"/>
  <c r="AD367" i="1"/>
  <c r="AD346" i="1"/>
  <c r="U346" i="1"/>
  <c r="U367" i="1"/>
  <c r="T277" i="1"/>
  <c r="AA490" i="1"/>
  <c r="Z402" i="1"/>
  <c r="X367" i="1"/>
  <c r="X346" i="1"/>
  <c r="W277" i="1"/>
  <c r="L282" i="1"/>
  <c r="O342" i="1"/>
  <c r="X490" i="1"/>
  <c r="W402" i="1"/>
  <c r="AD490" i="1"/>
  <c r="I346" i="1"/>
  <c r="I367" i="1"/>
  <c r="H277" i="1"/>
  <c r="J126" i="1" l="1"/>
  <c r="AB126" i="1"/>
  <c r="T195" i="1"/>
  <c r="U210" i="1" s="1"/>
  <c r="V126" i="1"/>
  <c r="AC195" i="1"/>
  <c r="AE126" i="1"/>
  <c r="AA207" i="1"/>
  <c r="AA143" i="1" s="1"/>
  <c r="AA206" i="1"/>
  <c r="AA142" i="1" s="1"/>
  <c r="Z131" i="1"/>
  <c r="AA208" i="1"/>
  <c r="AA144" i="1" s="1"/>
  <c r="Z191" i="1"/>
  <c r="Q195" i="1"/>
  <c r="R210" i="1" s="1"/>
  <c r="S126" i="1"/>
  <c r="K195" i="1"/>
  <c r="M126" i="1"/>
  <c r="W195" i="1"/>
  <c r="X210" i="1" s="1"/>
  <c r="Y126" i="1"/>
  <c r="N195" i="1"/>
  <c r="O210" i="1" s="1"/>
  <c r="P126" i="1"/>
  <c r="Z249" i="1"/>
  <c r="I207" i="1"/>
  <c r="I143" i="1" s="1"/>
  <c r="I206" i="1"/>
  <c r="H131" i="1"/>
  <c r="I210" i="1"/>
  <c r="I208" i="1"/>
  <c r="I144" i="1" s="1"/>
  <c r="H191" i="1"/>
  <c r="AA351" i="1"/>
  <c r="AA291" i="1" s="1"/>
  <c r="I471" i="1"/>
  <c r="I413" i="1" s="1"/>
  <c r="K378" i="1"/>
  <c r="L411" i="1"/>
  <c r="AA354" i="1"/>
  <c r="AA294" i="1" s="1"/>
  <c r="AA286" i="1"/>
  <c r="AA369" i="1"/>
  <c r="AA309" i="1" s="1"/>
  <c r="AA307" i="1"/>
  <c r="O469" i="1"/>
  <c r="R408" i="1"/>
  <c r="U466" i="1"/>
  <c r="R467" i="1"/>
  <c r="X354" i="1"/>
  <c r="W249" i="1"/>
  <c r="X286" i="1"/>
  <c r="X351" i="1"/>
  <c r="X348" i="1"/>
  <c r="AA348" i="1"/>
  <c r="X432" i="1"/>
  <c r="X369" i="1"/>
  <c r="X309" i="1" s="1"/>
  <c r="X307" i="1"/>
  <c r="AD307" i="1"/>
  <c r="AD369" i="1"/>
  <c r="AD309" i="1" s="1"/>
  <c r="AD432" i="1"/>
  <c r="I307" i="1"/>
  <c r="I369" i="1"/>
  <c r="I309" i="1" s="1"/>
  <c r="U354" i="1"/>
  <c r="U348" i="1"/>
  <c r="U351" i="1"/>
  <c r="U286" i="1"/>
  <c r="T249" i="1"/>
  <c r="AD286" i="1"/>
  <c r="AC249" i="1"/>
  <c r="I354" i="1"/>
  <c r="I286" i="1"/>
  <c r="I351" i="1"/>
  <c r="H249" i="1"/>
  <c r="O282" i="1"/>
  <c r="R342" i="1"/>
  <c r="O344" i="1"/>
  <c r="AA432" i="1"/>
  <c r="U307" i="1"/>
  <c r="U369" i="1"/>
  <c r="U309" i="1" s="1"/>
  <c r="I472" i="1" l="1"/>
  <c r="I414" i="1" s="1"/>
  <c r="L210" i="1"/>
  <c r="K191" i="1"/>
  <c r="L206" i="1"/>
  <c r="K131" i="1"/>
  <c r="L208" i="1"/>
  <c r="L144" i="1" s="1"/>
  <c r="L207" i="1"/>
  <c r="L143" i="1" s="1"/>
  <c r="AD206" i="1"/>
  <c r="AD208" i="1"/>
  <c r="AD144" i="1" s="1"/>
  <c r="AC191" i="1"/>
  <c r="AD210" i="1"/>
  <c r="AD146" i="1" s="1"/>
  <c r="AC131" i="1"/>
  <c r="AD207" i="1"/>
  <c r="AD143" i="1" s="1"/>
  <c r="O207" i="1"/>
  <c r="O143" i="1" s="1"/>
  <c r="N131" i="1"/>
  <c r="O206" i="1"/>
  <c r="O142" i="1" s="1"/>
  <c r="N191" i="1"/>
  <c r="O208" i="1"/>
  <c r="O144" i="1" s="1"/>
  <c r="X206" i="1"/>
  <c r="X142" i="1" s="1"/>
  <c r="W131" i="1"/>
  <c r="X207" i="1"/>
  <c r="X143" i="1" s="1"/>
  <c r="W191" i="1"/>
  <c r="X208" i="1"/>
  <c r="X144" i="1" s="1"/>
  <c r="R207" i="1"/>
  <c r="R143" i="1" s="1"/>
  <c r="R208" i="1"/>
  <c r="R144" i="1" s="1"/>
  <c r="R206" i="1"/>
  <c r="R142" i="1" s="1"/>
  <c r="Q191" i="1"/>
  <c r="Q131" i="1"/>
  <c r="AA229" i="1"/>
  <c r="Z199" i="1"/>
  <c r="Z127" i="1"/>
  <c r="U207" i="1"/>
  <c r="U143" i="1" s="1"/>
  <c r="U206" i="1"/>
  <c r="U142" i="1" s="1"/>
  <c r="T131" i="1"/>
  <c r="T191" i="1"/>
  <c r="U208" i="1"/>
  <c r="U144" i="1" s="1"/>
  <c r="AA355" i="1"/>
  <c r="AA295" i="1" s="1"/>
  <c r="I146" i="1"/>
  <c r="H199" i="1"/>
  <c r="H127" i="1"/>
  <c r="I229" i="1"/>
  <c r="I142" i="1"/>
  <c r="I212" i="1"/>
  <c r="I148" i="1" s="1"/>
  <c r="AA352" i="1"/>
  <c r="AA292" i="1" s="1"/>
  <c r="R409" i="1"/>
  <c r="R469" i="1"/>
  <c r="O471" i="1" s="1"/>
  <c r="X466" i="1"/>
  <c r="U467" i="1"/>
  <c r="U408" i="1"/>
  <c r="N378" i="1"/>
  <c r="O492" i="1"/>
  <c r="O434" i="1" s="1"/>
  <c r="O411" i="1"/>
  <c r="L471" i="1"/>
  <c r="U349" i="1"/>
  <c r="U289" i="1" s="1"/>
  <c r="U288" i="1"/>
  <c r="R282" i="1"/>
  <c r="R344" i="1"/>
  <c r="O284" i="1"/>
  <c r="O346" i="1"/>
  <c r="I294" i="1"/>
  <c r="I355" i="1"/>
  <c r="I295" i="1" s="1"/>
  <c r="AA349" i="1"/>
  <c r="AA289" i="1" s="1"/>
  <c r="AA288" i="1"/>
  <c r="X352" i="1"/>
  <c r="X292" i="1" s="1"/>
  <c r="X291" i="1"/>
  <c r="I291" i="1"/>
  <c r="I352" i="1"/>
  <c r="I292" i="1" s="1"/>
  <c r="U355" i="1"/>
  <c r="U295" i="1" s="1"/>
  <c r="U294" i="1"/>
  <c r="U291" i="1"/>
  <c r="U352" i="1"/>
  <c r="U292" i="1" s="1"/>
  <c r="X349" i="1"/>
  <c r="X289" i="1" s="1"/>
  <c r="X288" i="1"/>
  <c r="X355" i="1"/>
  <c r="X295" i="1" s="1"/>
  <c r="X294" i="1"/>
  <c r="AD142" i="1" l="1"/>
  <c r="AD212" i="1"/>
  <c r="AD148" i="1" s="1"/>
  <c r="L142" i="1"/>
  <c r="L212" i="1"/>
  <c r="L148" i="1" s="1"/>
  <c r="O229" i="1"/>
  <c r="N127" i="1"/>
  <c r="N199" i="1"/>
  <c r="U229" i="1"/>
  <c r="T199" i="1"/>
  <c r="T127" i="1"/>
  <c r="Q127" i="1"/>
  <c r="R229" i="1"/>
  <c r="Q199" i="1"/>
  <c r="K199" i="1"/>
  <c r="K127" i="1"/>
  <c r="L229" i="1"/>
  <c r="AA231" i="1"/>
  <c r="AA167" i="1" s="1"/>
  <c r="AA235" i="1"/>
  <c r="AA171" i="1" s="1"/>
  <c r="AA165" i="1"/>
  <c r="AA233" i="1"/>
  <c r="AA169" i="1" s="1"/>
  <c r="AA234" i="1"/>
  <c r="AA170" i="1" s="1"/>
  <c r="Z204" i="1"/>
  <c r="Z135" i="1"/>
  <c r="W127" i="1"/>
  <c r="X229" i="1"/>
  <c r="W199" i="1"/>
  <c r="AD229" i="1"/>
  <c r="AC199" i="1"/>
  <c r="AC127" i="1"/>
  <c r="L146" i="1"/>
  <c r="H135" i="1"/>
  <c r="H204" i="1"/>
  <c r="O212" i="1"/>
  <c r="O146" i="1"/>
  <c r="I233" i="1"/>
  <c r="I169" i="1" s="1"/>
  <c r="I165" i="1"/>
  <c r="I235" i="1"/>
  <c r="I171" i="1" s="1"/>
  <c r="I231" i="1"/>
  <c r="I167" i="1" s="1"/>
  <c r="I234" i="1"/>
  <c r="I170" i="1" s="1"/>
  <c r="U409" i="1"/>
  <c r="U469" i="1"/>
  <c r="X408" i="1"/>
  <c r="AA466" i="1"/>
  <c r="X467" i="1"/>
  <c r="L413" i="1"/>
  <c r="L472" i="1"/>
  <c r="L414" i="1" s="1"/>
  <c r="R492" i="1"/>
  <c r="R434" i="1" s="1"/>
  <c r="Q378" i="1"/>
  <c r="R411" i="1"/>
  <c r="O472" i="1"/>
  <c r="O414" i="1" s="1"/>
  <c r="O413" i="1"/>
  <c r="O351" i="1"/>
  <c r="N249" i="1"/>
  <c r="O286" i="1"/>
  <c r="O354" i="1"/>
  <c r="O369" i="1"/>
  <c r="O309" i="1" s="1"/>
  <c r="R284" i="1"/>
  <c r="R346" i="1"/>
  <c r="W204" i="1" l="1"/>
  <c r="W135" i="1"/>
  <c r="Z140" i="1"/>
  <c r="AA238" i="1"/>
  <c r="AA174" i="1" s="1"/>
  <c r="K204" i="1"/>
  <c r="K135" i="1"/>
  <c r="N204" i="1"/>
  <c r="O214" i="1" s="1"/>
  <c r="N135" i="1"/>
  <c r="AD231" i="1"/>
  <c r="AD167" i="1" s="1"/>
  <c r="AD233" i="1"/>
  <c r="AD169" i="1" s="1"/>
  <c r="AD234" i="1"/>
  <c r="AD170" i="1" s="1"/>
  <c r="AD165" i="1"/>
  <c r="AD235" i="1"/>
  <c r="AD171" i="1" s="1"/>
  <c r="X235" i="1"/>
  <c r="X171" i="1" s="1"/>
  <c r="X233" i="1"/>
  <c r="X169" i="1" s="1"/>
  <c r="X234" i="1"/>
  <c r="X170" i="1" s="1"/>
  <c r="X231" i="1"/>
  <c r="X167" i="1" s="1"/>
  <c r="X165" i="1"/>
  <c r="Q135" i="1"/>
  <c r="Q204" i="1"/>
  <c r="T204" i="1"/>
  <c r="T135" i="1"/>
  <c r="R212" i="1"/>
  <c r="R148" i="1" s="1"/>
  <c r="R146" i="1"/>
  <c r="AC204" i="1"/>
  <c r="AC135" i="1"/>
  <c r="L165" i="1"/>
  <c r="L233" i="1"/>
  <c r="L169" i="1" s="1"/>
  <c r="L234" i="1"/>
  <c r="L170" i="1" s="1"/>
  <c r="L235" i="1"/>
  <c r="L171" i="1" s="1"/>
  <c r="L231" i="1"/>
  <c r="L167" i="1" s="1"/>
  <c r="R165" i="1"/>
  <c r="R235" i="1"/>
  <c r="R171" i="1" s="1"/>
  <c r="R233" i="1"/>
  <c r="R169" i="1" s="1"/>
  <c r="R234" i="1"/>
  <c r="R170" i="1" s="1"/>
  <c r="R231" i="1"/>
  <c r="R167" i="1" s="1"/>
  <c r="U165" i="1"/>
  <c r="U235" i="1"/>
  <c r="U171" i="1" s="1"/>
  <c r="U231" i="1"/>
  <c r="U167" i="1" s="1"/>
  <c r="U234" i="1"/>
  <c r="U170" i="1" s="1"/>
  <c r="U233" i="1"/>
  <c r="U169" i="1" s="1"/>
  <c r="O165" i="1"/>
  <c r="O235" i="1"/>
  <c r="O171" i="1" s="1"/>
  <c r="O231" i="1"/>
  <c r="O167" i="1" s="1"/>
  <c r="O234" i="1"/>
  <c r="O170" i="1" s="1"/>
  <c r="O233" i="1"/>
  <c r="O169" i="1" s="1"/>
  <c r="U212" i="1"/>
  <c r="U146" i="1"/>
  <c r="I214" i="1"/>
  <c r="H140" i="1"/>
  <c r="I238" i="1"/>
  <c r="O148" i="1"/>
  <c r="AD466" i="1"/>
  <c r="AA408" i="1"/>
  <c r="AA467" i="1"/>
  <c r="R471" i="1"/>
  <c r="U411" i="1"/>
  <c r="T378" i="1"/>
  <c r="U492" i="1"/>
  <c r="U434" i="1" s="1"/>
  <c r="X409" i="1"/>
  <c r="X469" i="1"/>
  <c r="O352" i="1"/>
  <c r="O292" i="1" s="1"/>
  <c r="O291" i="1"/>
  <c r="R286" i="1"/>
  <c r="R351" i="1"/>
  <c r="R348" i="1"/>
  <c r="Q249" i="1"/>
  <c r="R354" i="1"/>
  <c r="R369" i="1"/>
  <c r="R309" i="1" s="1"/>
  <c r="O294" i="1"/>
  <c r="O355" i="1"/>
  <c r="O295" i="1" s="1"/>
  <c r="O348" i="1"/>
  <c r="O238" i="1" l="1"/>
  <c r="O174" i="1" s="1"/>
  <c r="N140" i="1"/>
  <c r="R214" i="1"/>
  <c r="R238" i="1"/>
  <c r="Q140" i="1"/>
  <c r="AC140" i="1"/>
  <c r="AD238" i="1"/>
  <c r="AD214" i="1"/>
  <c r="O225" i="1" s="1"/>
  <c r="X146" i="1"/>
  <c r="X212" i="1"/>
  <c r="X148" i="1" s="1"/>
  <c r="U238" i="1"/>
  <c r="U174" i="1" s="1"/>
  <c r="T140" i="1"/>
  <c r="K140" i="1"/>
  <c r="L214" i="1"/>
  <c r="L219" i="1" s="1"/>
  <c r="L238" i="1"/>
  <c r="W140" i="1"/>
  <c r="X238" i="1"/>
  <c r="I174" i="1"/>
  <c r="I240" i="1"/>
  <c r="I176" i="1" s="1"/>
  <c r="U148" i="1"/>
  <c r="U214" i="1"/>
  <c r="AA146" i="1"/>
  <c r="AA212" i="1"/>
  <c r="O150" i="1"/>
  <c r="O240" i="1"/>
  <c r="O176" i="1" s="1"/>
  <c r="N113" i="1"/>
  <c r="O219" i="1"/>
  <c r="H113" i="1"/>
  <c r="I150" i="1"/>
  <c r="R472" i="1"/>
  <c r="R414" i="1" s="1"/>
  <c r="R413" i="1"/>
  <c r="AA409" i="1"/>
  <c r="AA469" i="1"/>
  <c r="W378" i="1"/>
  <c r="X411" i="1"/>
  <c r="X492" i="1"/>
  <c r="X434" i="1" s="1"/>
  <c r="U471" i="1"/>
  <c r="AD408" i="1"/>
  <c r="AD467" i="1"/>
  <c r="R352" i="1"/>
  <c r="R292" i="1" s="1"/>
  <c r="R291" i="1"/>
  <c r="R294" i="1"/>
  <c r="R355" i="1"/>
  <c r="R295" i="1" s="1"/>
  <c r="O288" i="1"/>
  <c r="O349" i="1"/>
  <c r="O289" i="1" s="1"/>
  <c r="R288" i="1"/>
  <c r="R349" i="1"/>
  <c r="R289" i="1" s="1"/>
  <c r="X214" i="1" l="1"/>
  <c r="X225" i="1" s="1"/>
  <c r="I219" i="1"/>
  <c r="I155" i="1" s="1"/>
  <c r="L225" i="1"/>
  <c r="K113" i="1"/>
  <c r="L150" i="1"/>
  <c r="X174" i="1"/>
  <c r="AC113" i="1"/>
  <c r="AD150" i="1"/>
  <c r="R240" i="1"/>
  <c r="R176" i="1" s="1"/>
  <c r="R174" i="1"/>
  <c r="I225" i="1"/>
  <c r="I161" i="1" s="1"/>
  <c r="L240" i="1"/>
  <c r="L176" i="1" s="1"/>
  <c r="L174" i="1"/>
  <c r="AD240" i="1"/>
  <c r="AD176" i="1" s="1"/>
  <c r="AD174" i="1"/>
  <c r="R150" i="1"/>
  <c r="Q113" i="1"/>
  <c r="R225" i="1"/>
  <c r="L220" i="1"/>
  <c r="L156" i="1" s="1"/>
  <c r="L155" i="1"/>
  <c r="R219" i="1"/>
  <c r="U225" i="1"/>
  <c r="U240" i="1"/>
  <c r="U176" i="1" s="1"/>
  <c r="U150" i="1"/>
  <c r="T113" i="1"/>
  <c r="O226" i="1"/>
  <c r="O162" i="1" s="1"/>
  <c r="O161" i="1"/>
  <c r="O220" i="1"/>
  <c r="O156" i="1" s="1"/>
  <c r="O155" i="1"/>
  <c r="AA148" i="1"/>
  <c r="AA214" i="1"/>
  <c r="X471" i="1"/>
  <c r="R474" i="1"/>
  <c r="O474" i="1"/>
  <c r="AA411" i="1"/>
  <c r="AA492" i="1"/>
  <c r="AA434" i="1" s="1"/>
  <c r="U474" i="1"/>
  <c r="AA474" i="1"/>
  <c r="Z378" i="1"/>
  <c r="I474" i="1"/>
  <c r="L474" i="1"/>
  <c r="AD409" i="1"/>
  <c r="AD469" i="1"/>
  <c r="AA477" i="1" s="1"/>
  <c r="U472" i="1"/>
  <c r="U414" i="1" s="1"/>
  <c r="U413" i="1"/>
  <c r="X474" i="1"/>
  <c r="X240" i="1" l="1"/>
  <c r="X176" i="1" s="1"/>
  <c r="X150" i="1"/>
  <c r="W113" i="1"/>
  <c r="U219" i="1"/>
  <c r="U155" i="1" s="1"/>
  <c r="I220" i="1"/>
  <c r="I156" i="1" s="1"/>
  <c r="I226" i="1"/>
  <c r="I162" i="1" s="1"/>
  <c r="L161" i="1"/>
  <c r="L226" i="1"/>
  <c r="L162" i="1" s="1"/>
  <c r="R226" i="1"/>
  <c r="R162" i="1" s="1"/>
  <c r="R161" i="1"/>
  <c r="X226" i="1"/>
  <c r="X162" i="1" s="1"/>
  <c r="X161" i="1"/>
  <c r="U226" i="1"/>
  <c r="U162" i="1" s="1"/>
  <c r="U161" i="1"/>
  <c r="R155" i="1"/>
  <c r="R220" i="1"/>
  <c r="R156" i="1" s="1"/>
  <c r="O222" i="1"/>
  <c r="X222" i="1"/>
  <c r="I222" i="1"/>
  <c r="AA225" i="1"/>
  <c r="AA150" i="1"/>
  <c r="X219" i="1"/>
  <c r="AA219" i="1"/>
  <c r="Z113" i="1"/>
  <c r="R222" i="1"/>
  <c r="AA240" i="1"/>
  <c r="AA176" i="1" s="1"/>
  <c r="AA222" i="1"/>
  <c r="L222" i="1"/>
  <c r="U222" i="1"/>
  <c r="L475" i="1"/>
  <c r="L417" i="1" s="1"/>
  <c r="L416" i="1"/>
  <c r="AC378" i="1"/>
  <c r="L477" i="1"/>
  <c r="U477" i="1"/>
  <c r="AD411" i="1"/>
  <c r="X477" i="1"/>
  <c r="I477" i="1"/>
  <c r="AD492" i="1"/>
  <c r="AD434" i="1" s="1"/>
  <c r="O477" i="1"/>
  <c r="R477" i="1"/>
  <c r="AA416" i="1"/>
  <c r="AA475" i="1"/>
  <c r="AA417" i="1" s="1"/>
  <c r="O475" i="1"/>
  <c r="O417" i="1" s="1"/>
  <c r="O416" i="1"/>
  <c r="AA478" i="1"/>
  <c r="AA420" i="1" s="1"/>
  <c r="AA419" i="1"/>
  <c r="U475" i="1"/>
  <c r="U417" i="1" s="1"/>
  <c r="U416" i="1"/>
  <c r="R475" i="1"/>
  <c r="R417" i="1" s="1"/>
  <c r="R416" i="1"/>
  <c r="I475" i="1"/>
  <c r="I417" i="1" s="1"/>
  <c r="I416" i="1"/>
  <c r="AA471" i="1"/>
  <c r="X475" i="1"/>
  <c r="X417" i="1" s="1"/>
  <c r="X416" i="1"/>
  <c r="X472" i="1"/>
  <c r="X414" i="1" s="1"/>
  <c r="X413" i="1"/>
  <c r="U220" i="1" l="1"/>
  <c r="U156" i="1" s="1"/>
  <c r="L158" i="1"/>
  <c r="L223" i="1"/>
  <c r="L159" i="1" s="1"/>
  <c r="AA161" i="1"/>
  <c r="AA226" i="1"/>
  <c r="AA162" i="1" s="1"/>
  <c r="AA158" i="1"/>
  <c r="AA223" i="1"/>
  <c r="AA159" i="1" s="1"/>
  <c r="AA220" i="1"/>
  <c r="AA156" i="1" s="1"/>
  <c r="AA155" i="1"/>
  <c r="I223" i="1"/>
  <c r="I159" i="1" s="1"/>
  <c r="I158" i="1"/>
  <c r="X220" i="1"/>
  <c r="X156" i="1" s="1"/>
  <c r="X155" i="1"/>
  <c r="X158" i="1"/>
  <c r="X223" i="1"/>
  <c r="X159" i="1" s="1"/>
  <c r="U223" i="1"/>
  <c r="U159" i="1" s="1"/>
  <c r="U158" i="1"/>
  <c r="R223" i="1"/>
  <c r="R159" i="1" s="1"/>
  <c r="R158" i="1"/>
  <c r="O223" i="1"/>
  <c r="O159" i="1" s="1"/>
  <c r="O158" i="1"/>
  <c r="AA413" i="1"/>
  <c r="AA472" i="1"/>
  <c r="AA414" i="1" s="1"/>
  <c r="I419" i="1"/>
  <c r="I478" i="1"/>
  <c r="I420" i="1" s="1"/>
  <c r="L478" i="1"/>
  <c r="L420" i="1" s="1"/>
  <c r="L419" i="1"/>
  <c r="R419" i="1"/>
  <c r="R478" i="1"/>
  <c r="R420" i="1" s="1"/>
  <c r="X478" i="1"/>
  <c r="X420" i="1" s="1"/>
  <c r="X419" i="1"/>
  <c r="O419" i="1"/>
  <c r="O478" i="1"/>
  <c r="O420" i="1" s="1"/>
  <c r="U478" i="1"/>
  <c r="U420" i="1" s="1"/>
  <c r="U419" i="1"/>
  <c r="E331" i="1"/>
  <c r="E337" i="1" s="1"/>
  <c r="E277" i="1" s="1"/>
  <c r="E338" i="1"/>
  <c r="F338" i="1" s="1"/>
  <c r="F303" i="1" l="1"/>
  <c r="F362" i="1"/>
  <c r="F364" i="1"/>
  <c r="F304" i="1" s="1"/>
  <c r="F339" i="1"/>
  <c r="F343" i="1"/>
  <c r="F283" i="1" s="1"/>
  <c r="F342" i="1"/>
  <c r="F282" i="1" s="1"/>
  <c r="F278" i="1"/>
  <c r="F341" i="1"/>
  <c r="F281" i="1" s="1"/>
  <c r="F367" i="1" l="1"/>
  <c r="F307" i="1" s="1"/>
  <c r="F302" i="1"/>
  <c r="F279" i="1"/>
  <c r="F344" i="1"/>
  <c r="F284" i="1" l="1"/>
  <c r="F346" i="1"/>
  <c r="F286" i="1" l="1"/>
  <c r="E249" i="1"/>
  <c r="F348" i="1"/>
  <c r="F354" i="1"/>
  <c r="F351" i="1"/>
  <c r="F369" i="1"/>
  <c r="F309" i="1" s="1"/>
  <c r="E461" i="1"/>
  <c r="F461" i="1" s="1"/>
  <c r="F466" i="1" s="1"/>
  <c r="F352" i="1" l="1"/>
  <c r="F292" i="1" s="1"/>
  <c r="F291" i="1"/>
  <c r="F355" i="1"/>
  <c r="F295" i="1" s="1"/>
  <c r="F294" i="1"/>
  <c r="F349" i="1"/>
  <c r="F289" i="1" s="1"/>
  <c r="F288" i="1"/>
  <c r="F403" i="1"/>
  <c r="F487" i="1"/>
  <c r="F429" i="1" s="1"/>
  <c r="F428" i="1"/>
  <c r="F485" i="1"/>
  <c r="F405" i="1"/>
  <c r="F462" i="1"/>
  <c r="F408" i="1"/>
  <c r="F465" i="1"/>
  <c r="F407" i="1" s="1"/>
  <c r="F464" i="1"/>
  <c r="F406" i="1" s="1"/>
  <c r="F427" i="1" l="1"/>
  <c r="F404" i="1"/>
  <c r="F467" i="1"/>
  <c r="F409" i="1" l="1"/>
  <c r="E453" i="1" l="1"/>
  <c r="E460" i="1" s="1"/>
  <c r="E209" i="1"/>
  <c r="F209" i="1" s="1"/>
  <c r="F145" i="1" s="1"/>
  <c r="E198" i="1"/>
  <c r="E205" i="1"/>
  <c r="F205" i="1" s="1"/>
  <c r="E402" i="1" l="1"/>
  <c r="F490" i="1"/>
  <c r="F432" i="1" s="1"/>
  <c r="F469" i="1"/>
  <c r="E217" i="1"/>
  <c r="E153" i="1" s="1"/>
  <c r="F141" i="1"/>
  <c r="F492" i="1" l="1"/>
  <c r="F434" i="1" s="1"/>
  <c r="F474" i="1"/>
  <c r="F477" i="1"/>
  <c r="F411" i="1"/>
  <c r="F471" i="1"/>
  <c r="G198" i="1"/>
  <c r="G134" i="1" s="1"/>
  <c r="G193" i="1"/>
  <c r="G129" i="1" s="1"/>
  <c r="E218" i="1"/>
  <c r="E154" i="1" s="1"/>
  <c r="G195" i="1"/>
  <c r="E202" i="1"/>
  <c r="G190" i="1" l="1"/>
  <c r="G131" i="1"/>
  <c r="F472" i="1"/>
  <c r="F414" i="1" s="1"/>
  <c r="F413" i="1"/>
  <c r="F478" i="1"/>
  <c r="F420" i="1" s="1"/>
  <c r="F419" i="1"/>
  <c r="F475" i="1"/>
  <c r="F417" i="1" s="1"/>
  <c r="F416" i="1"/>
  <c r="E211" i="1"/>
  <c r="F211" i="1" s="1"/>
  <c r="F147" i="1" s="1"/>
  <c r="E195" i="1" l="1"/>
  <c r="G126" i="1"/>
  <c r="F206" i="1" l="1"/>
  <c r="E191" i="1"/>
  <c r="F210" i="1"/>
  <c r="F146" i="1" s="1"/>
  <c r="F208" i="1"/>
  <c r="F144" i="1" s="1"/>
  <c r="E131" i="1"/>
  <c r="E127" i="1" l="1"/>
  <c r="F229" i="1"/>
  <c r="F165" i="1" s="1"/>
  <c r="E199" i="1"/>
  <c r="F142" i="1"/>
  <c r="F212" i="1"/>
  <c r="F148" i="1" s="1"/>
  <c r="E135" i="1" l="1"/>
  <c r="E204" i="1"/>
  <c r="F231" i="1"/>
  <c r="F167" i="1" s="1"/>
  <c r="F234" i="1"/>
  <c r="F170" i="1" s="1"/>
  <c r="F235" i="1"/>
  <c r="F171" i="1" s="1"/>
  <c r="F233" i="1"/>
  <c r="F169" i="1" s="1"/>
  <c r="F238" i="1" l="1"/>
  <c r="F174" i="1" s="1"/>
  <c r="E140" i="1"/>
  <c r="F214" i="1"/>
  <c r="F150" i="1" s="1"/>
  <c r="F240" i="1" l="1"/>
  <c r="F176" i="1" s="1"/>
  <c r="F222" i="1"/>
  <c r="F225" i="1"/>
  <c r="E113" i="1"/>
  <c r="F219" i="1"/>
  <c r="K331" i="1"/>
  <c r="K337" i="1"/>
  <c r="K277" i="1" s="1"/>
  <c r="L346" i="1" l="1"/>
  <c r="L354" i="1" s="1"/>
  <c r="L294" i="1" s="1"/>
  <c r="F220" i="1"/>
  <c r="F156" i="1" s="1"/>
  <c r="F155" i="1"/>
  <c r="F226" i="1"/>
  <c r="F162" i="1" s="1"/>
  <c r="F161" i="1"/>
  <c r="F223" i="1"/>
  <c r="F159" i="1" s="1"/>
  <c r="F158" i="1"/>
  <c r="L367" i="1"/>
  <c r="L355" i="1" l="1"/>
  <c r="L295" i="1" s="1"/>
  <c r="K249" i="1"/>
  <c r="L348" i="1"/>
  <c r="L349" i="1" s="1"/>
  <c r="L289" i="1" s="1"/>
  <c r="L286" i="1"/>
  <c r="I348" i="1"/>
  <c r="I288" i="1" s="1"/>
  <c r="L351" i="1"/>
  <c r="L352" i="1" s="1"/>
  <c r="L292" i="1" s="1"/>
  <c r="L307" i="1"/>
  <c r="L369" i="1"/>
  <c r="L309" i="1" s="1"/>
  <c r="L288" i="1" l="1"/>
  <c r="L291" i="1"/>
  <c r="I349" i="1"/>
  <c r="I289" i="1" s="1"/>
</calcChain>
</file>

<file path=xl/comments1.xml><?xml version="1.0" encoding="utf-8"?>
<comments xmlns="http://schemas.openxmlformats.org/spreadsheetml/2006/main">
  <authors>
    <author>Victor</author>
  </authors>
  <commentList>
    <comment ref="C269" authorId="0" shapeId="0">
      <text>
        <r>
          <rPr>
            <b/>
            <sz val="9"/>
            <color indexed="81"/>
            <rFont val="Tahoma"/>
            <family val="2"/>
          </rPr>
          <t>Victor: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Poner aquí la cantidad de horas que cobran este código, tope en 15.
 Poner 0 si tenés un cargo.</t>
        </r>
      </text>
    </comment>
    <comment ref="C393" authorId="0" shapeId="0">
      <text>
        <r>
          <rPr>
            <b/>
            <sz val="9"/>
            <color indexed="81"/>
            <rFont val="Tahoma"/>
            <family val="2"/>
          </rPr>
          <t>Victor: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Poner aquí la cantidad de horas que cobran este código, tope en 15.  Poner 0 si tenés un cargo.</t>
        </r>
      </text>
    </comment>
  </commentList>
</comments>
</file>

<file path=xl/sharedStrings.xml><?xml version="1.0" encoding="utf-8"?>
<sst xmlns="http://schemas.openxmlformats.org/spreadsheetml/2006/main" count="1696" uniqueCount="563">
  <si>
    <t>sep-21</t>
  </si>
  <si>
    <t>con Conectividad</t>
  </si>
  <si>
    <t>Simulador Salario docente Entre Ríos</t>
  </si>
  <si>
    <t>Listado de Cargos</t>
  </si>
  <si>
    <t>Por favor avisar si encuentran errores</t>
  </si>
  <si>
    <t>Solo completar los datos en rojo</t>
  </si>
  <si>
    <t>Escala de antigüedades</t>
  </si>
  <si>
    <t>Años</t>
  </si>
  <si>
    <t>Porcentaje</t>
  </si>
  <si>
    <t>Final</t>
  </si>
  <si>
    <t>hasta 971</t>
  </si>
  <si>
    <t>972&lt;pi&lt;= 1169</t>
  </si>
  <si>
    <t>1170&lt;pi&lt;1400</t>
  </si>
  <si>
    <t>1401&lt;pi&lt;1942</t>
  </si>
  <si>
    <t>1943&lt;pi&lt;=2220</t>
  </si>
  <si>
    <t>pi&gt;2220</t>
  </si>
  <si>
    <t>pijc&gt;=620 971</t>
  </si>
  <si>
    <t>JC &gt; 971</t>
  </si>
  <si>
    <t>JC defint</t>
  </si>
  <si>
    <t>Porc aumento índice</t>
  </si>
  <si>
    <t>18,00%</t>
  </si>
  <si>
    <t>Nuevo Índice</t>
  </si>
  <si>
    <t>#¿NOMBRE?</t>
  </si>
  <si>
    <t>Auminddic</t>
  </si>
  <si>
    <t>Para conocer el código del cargo hacer clic en la hoja cargos</t>
  </si>
  <si>
    <t>Porc aumento prol Jornada</t>
  </si>
  <si>
    <t>20,00%</t>
  </si>
  <si>
    <t>Nuevo Prol Jorn</t>
  </si>
  <si>
    <t>aumjorcompdic</t>
  </si>
  <si>
    <t>% de aum código 06</t>
  </si>
  <si>
    <t>16,00%</t>
  </si>
  <si>
    <t>Multiplicador</t>
  </si>
  <si>
    <t>116,0%</t>
  </si>
  <si>
    <t>aum cod 06 dic</t>
  </si>
  <si>
    <t>#########</t>
  </si>
  <si>
    <t>#¡REF!</t>
  </si>
  <si>
    <t>Modificadores diálogo 2013</t>
  </si>
  <si>
    <t>Nuevo sueldo testigo (maestro, 0% antig)</t>
  </si>
  <si>
    <t>Aumento cargo testigo</t>
  </si>
  <si>
    <t>CARGOS</t>
  </si>
  <si>
    <t>indiceene20</t>
  </si>
  <si>
    <t>indicemar21</t>
  </si>
  <si>
    <t>Aumento1</t>
  </si>
  <si>
    <t>indicedic21</t>
  </si>
  <si>
    <t>indiceproljorene20</t>
  </si>
  <si>
    <t>indiceproljormar21</t>
  </si>
  <si>
    <t>Aumento2</t>
  </si>
  <si>
    <t>indiceproljordic21</t>
  </si>
  <si>
    <t>Aumentomar21</t>
  </si>
  <si>
    <t>Aumento3</t>
  </si>
  <si>
    <t>Aumento4</t>
  </si>
  <si>
    <t>Aumento5</t>
  </si>
  <si>
    <t>11996,77</t>
  </si>
  <si>
    <t>Aclaración importante:</t>
  </si>
  <si>
    <t>completar el cargo a la izquierda y buscar el resultado a la derecha</t>
  </si>
  <si>
    <t>CARGO</t>
  </si>
  <si>
    <t>PUNTOS basicos</t>
  </si>
  <si>
    <t>tarea DIFER.</t>
  </si>
  <si>
    <t>Prol JORN</t>
  </si>
  <si>
    <t>jorn Compl</t>
  </si>
  <si>
    <t>Combas2016</t>
  </si>
  <si>
    <t>Comp Dir 2016</t>
  </si>
  <si>
    <t>Adic Esc Nina</t>
  </si>
  <si>
    <t>NOMBRE del cargo</t>
  </si>
  <si>
    <t>Buscar en la hoja cargos si no saben el número del cargo y luego controlar por el nombre</t>
  </si>
  <si>
    <t>¿Sos directivo de escuela Nina?</t>
  </si>
  <si>
    <t>Si: 1; No: 0</t>
  </si>
  <si>
    <t>67171,39</t>
  </si>
  <si>
    <t>Años de antigüedad</t>
  </si>
  <si>
    <t>Sueldo Liquido</t>
  </si>
  <si>
    <t>Transporte: cant km semanales</t>
  </si>
  <si>
    <t>Puntos básicos</t>
  </si>
  <si>
    <t>Puntos de jornada completa</t>
  </si>
  <si>
    <t>CODIGO</t>
  </si>
  <si>
    <t>PORCENT</t>
  </si>
  <si>
    <t>CONCEPTO</t>
  </si>
  <si>
    <t>HABERES</t>
  </si>
  <si>
    <t>DESCUENTOS</t>
  </si>
  <si>
    <t>Asignación de la categoría</t>
  </si>
  <si>
    <t>Complemento de Básico</t>
  </si>
  <si>
    <t>03 o 08</t>
  </si>
  <si>
    <t>Complemento directivo</t>
  </si>
  <si>
    <t>Adicional Nina</t>
  </si>
  <si>
    <t>Adic. Art. 2 y 3 Dcrto. 5863/05</t>
  </si>
  <si>
    <t>Antigüedad</t>
  </si>
  <si>
    <t>Product. Dcrto. 5863/05</t>
  </si>
  <si>
    <t>Plus productividad docente</t>
  </si>
  <si>
    <t>Prolongación de Jornada</t>
  </si>
  <si>
    <t>Función diferencial docente</t>
  </si>
  <si>
    <t>Bonific Ubic Escuela (ZONA)</t>
  </si>
  <si>
    <t>Adicional para mínimo</t>
  </si>
  <si>
    <t>Cod 117</t>
  </si>
  <si>
    <t>Monto Remunerativo</t>
  </si>
  <si>
    <t>Compensación por traslado</t>
  </si>
  <si>
    <t>Varios</t>
  </si>
  <si>
    <t>Total Asignaciones Familiares</t>
  </si>
  <si>
    <t>Total nominal provincia</t>
  </si>
  <si>
    <t>Anticipo FONID</t>
  </si>
  <si>
    <t>ADEL. EXTR. PAR.2020</t>
  </si>
  <si>
    <t>FONID 2006</t>
  </si>
  <si>
    <t>Conectividad Nacional</t>
  </si>
  <si>
    <t>Total haberes</t>
  </si>
  <si>
    <t>Reajuste cod 188</t>
  </si>
  <si>
    <t>16,0%</t>
  </si>
  <si>
    <t>Ap jubilat</t>
  </si>
  <si>
    <t>0,6%</t>
  </si>
  <si>
    <t>Ley 4035</t>
  </si>
  <si>
    <t>3,0%</t>
  </si>
  <si>
    <t>Ob social</t>
  </si>
  <si>
    <t>Seg vida</t>
  </si>
  <si>
    <t>Aporte sindical AGMER</t>
  </si>
  <si>
    <t>Otro desc</t>
  </si>
  <si>
    <t>Descuentos</t>
  </si>
  <si>
    <t>aumenta 7%</t>
  </si>
  <si>
    <t>aumenta 10%</t>
  </si>
  <si>
    <t>Sueldo líquido</t>
  </si>
  <si>
    <t>41781,00</t>
  </si>
  <si>
    <t>Total remunerativos</t>
  </si>
  <si>
    <t>sin 188 y 14</t>
  </si>
  <si>
    <t>con 188 y 14</t>
  </si>
  <si>
    <t>Aumento del mes</t>
  </si>
  <si>
    <t>Porc resp a anterior</t>
  </si>
  <si>
    <t>Aum Acum anual</t>
  </si>
  <si>
    <t>Aum Acum anual Porc</t>
  </si>
  <si>
    <t>Aum resp a enero 21</t>
  </si>
  <si>
    <t>Medio Aguinaldo</t>
  </si>
  <si>
    <t>código 100</t>
  </si>
  <si>
    <t>código 186 (No remun)</t>
  </si>
  <si>
    <t>Líquido</t>
  </si>
  <si>
    <t>Descuentos con aguinaldo</t>
  </si>
  <si>
    <t>Sueldo líquido incluyendo aguinaldo</t>
  </si>
  <si>
    <t>Aguinaldo de bolsillo</t>
  </si>
  <si>
    <t>HORAS DE NIVEL MEDIO</t>
  </si>
  <si>
    <t>Número de horas</t>
  </si>
  <si>
    <t>Años de Antigüedad</t>
  </si>
  <si>
    <t>Por los topes de algunos códigos</t>
  </si>
  <si>
    <t>Nº horas que cobran código 06</t>
  </si>
  <si>
    <t>Nº horas que cobran incentivo</t>
  </si>
  <si>
    <t>Adicional horas media (1: Si; 0: No)</t>
  </si>
  <si>
    <t>1: Si; 0: No</t>
  </si>
  <si>
    <t>Trans: cant km semanales</t>
  </si>
  <si>
    <t>Horas cátedra</t>
  </si>
  <si>
    <t>Productiv Dcrto. 5863/05</t>
  </si>
  <si>
    <t>Adicional horas media</t>
  </si>
  <si>
    <t>NUEVO ADIC. HS. CAT.</t>
  </si>
  <si>
    <t>Sueldo Nominal Provincia</t>
  </si>
  <si>
    <t>Otros</t>
  </si>
  <si>
    <t>ADEL. EXTR. PAR.2020 (Al 084)</t>
  </si>
  <si>
    <t>Haberes</t>
  </si>
  <si>
    <t>Ap jubilatorio</t>
  </si>
  <si>
    <t>Obra social</t>
  </si>
  <si>
    <t>Todo en el 084</t>
  </si>
  <si>
    <t>HORAS DE NIVEL Superior</t>
  </si>
  <si>
    <t>Sueldo nominal provincia</t>
  </si>
  <si>
    <t>24,0</t>
  </si>
  <si>
    <t>aumento 7%</t>
  </si>
  <si>
    <t>aumento 10%</t>
  </si>
  <si>
    <t>aumento 20%</t>
  </si>
  <si>
    <t>aumento 15%</t>
  </si>
  <si>
    <t>Autor</t>
  </si>
  <si>
    <t>Víctor Hugo Hutt</t>
  </si>
  <si>
    <t>AGMER Seccional Uruguay</t>
  </si>
  <si>
    <t>www.agmeruruguay.com.ar</t>
  </si>
  <si>
    <t>Facebook: agmeruruguay</t>
  </si>
  <si>
    <t>Volver al simulador</t>
  </si>
  <si>
    <t>Tarea</t>
  </si>
  <si>
    <t>Prol</t>
  </si>
  <si>
    <t>Jornada</t>
  </si>
  <si>
    <t>Adic</t>
  </si>
  <si>
    <t>NOMBRE</t>
  </si>
  <si>
    <t>PUNTOS</t>
  </si>
  <si>
    <t>puntos comp bas 2016</t>
  </si>
  <si>
    <t>adic dir 2016</t>
  </si>
  <si>
    <t>TOT 1 Y 2</t>
  </si>
  <si>
    <t>DIFER.</t>
  </si>
  <si>
    <t>JORN</t>
  </si>
  <si>
    <t>Compl</t>
  </si>
  <si>
    <t>Nina</t>
  </si>
  <si>
    <t>RECTOR INSTITUTO SUPERIOR</t>
  </si>
  <si>
    <t>521,4</t>
  </si>
  <si>
    <t>2748,4</t>
  </si>
  <si>
    <t>SECRETARIO INSTITUTO SUPERIOR</t>
  </si>
  <si>
    <t>347,6</t>
  </si>
  <si>
    <t>2017,6</t>
  </si>
  <si>
    <t>JEFE DE PRECEPTORES DE 2DA Y 3RA CATEGORIA</t>
  </si>
  <si>
    <t>0,0</t>
  </si>
  <si>
    <t>RESP. AREA ASISTEMATICA Y SISTEMATICA</t>
  </si>
  <si>
    <t>REGENTE 1ERA. CAT. C.E.F.</t>
  </si>
  <si>
    <t>388,2</t>
  </si>
  <si>
    <t>2085,2</t>
  </si>
  <si>
    <t>SUPERVISOR D.E.M.Y.A.</t>
  </si>
  <si>
    <t>776,0</t>
  </si>
  <si>
    <t>SECRETARIO DOCENTE D.E.M.Y.A.</t>
  </si>
  <si>
    <t>TECNICO PEDAGOGICO</t>
  </si>
  <si>
    <t>DIRECTOR 1ERA CATEGORIA</t>
  </si>
  <si>
    <t>647,0</t>
  </si>
  <si>
    <t>135,87</t>
  </si>
  <si>
    <t>DIRECTOR 2DA CATEGORIA</t>
  </si>
  <si>
    <t>582,3</t>
  </si>
  <si>
    <t>2479,3</t>
  </si>
  <si>
    <t>REGENTE ESC. TECNICA 1ERA CATEGORIA</t>
  </si>
  <si>
    <t>452,9</t>
  </si>
  <si>
    <t>2218,9</t>
  </si>
  <si>
    <t>DIRECTOR 3ERA CATEGORIA</t>
  </si>
  <si>
    <t>2209,9</t>
  </si>
  <si>
    <t>VICEDIRECTOR 1ERA CATEGORIA</t>
  </si>
  <si>
    <t>517,6</t>
  </si>
  <si>
    <t>2327,6</t>
  </si>
  <si>
    <t>superv</t>
  </si>
  <si>
    <t>776,4</t>
  </si>
  <si>
    <t>232,92</t>
  </si>
  <si>
    <t>VICEDIRECTOR 2DA CATEGORIA</t>
  </si>
  <si>
    <t>direct 1</t>
  </si>
  <si>
    <t>194,1</t>
  </si>
  <si>
    <t>JEFE AGROPECUARIO 1ERA CATEGORIA</t>
  </si>
  <si>
    <t>direct 2</t>
  </si>
  <si>
    <t>174,69</t>
  </si>
  <si>
    <t>JEFE AGROPECUARIO 2DA CATEGORIA</t>
  </si>
  <si>
    <t>direct 3</t>
  </si>
  <si>
    <t>JEFE AGROPECUARIO 3ERA CATEGORIA</t>
  </si>
  <si>
    <t>direct 4</t>
  </si>
  <si>
    <t>JEFE SECCION ESC. AGROPECUARIA</t>
  </si>
  <si>
    <t>vicedir 1</t>
  </si>
  <si>
    <t>155,28</t>
  </si>
  <si>
    <t>REGENTE ESC. TECNICA 2DA CATEGORIA</t>
  </si>
  <si>
    <t>vicedir 2</t>
  </si>
  <si>
    <t>116,46</t>
  </si>
  <si>
    <t>MAESTRO ENS PRACT - JEFE SECCION</t>
  </si>
  <si>
    <t>sec 1</t>
  </si>
  <si>
    <t>MAESTRO ENS PRACT - 1RA 2DA 3RA</t>
  </si>
  <si>
    <t>414,7</t>
  </si>
  <si>
    <t>sec 2</t>
  </si>
  <si>
    <t>JEFE INTERNADO 1ERA CATEGORIA</t>
  </si>
  <si>
    <t>sec 3</t>
  </si>
  <si>
    <t>JEFE INTERNADO 3ERA CATEGORIA</t>
  </si>
  <si>
    <t>SECRETARIO 1ERA CATEGORIA</t>
  </si>
  <si>
    <t>1876,2</t>
  </si>
  <si>
    <t>SECRETARIO 2DA CATEGORIA</t>
  </si>
  <si>
    <t>1850,2</t>
  </si>
  <si>
    <t>SECRETARIO 3ERA CATEGORIA</t>
  </si>
  <si>
    <t>1815,2</t>
  </si>
  <si>
    <t>MAESTRO TECNOLOGICO Y ESPECIALIDADES</t>
  </si>
  <si>
    <t>MAESTRO AYUD ENS PRACT 1RA 2DA 3RA</t>
  </si>
  <si>
    <t>PRECEPTOR AYUDANTE INTERNADO 1ERA CATEGORIA</t>
  </si>
  <si>
    <t>PRECEPTOR AYUDANTE INTERNADO 3ERA CATEGORIA</t>
  </si>
  <si>
    <t>PRECEPTOR</t>
  </si>
  <si>
    <t>BIBLIOTECARIO</t>
  </si>
  <si>
    <t>MAESTRO DE GRADO</t>
  </si>
  <si>
    <t>VICEDIRECTOR 1ERA. CAT. C.E.F.</t>
  </si>
  <si>
    <t>JEFE DE LABORATORIO</t>
  </si>
  <si>
    <t>JEFE DE ENS PRACTICA</t>
  </si>
  <si>
    <t>AYTE TEC DE TRAB PRACT/LABORATORIO</t>
  </si>
  <si>
    <t>SUBJEFE DE PRECEPT 1RA CAT</t>
  </si>
  <si>
    <t>RECTOR 3era Cat. Escuela Secundaria Jóvenes y Adultos</t>
  </si>
  <si>
    <t>453,0</t>
  </si>
  <si>
    <t>Secretario 3era Cat. Escuela Secundaria Jóvenes y Adultos</t>
  </si>
  <si>
    <t>388,0</t>
  </si>
  <si>
    <t>Supervisor Zonal Educación Secundaria Jóvenes y Adultos</t>
  </si>
  <si>
    <t>VICEDIRECTOR 3ERA CATEGORIA</t>
  </si>
  <si>
    <t>1989,2</t>
  </si>
  <si>
    <t>VICERECTOR PROYECTO 13</t>
  </si>
  <si>
    <t>ASESOR PEDAG PROYECTO 13</t>
  </si>
  <si>
    <t>AYUDANTE CLASES PRACTICAS (14 Hs)</t>
  </si>
  <si>
    <t>INSTRUCTOR COMPLEJO AGRARIO</t>
  </si>
  <si>
    <t>DIRECTOR DE 1° C.E.F.</t>
  </si>
  <si>
    <t>MAESTRO DE CICLO E.G.B.</t>
  </si>
  <si>
    <t>COORDINADOR DE ACCIONES NO FORMALES</t>
  </si>
  <si>
    <t>AUXILIAR DE ACCIONES NO FORMALES</t>
  </si>
  <si>
    <t>INSTRUCTOR ESC. AGROPECUARIAS</t>
  </si>
  <si>
    <t>JEFE TALLER ESC. TECNICA 3ERA CATEGORIA</t>
  </si>
  <si>
    <t>JEFE TALLER ESC. TECNICA 1ERA CATEGORIA</t>
  </si>
  <si>
    <t>JEFE TALLER ESC. TECNICA 2DA CATEGORIA</t>
  </si>
  <si>
    <t>PROSECRETARIO 1ERA CAT.</t>
  </si>
  <si>
    <t>PROSECRETARIO 2DA Y 3ERA CAT.</t>
  </si>
  <si>
    <t>JEFE DE PRECEPTORES 1ERA CAT.</t>
  </si>
  <si>
    <t>JEFE DE PRECEPTORES 2DA Y 3ERA CAT.</t>
  </si>
  <si>
    <t>SUBJEFE DE PRECEPTORES 1ERA CAT.</t>
  </si>
  <si>
    <t>JEFE DE PRECEPTORES J. C. AGRARIA</t>
  </si>
  <si>
    <t>JEFE GRAL. DE ENSENANZA PRACTICA 3RA CAT.</t>
  </si>
  <si>
    <t>JEFE DPTO. EDUCACION FISICA (transformado) 971 + 620</t>
  </si>
  <si>
    <t>DIRECTOR DE 1ERA CAT. CON PROLONG. DE JORN.</t>
  </si>
  <si>
    <t>DIRECTOR DE 2DA CAT. CON PROLONG. DE JORN.</t>
  </si>
  <si>
    <t>DIRECTOR DE 3ERA CAT. CON PROLONG. DE JORN.</t>
  </si>
  <si>
    <t>VICEDIRECTOR DE 1ERA CAT. CON PROLONG. DE JORN.</t>
  </si>
  <si>
    <t>VICEDIRECTOR DE 2DA CAT. CON PROLONG. DE JORN.</t>
  </si>
  <si>
    <t>DIRECTOR DE 1ERA A/C DE 2 TURNOS CON P. DE JORN</t>
  </si>
  <si>
    <t>DIRECTOR DE 2DA A/C DE 2 TURNOS CON P. DE JORN.</t>
  </si>
  <si>
    <t>DIRECTOR DE 3ERA A/C DE 2 TURNOS CON P. DE JORN.</t>
  </si>
  <si>
    <t>JEFE DE UNS Y PRODUCCIÓN 1ERA CAT.</t>
  </si>
  <si>
    <t>517,0</t>
  </si>
  <si>
    <t>JEFE DE UNS Y PRODUCCIÓN 2DA CAT.</t>
  </si>
  <si>
    <t>JEFE DE UNS Y PRODUCCIÓN 3ERA CAT.</t>
  </si>
  <si>
    <t>JEFE SECCION ESC. AGROP. CON PROLONG. DE JORN.</t>
  </si>
  <si>
    <t>JEFE INTERN. 1ERA CAT. ESC. AGROP. CON P. DE JORN.</t>
  </si>
  <si>
    <t>JEFE INTERN. 2DA CAT. ESC. AGROP. CON P. DE JORN.</t>
  </si>
  <si>
    <t>JEFE INTERN. 3ERA CAT. ESC. AGROP. CON P. DE JORN.</t>
  </si>
  <si>
    <t>PRECEPTOR AYUDANTE INTERN. 1ERA CAT. CON P. DE JORN. (Pasó a 684)</t>
  </si>
  <si>
    <t>PRECEPTOR AYUDANTE INTERN. 2DA CAT. CON P. DE JORN. (Pasó a 684)</t>
  </si>
  <si>
    <t>PRECEPTOR AYUDANTE INTERNADO</t>
  </si>
  <si>
    <t>VICEDIRECTOR ESC. 3ERA CAT. CON PROLONG. DE JORN.</t>
  </si>
  <si>
    <t>DIRECTOR DE 1ERA CAT. A/C DE 3 TURNOS CON P. DE JORN.</t>
  </si>
  <si>
    <t>DIRECTOR DE 2DA CAT. A/C DE 3 TURNOS CON P. DE JORN.</t>
  </si>
  <si>
    <t>DIRECTOR DE 3ERA CAT. A/C DE 3 TURNOS CON P. DE JORN.</t>
  </si>
  <si>
    <t>PRECEPTOR AYUDANTE INTERN. ESC. TECNICA (Pasó a 684)</t>
  </si>
  <si>
    <t>JEFE SECTORIAL DE JORNADA COMPLETA AGRARIA</t>
  </si>
  <si>
    <t>JEFE INTERN. ESC. TECNICA 1ERA CAT. CON PROL. DE JORN.</t>
  </si>
  <si>
    <t>JEFE INTERN. ESC. TECNICA 2DA CAT. CON PROL. DE JORN.</t>
  </si>
  <si>
    <t>JEFE INTERN. ESC. TECNICA 3ERA CAT. CON PROL. DE JORN.</t>
  </si>
  <si>
    <t>AYUDANTE DE CATEDRA</t>
  </si>
  <si>
    <t>REGENTE DE 3ERA CAT.</t>
  </si>
  <si>
    <t>SUBREGENTE DE 1ERA CAT.</t>
  </si>
  <si>
    <t>JEFE GRAL. DE ENS. PRACTICA 1ERA CAT.</t>
  </si>
  <si>
    <t>JEFE GRAL. DE ENS. PRACTICA 2DA CAT.</t>
  </si>
  <si>
    <t>Secretario Unidad Educación Nivel Inicial 1era Cat.</t>
  </si>
  <si>
    <t>310,0</t>
  </si>
  <si>
    <t>Secretario Unidad Educación Nivel Inicial 1era Cat. Con P. Jorn</t>
  </si>
  <si>
    <t>Secretario Unidad Educación Nivel Inicial 2da. Cat.</t>
  </si>
  <si>
    <t>Secretario Unidad Educación Nivel Inicial 2da. Cat. Con P. Jorn</t>
  </si>
  <si>
    <t>Secretario Unidad Educación Nivel Inicial 3era Cat.</t>
  </si>
  <si>
    <t>SUPERVISOR EDUCACIÓN ARTÍSTICA</t>
  </si>
  <si>
    <t>JEFE DEPARTAMENTO TECNICO</t>
  </si>
  <si>
    <t>SUPERVISOR ESCOLAR DE ZONA</t>
  </si>
  <si>
    <t>SUPERVISOR DE ENSENANZA ESPECIAL</t>
  </si>
  <si>
    <t>SUPERVISOR DE EDUCACION FISICA</t>
  </si>
  <si>
    <t>SUPERVISOR ESCOLAR EDUC. TECNOLÓGICA</t>
  </si>
  <si>
    <t>SUPERVISOR DE EDUCACION MUSICAL</t>
  </si>
  <si>
    <t>TECNICO DOCENTE</t>
  </si>
  <si>
    <t>SECRETARIO DOCENTE HOGAR ESCUELA</t>
  </si>
  <si>
    <t>613,3</t>
  </si>
  <si>
    <t>DIRECTOR ESCUELA 1ERA CATEGORIA</t>
  </si>
  <si>
    <t>517,3</t>
  </si>
  <si>
    <t>DIRECTOR DEL S.A.I.E.</t>
  </si>
  <si>
    <t>DIRECTOR NIVEL INICIAL 1ERA CATEGORIA</t>
  </si>
  <si>
    <t>DIRECTOR ESCUELA 2DA CATEGORIA</t>
  </si>
  <si>
    <t>465,3</t>
  </si>
  <si>
    <t>DIRECTOR NIVEL INICIAL 2DA CATEGORIA</t>
  </si>
  <si>
    <t>DIRECTOR ESCUELA EDUCACION ESPECIAL</t>
  </si>
  <si>
    <t>DIRECTOR ESCUELA 3ERA CATEGORIA</t>
  </si>
  <si>
    <t>362,7</t>
  </si>
  <si>
    <t>VICEDIRECTOR ESCUELA 1ERA CATEGORIA</t>
  </si>
  <si>
    <t>310,7</t>
  </si>
  <si>
    <t>DIRECTOR ESCUELA CARCEL</t>
  </si>
  <si>
    <t>621,3</t>
  </si>
  <si>
    <t>DIRECTOR ESCUELA 4TA CATEGORIA</t>
  </si>
  <si>
    <t>TECNICO DIFERENCIADO</t>
  </si>
  <si>
    <t>VICEDIRECTOR ESCUELA 2DA CATEGORIA</t>
  </si>
  <si>
    <t>DIRECTOR ESCUELA MATERNAL</t>
  </si>
  <si>
    <t>DIRECTOR ESCUELA ADULTOS 1ERA CATEGORIA</t>
  </si>
  <si>
    <t>DIRECTOR ESCUELA CORAL</t>
  </si>
  <si>
    <t>DIRECTOR ESCUELA ADULTOS 2DA CATEGORIA</t>
  </si>
  <si>
    <t>MAESTRO DOMICILIARIO</t>
  </si>
  <si>
    <t>VISITADOR</t>
  </si>
  <si>
    <t>ASISTENTE SOCIAL</t>
  </si>
  <si>
    <t>MAESTRO ESCUELA DIFERENCIADA</t>
  </si>
  <si>
    <t>DIRECTOR PARQUE ESCOLAR "E. BERDUC"</t>
  </si>
  <si>
    <t>MAESTRO ESPECIAL EDUCACION MUSICAL DIFERENCIADO</t>
  </si>
  <si>
    <t>MAESTRO JARDIN DE INFANTES</t>
  </si>
  <si>
    <t>MAESTRO DE GRADO DIFERENCIADO</t>
  </si>
  <si>
    <t>MAESTRO CARCELARIO</t>
  </si>
  <si>
    <t>SECRETARIO ESCUELA 2DA CATEGORIA</t>
  </si>
  <si>
    <t>MAESTRO ESPECIAL ACTIVIDAD PRACTICAS DIFERENCIADA</t>
  </si>
  <si>
    <t>MAESTRO ESCUELA MATERNAL</t>
  </si>
  <si>
    <t>SECRETARIO ESCUELA 1ERA CATEGORIA</t>
  </si>
  <si>
    <t>MAESTRO ESPECIAL ESCUELA CORAL</t>
  </si>
  <si>
    <t>MAESTRO AUXILIAR ESCUELA DIFERENCIADA</t>
  </si>
  <si>
    <t>MAESTRO EDUCACION FISICA</t>
  </si>
  <si>
    <t>SECRETARIO ESCUELA ADULTOS</t>
  </si>
  <si>
    <t>Secretario Esc. Nivel Inicial 1ra CAT</t>
  </si>
  <si>
    <t>TECNICO DOCENTE ENSENANZA ESPECIAL</t>
  </si>
  <si>
    <t>DIRECTOR ESCUELA PARA CIEGOS</t>
  </si>
  <si>
    <t>MAESTRO ESCUELA NOCTURNA</t>
  </si>
  <si>
    <t>MAESTRO ESPECIAL ACTIVIDADES PRACTICAS</t>
  </si>
  <si>
    <t>SECRETARIO PARQUE ESCOLAR</t>
  </si>
  <si>
    <t>309,3</t>
  </si>
  <si>
    <t>MAESTRO ESPECIAL ACTIVIDADES PRACTICAS ADULTO</t>
  </si>
  <si>
    <t>MAESTRO ESPECIAL TECNICO AGROPECUARIO</t>
  </si>
  <si>
    <t>MAESTRO HOSPITALARIO</t>
  </si>
  <si>
    <t>BIBLIOTECARIO PEDAGOGICO</t>
  </si>
  <si>
    <t>COORDINADOR CENTRO LABORAL</t>
  </si>
  <si>
    <t>COORDINADOR DEPARTAMENTAL</t>
  </si>
  <si>
    <t>MAESTRO ESPECIAL EDUCACION MUSICAL</t>
  </si>
  <si>
    <t>FONOAUDIOLOGO</t>
  </si>
  <si>
    <t>PSICOLOGO</t>
  </si>
  <si>
    <t>DIRECTOR ESCUELA PARA SORDOS</t>
  </si>
  <si>
    <t>VICEDIRECTOR ESCUELA ENSENANZA ESPECIAL</t>
  </si>
  <si>
    <t>MAESTRO ESPECIAL EDUCACION FISICA DIFERENCIADO</t>
  </si>
  <si>
    <t>SECRETARIO DOCENTE</t>
  </si>
  <si>
    <t>SUPERVISOR ENSENANZA ADULTOS</t>
  </si>
  <si>
    <t>1034,7</t>
  </si>
  <si>
    <t>MAESTRO AUXILIAR ESCUELA DIFERENCIADA JORNADA COMPLETA</t>
  </si>
  <si>
    <t>MAESTRO ESPECIAL ACT. PRACT. DIFERENCIADA J. COMPLETA</t>
  </si>
  <si>
    <t>DIRECTOR ESCUELA ESPECIAL JORNADA COMPLETA</t>
  </si>
  <si>
    <t>VICEDIRECTOR ESCUELA ESPECIAL JORNADA COMPLETA</t>
  </si>
  <si>
    <t>413,3</t>
  </si>
  <si>
    <t>SECRETARIO ESCUELA ESPECIAL</t>
  </si>
  <si>
    <t>MAESTRO ESPECIAL DE TALLER</t>
  </si>
  <si>
    <t>MAESTRO ESPECIAL DE TALLER ANEXO ALBERGUE</t>
  </si>
  <si>
    <t>DIRECTOR NIVEL INICIAL 3ERA CATEGORIA</t>
  </si>
  <si>
    <t>CAPACITADORES CENTROS LABORALES mecl</t>
  </si>
  <si>
    <t>JEFE DPTO PEDAGOGICO Y SUPERVISION</t>
  </si>
  <si>
    <t>COORD. DPTAL. DE CENTROS P/ADULTOS</t>
  </si>
  <si>
    <t>MAESTRO ESPECIAL DEPARTAMENTO APLICACIÓN</t>
  </si>
  <si>
    <t>Vicedirector DPTO. Aplicación 2da CAT</t>
  </si>
  <si>
    <t>Director Jardín de Infantes</t>
  </si>
  <si>
    <t>Vicedirector Nivel Inicial 1ra Categoría</t>
  </si>
  <si>
    <t>ASESOR PSICOLOGIA EDUCATIVA</t>
  </si>
  <si>
    <t>MAESTRO NIVELADOR</t>
  </si>
  <si>
    <t>SUPERVISOR NIVEL INICIAL</t>
  </si>
  <si>
    <t>SUPERVISOR BIBLIOTECAS ESCOLARES</t>
  </si>
  <si>
    <t>SUPERVISOR TECNICO</t>
  </si>
  <si>
    <t>DIRECTOR DPTO APLICACION</t>
  </si>
  <si>
    <t>VICEDIRECTOR DPTO APLICACION DE 2DA CATEGORIA</t>
  </si>
  <si>
    <t>SECRETARIO DPTO APLICACION</t>
  </si>
  <si>
    <t>MAESTRO DPTO APLICACION</t>
  </si>
  <si>
    <t>MAESTRO MATERIAS ESPECIALES DPTO APLICACION</t>
  </si>
  <si>
    <t>DIRECTOR NIVEL INICIAL 1ERA CON PROLONGACIÓN</t>
  </si>
  <si>
    <t>DIRECTOR NIVEL INICIAL 2DA CON PROLONGACIÓN</t>
  </si>
  <si>
    <t>VICEDIRECTOR NIVEL INICIAL 1ERA CON PROLONGACIÓN</t>
  </si>
  <si>
    <t>MAESTRO JARDÍN MATERNAL JORNADA EXTENDIDA</t>
  </si>
  <si>
    <t>Director Esc Nocturna de J. y Ad. En contexto de Priv de libertad</t>
  </si>
  <si>
    <t>518,0</t>
  </si>
  <si>
    <t>DIRECTOR 1ERA CATEGORIA JORNADA COMPLETA</t>
  </si>
  <si>
    <t>DIRECTOR 2DA CATEGORIA JORNADA COMPLETA</t>
  </si>
  <si>
    <t>DIRECTOR 3ERA CATEGORIA JORNADA COMPLETA</t>
  </si>
  <si>
    <t>DIRECTOR 4TA CATEGORIA JORNADA COMPLETA</t>
  </si>
  <si>
    <t>VICEDIRECTOR 2DA CATEGORIA JORNADA COMPLETA</t>
  </si>
  <si>
    <t>MAESTRO DE GRADO JORNADA COMPLETA</t>
  </si>
  <si>
    <t>MAESTRO ESPECIAL DE ACT. PRACTICAS JORN. COMPLETA</t>
  </si>
  <si>
    <t>MAESTRO JARDIN DE INFANTES JORNADA COMPLETA</t>
  </si>
  <si>
    <t>VICEDIRECTOR NIVEL INICIAL 2DA CATEGORIA</t>
  </si>
  <si>
    <t>DIRECTOR 2DA ANEXO ALBERGUE</t>
  </si>
  <si>
    <t>MAESTRO DE GRADO ANEXO ALBERGUE</t>
  </si>
  <si>
    <t>MAESTRO ESP. ACTIV. PRACTICAS ANEXO ALBERGUE</t>
  </si>
  <si>
    <t>DIRECTOR 3ERA CATEGORIA ANEXO ALBERGUE</t>
  </si>
  <si>
    <t>DIRECTOR 4TA CATEGORIA ANEXO ALBERGUE</t>
  </si>
  <si>
    <t>CELADOR ANEXO ALBERGUE</t>
  </si>
  <si>
    <t>VICEDIRECTOR 1ERA CATEGORIA JORNADA COMPLETA</t>
  </si>
  <si>
    <t>SECRETARIO 1ERA CATEGORIA JORNADA COMPLETA</t>
  </si>
  <si>
    <t>SECRETARIO 2DA CATEGORIA JORNADA COMPLETA</t>
  </si>
  <si>
    <t>SECRETARIO 3ERA CATEGORIA JORNADA COMPLETA</t>
  </si>
  <si>
    <t>Director Dpto. Aplicación 1ra Cat.</t>
  </si>
  <si>
    <t>TECNICO DEL PROGRAMA 35 HS</t>
  </si>
  <si>
    <t>Director Dpto. Aplicación 2DA Cat.</t>
  </si>
  <si>
    <t>RESPONSABLE ZONAL O SECTORIAL</t>
  </si>
  <si>
    <t>EDUCADOR DE ADULTOS</t>
  </si>
  <si>
    <t>Vicedirector Dpto Aplicación 1ra CAT</t>
  </si>
  <si>
    <t>MAESTRO ESPECIAL EDUCACION MUSICAL JORNADA COMPLETA</t>
  </si>
  <si>
    <t>MAESTRO ESPECIAL EDUCACION FISICA JORN. COMPLETA</t>
  </si>
  <si>
    <t>MAESTRO ESPECIAL JORNADA SIMPLE SIN PROLONGACION DE JORNADA</t>
  </si>
  <si>
    <t>MAESTRO ESPECIAL EDUCACION MUSICAL ANEXO ALBERGUE</t>
  </si>
  <si>
    <t>MAESTRO ESPECIAL EDUCACION FISICA ANEXO ALBERGUE</t>
  </si>
  <si>
    <t>MAESTRO ESPECIAL DE TALLER JORNADA COMPLETA</t>
  </si>
  <si>
    <t>MAESTRO ESPECIAL TECNICO AGROPECUARIO JORN. COMPLETA</t>
  </si>
  <si>
    <t>Secretario 3ra. CAT Educ. Jóvenes y Adultos</t>
  </si>
  <si>
    <t>DIRECTOR PERSONAL UNICO</t>
  </si>
  <si>
    <t>SECRETARIO ESCUELA 3ERA CATEGORIA</t>
  </si>
  <si>
    <t>COORDINADOR CENTRO COMUNITARIO</t>
  </si>
  <si>
    <t>MAESTRO GRADO EGB3 (PRIMARIA)</t>
  </si>
  <si>
    <t>JEFE DE DEPARTAMENTO TÉCNICO Y SUPERVISIÓN</t>
  </si>
  <si>
    <t>SUPERVISOR DE ENSEÑANZA ESPECIAL</t>
  </si>
  <si>
    <t>SUPERVISOR DE ENSEÑANZA PRIMARIA</t>
  </si>
  <si>
    <t>SUPERVISOR DE ENSEÑANZA INICIAL</t>
  </si>
  <si>
    <t>SUPERVISOR DE ENSEÑANZA NIVEL SUPERIOR</t>
  </si>
  <si>
    <t>SUPERVISOR DE ENSEÑANZA SECUNDARIA</t>
  </si>
  <si>
    <t>SECRETARIO ACADÉMICO</t>
  </si>
  <si>
    <t>434,5</t>
  </si>
  <si>
    <t>2339,5</t>
  </si>
  <si>
    <t>JEFE DPTO PEDAGOGICO Y DE SUPERVISION</t>
  </si>
  <si>
    <t>SUPERVISOR INSTITUTO SUPERIOR</t>
  </si>
  <si>
    <t>SUPERVISOR ENSE¥ANZA ESPECIAL</t>
  </si>
  <si>
    <t>SUPERVISOR ENSE¥ANZA PRIMARIA</t>
  </si>
  <si>
    <t>VICERECTOR INSTITUTO SUPERIOR</t>
  </si>
  <si>
    <t>SECRETARIO TECNICO DPTO. PEDAGOGICO</t>
  </si>
  <si>
    <t>DIRECTOR PRIMERA CATEGORIA</t>
  </si>
  <si>
    <t>DIRECTOR SEGUNDA CATEGORIA</t>
  </si>
  <si>
    <t>DIRECTOR TERCERA CATEGORIA</t>
  </si>
  <si>
    <t>DIRECTOR CUARTA CATEGORIA</t>
  </si>
  <si>
    <t>466,7</t>
  </si>
  <si>
    <t>DIRECTOR ESC. NIVEL INICIAL 2DA CATEGORIA</t>
  </si>
  <si>
    <t>VICEDIRECTOR ESC. PRIMARIA 1ERA CATEGORIA</t>
  </si>
  <si>
    <t>VICEDIRECTOR ESC. PRIMARIA 2DA CATEGORIA</t>
  </si>
  <si>
    <t>VICEDIRECTOR ESC. EDUCACION ESPECIAL</t>
  </si>
  <si>
    <t>SECRETARIO ESC. 2DA CATEGORIA</t>
  </si>
  <si>
    <t>MAESTRO DE GRADO ESC. PRIMARIA</t>
  </si>
  <si>
    <t>MAESTRO DE JARDIN DE INFANTES</t>
  </si>
  <si>
    <t>MAESTRO DE GRUPO ESC. DIFERENCIADA</t>
  </si>
  <si>
    <t>MAESTRO DE GRADO ADULTOS</t>
  </si>
  <si>
    <t>MAESTRO DE EDUCACION FISICA</t>
  </si>
  <si>
    <t>MAESTRO MATERIAS ESPECIALES</t>
  </si>
  <si>
    <t>MAESTRO MATERIAS ESPECIALES ESC. DIFERENCIADA</t>
  </si>
  <si>
    <t>PRECEPTOR ESC. DIFERENCIADA</t>
  </si>
  <si>
    <t>DIRECTOR ESCUELA CAPACITACION TECNICA 4TA CATEGORIA</t>
  </si>
  <si>
    <t>MAESTRO ESC. CAPACITACION TECNICA</t>
  </si>
  <si>
    <t>BIBLIOTECARIO INSTITUTO SUPERIOR</t>
  </si>
  <si>
    <t>PRECEPTOR INSTITUTO SUPERIOR</t>
  </si>
  <si>
    <t>BEDEL</t>
  </si>
  <si>
    <t>PRECEPTOR INSTITUTO SUPERIOR - PRIVADA</t>
  </si>
  <si>
    <t>DIRECTOR ESC. CAPACITACION TECNICA 3ERA CATEGORIA</t>
  </si>
  <si>
    <t>DIRECTOR ESC. CAPACITACION TECNICA 1ERA CATEGORIA</t>
  </si>
  <si>
    <t>DIRECTOR ESC. CAPACITACION TECNICA 2DA CATEGORIA</t>
  </si>
  <si>
    <t>SECRETARIO ESC. PRIMARIA 1ERA CATEGORIA</t>
  </si>
  <si>
    <t>DIRECTOR ESC. 2DA CATEGORIA JORNADA COMPLETA</t>
  </si>
  <si>
    <t>MAESTRO DE EDUCACION FISICA JORNADA COMPLETA</t>
  </si>
  <si>
    <t>SECRETARIA DE ESC DE 2DA CATEGORÍA JORN COMP</t>
  </si>
  <si>
    <t>PSICOPEDAGOGO</t>
  </si>
  <si>
    <t>MAESTRO DE ACTIVIDADES PRACTICAS JORNADA COMPLETA</t>
  </si>
  <si>
    <t>MAESTRO DE EDUCACION MUSICAL JORNADA COMPLETA</t>
  </si>
  <si>
    <t>VICEDIRECTOR ESC. 2DA CATEGORIA JORNADA COMPLETA</t>
  </si>
  <si>
    <t>DIRECTOR ESC. 3ERA CAT. JORNADA COMPLETA</t>
  </si>
  <si>
    <t>VICEDIRECTOR ESC. CAP TECNICA 1ERA CATEGORIA</t>
  </si>
  <si>
    <t>SECRETARIO DOCENTE PRIVADA</t>
  </si>
  <si>
    <t>DIRECTOR ESC NIVIEL INICIAL 1RA CATEGORÍA</t>
  </si>
  <si>
    <t>VICEDIRECTOR ESC N INICIAL 2DA CATEG</t>
  </si>
  <si>
    <t>233,0</t>
  </si>
  <si>
    <t>SECRETARIO DOCENTE ESCUELA ENFERMERIA</t>
  </si>
  <si>
    <t>SECRETARIO ADMINISTRATIVO ESCUELA ENFERMERIA</t>
  </si>
  <si>
    <t>INSTRUCTOR INSTITUTO SUPERIOR</t>
  </si>
  <si>
    <t>SECRETARIO DOCENTE SUPERIOR</t>
  </si>
  <si>
    <t>SECRETARIO ACADEMICO</t>
  </si>
  <si>
    <t>JEFE LABORATORIO COMPUTACION</t>
  </si>
  <si>
    <t>MAESTRO ESCUELA ESPECIAL</t>
  </si>
  <si>
    <t>PRECEPTOR GUIA INTERNADO INSTITUTO SUPERIOR</t>
  </si>
  <si>
    <t>DIRECTOR ESC. NIVEL INICIAL 3era CATEGORIA</t>
  </si>
  <si>
    <t>DIRECTOR ESC. NIVEL INICIAL 4ta CATEGORIA</t>
  </si>
  <si>
    <t>KINESIOLOGO</t>
  </si>
  <si>
    <t>MAESTRO ORIENTADOR</t>
  </si>
  <si>
    <t>MAESTRO DE EDUCACION MUSICAL</t>
  </si>
  <si>
    <t>MAESTRO DE ACTIVIDADES PRACTICAS</t>
  </si>
  <si>
    <t>DIRECTOR DPTO APLICACIÓN L. V.</t>
  </si>
  <si>
    <t>SECRETARIO ESC NIV INICIAL 1RA CATEG</t>
  </si>
  <si>
    <t>SECRETARIO ESC NIV INICIAL 2DA CATEG</t>
  </si>
  <si>
    <t>SECRETARIO ESC NIV INICIAL 3RA CATEG</t>
  </si>
  <si>
    <t>SUBDIRECTOR JARDIN DE INFANTES</t>
  </si>
  <si>
    <t>MAESTRO DE GRADO L.V.</t>
  </si>
  <si>
    <t>MAESTRO ESP DPTO APLICACION L.V.</t>
  </si>
  <si>
    <t>ANALISTA TECNICO</t>
  </si>
  <si>
    <t>MAESTRO ESPECIAL JARDIN DEINFANTES</t>
  </si>
  <si>
    <t>DIRECTOR/RECTOR 1§ - 2 TURNOS</t>
  </si>
  <si>
    <t>DIRECTOR/RECTOR 1§ - 3 TURNOS</t>
  </si>
  <si>
    <t>VICEDIRECTOR 1RA Y 2DA</t>
  </si>
  <si>
    <t>REGENTE</t>
  </si>
  <si>
    <t>VICERECTOR ESC DE 3RA CATEGORÍA</t>
  </si>
  <si>
    <t>RECTOR CURSO PROF.</t>
  </si>
  <si>
    <t>SECRETARIO NIVEL SUPERIOR</t>
  </si>
  <si>
    <t>PROSECRETARIO NIVEL SUPERIOR</t>
  </si>
  <si>
    <t>JEFE TRABAJOS PRACTICOS</t>
  </si>
  <si>
    <t>DIRECTOR</t>
  </si>
  <si>
    <t>SECRETARIO ESC DE 3RA CATEGORÍA</t>
  </si>
  <si>
    <t>Aumento6</t>
  </si>
  <si>
    <t>indiceene22</t>
  </si>
  <si>
    <t>indiceproljorene22</t>
  </si>
  <si>
    <t>aumenta 8,9%</t>
  </si>
  <si>
    <t>Ley 4035 (no se aplica más desde enero 22)</t>
  </si>
  <si>
    <t>aumenta 20%</t>
  </si>
  <si>
    <t>aumenta 15%</t>
  </si>
  <si>
    <t>Aum resp feb 21</t>
  </si>
  <si>
    <t>Resp feb 21 Porc</t>
  </si>
  <si>
    <t>huttvictor@gmail.com</t>
  </si>
  <si>
    <r>
      <rPr>
        <b/>
        <sz val="11"/>
        <color rgb="FFFF0000"/>
        <rFont val="Arial"/>
        <family val="2"/>
      </rPr>
      <t>Marzo 20, Febrero 21, May 21, Jul 21, Sept 21, Oct 21, Dic 21</t>
    </r>
    <r>
      <rPr>
        <b/>
        <sz val="14"/>
        <color rgb="FFFF0000"/>
        <rFont val="Arial"/>
        <family val="2"/>
      </rPr>
      <t xml:space="preserve"> y Ene 22</t>
    </r>
  </si>
  <si>
    <t>Los salarios mínimos son estimados, no tengo esa información</t>
  </si>
  <si>
    <t>puede cambiar ese dato cuando se conozca el decreto</t>
  </si>
  <si>
    <t>Aún seguimos sin saber los mínimos de diciembre</t>
  </si>
  <si>
    <t>Simulador de acuerdo a dec 4119/21 MEHF Dic 21 y sin Dec para Ene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</si>
</sst>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mmm\-d"/>
    <numFmt numFmtId="165" formatCode="mmmm\ d"/>
    <numFmt numFmtId="166" formatCode="mmmm\ yyyy"/>
    <numFmt numFmtId="167" formatCode="#,##0.0000"/>
    <numFmt numFmtId="168" formatCode="0.0%"/>
  </numFmts>
  <fonts count="157">
    <font>
      <sz val="10"/>
      <color rgb="FF000000"/>
      <name val="Arial"/>
    </font>
    <font>
      <b/>
      <sz val="10"/>
      <color theme="1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sz val="24"/>
      <color rgb="FFFF0000"/>
      <name val="Arial"/>
    </font>
    <font>
      <b/>
      <sz val="22"/>
      <color rgb="FFFF0000"/>
      <name val="Arial"/>
    </font>
    <font>
      <b/>
      <sz val="16"/>
      <color rgb="FFFF0000"/>
      <name val="Arial"/>
    </font>
    <font>
      <b/>
      <sz val="12"/>
      <color rgb="FFFF0000"/>
      <name val="Arial"/>
    </font>
    <font>
      <b/>
      <sz val="20"/>
      <color theme="1"/>
      <name val="Arial"/>
    </font>
    <font>
      <sz val="10"/>
      <color theme="1"/>
      <name val="Arial"/>
    </font>
    <font>
      <b/>
      <u/>
      <sz val="20"/>
      <color rgb="FFFF0000"/>
      <name val="Arial"/>
    </font>
    <font>
      <sz val="10"/>
      <color rgb="FF008000"/>
      <name val="Arial"/>
    </font>
    <font>
      <sz val="11"/>
      <color theme="1"/>
      <name val="Arial"/>
    </font>
    <font>
      <b/>
      <sz val="10"/>
      <color rgb="FFFFFFFF"/>
      <name val="Arial"/>
    </font>
    <font>
      <sz val="10"/>
      <color rgb="FFFF0000"/>
      <name val="Arial"/>
    </font>
    <font>
      <b/>
      <sz val="12"/>
      <color rgb="FFFFFFFF"/>
      <name val="Arial"/>
    </font>
    <font>
      <b/>
      <u/>
      <sz val="12"/>
      <color rgb="FF0000FF"/>
      <name val="Arial"/>
    </font>
    <font>
      <b/>
      <sz val="12"/>
      <color theme="1"/>
      <name val="Arial"/>
    </font>
    <font>
      <sz val="18"/>
      <color rgb="FFFF0000"/>
      <name val="Arial"/>
    </font>
    <font>
      <sz val="12"/>
      <color rgb="FF0000FF"/>
      <name val="Arial"/>
    </font>
    <font>
      <b/>
      <sz val="18"/>
      <color rgb="FFFF0000"/>
      <name val="Arial"/>
    </font>
    <font>
      <sz val="8"/>
      <color theme="1"/>
      <name val="Arial"/>
    </font>
    <font>
      <b/>
      <sz val="10"/>
      <color rgb="FF000000"/>
      <name val="Arial"/>
    </font>
    <font>
      <sz val="10"/>
      <color rgb="FF000000"/>
      <name val="Calibri"/>
    </font>
    <font>
      <sz val="10"/>
      <color rgb="FFFFFFFF"/>
      <name val="Arial"/>
    </font>
    <font>
      <b/>
      <sz val="18"/>
      <color rgb="FFFFFFFF"/>
      <name val="Arial"/>
    </font>
    <font>
      <b/>
      <sz val="16"/>
      <color rgb="FFFFFFFF"/>
      <name val="Arial"/>
    </font>
    <font>
      <b/>
      <sz val="14"/>
      <color rgb="FFFFFFFF"/>
      <name val="Arial"/>
    </font>
    <font>
      <sz val="12"/>
      <color rgb="FFFFFFFF"/>
      <name val="Arial"/>
    </font>
    <font>
      <sz val="12"/>
      <color theme="1"/>
      <name val="Arial"/>
    </font>
    <font>
      <sz val="10"/>
      <color rgb="FFFFFF00"/>
      <name val="Arial"/>
    </font>
    <font>
      <b/>
      <u/>
      <sz val="16"/>
      <color rgb="FF000080"/>
      <name val="Arial"/>
    </font>
    <font>
      <b/>
      <sz val="16"/>
      <color rgb="FF0000FF"/>
      <name val="Arial"/>
    </font>
    <font>
      <b/>
      <sz val="16"/>
      <color theme="1"/>
      <name val="Arial"/>
    </font>
    <font>
      <b/>
      <sz val="9"/>
      <color theme="1"/>
      <name val="Arial"/>
    </font>
    <font>
      <b/>
      <sz val="12"/>
      <color rgb="FF16365C"/>
      <name val="Arial"/>
    </font>
    <font>
      <sz val="10"/>
      <name val="Arial"/>
    </font>
    <font>
      <b/>
      <u/>
      <sz val="20"/>
      <color rgb="FF000080"/>
      <name val="&quot;Monotype Corsiva&quot;"/>
    </font>
    <font>
      <sz val="10"/>
      <color rgb="FF808080"/>
      <name val="Arial"/>
    </font>
    <font>
      <b/>
      <sz val="14"/>
      <color rgb="FF000000"/>
      <name val="Arial"/>
    </font>
    <font>
      <sz val="10"/>
      <color rgb="FF0000FF"/>
      <name val="Arial"/>
    </font>
    <font>
      <b/>
      <sz val="12"/>
      <color rgb="FF0000FF"/>
      <name val="Arial"/>
    </font>
    <font>
      <b/>
      <u/>
      <sz val="12"/>
      <color rgb="FF000080"/>
      <name val="Arial"/>
    </font>
    <font>
      <sz val="10"/>
      <color rgb="FF000000"/>
      <name val="Arial"/>
    </font>
    <font>
      <b/>
      <u/>
      <sz val="12"/>
      <color rgb="FFFFFFFF"/>
      <name val="&quot;Monotype Corsiva&quot;"/>
    </font>
    <font>
      <b/>
      <u/>
      <sz val="12"/>
      <color rgb="FFFFFFFF"/>
      <name val="Arial"/>
    </font>
    <font>
      <b/>
      <sz val="10"/>
      <color rgb="FFFF0000"/>
      <name val="Arial"/>
    </font>
    <font>
      <b/>
      <u/>
      <sz val="11"/>
      <color rgb="FF0000FF"/>
      <name val="Arial"/>
    </font>
    <font>
      <b/>
      <u/>
      <sz val="11"/>
      <color rgb="FF0000FF"/>
      <name val="Arial"/>
    </font>
    <font>
      <b/>
      <u/>
      <sz val="12"/>
      <color rgb="FF000080"/>
      <name val="Arial"/>
    </font>
    <font>
      <b/>
      <sz val="11"/>
      <color rgb="FF0F243E"/>
      <name val="Arial"/>
    </font>
    <font>
      <b/>
      <sz val="12"/>
      <color rgb="FF0000CC"/>
      <name val="Arial"/>
    </font>
    <font>
      <b/>
      <sz val="12"/>
      <color rgb="FF0F243E"/>
      <name val="Arial"/>
    </font>
    <font>
      <b/>
      <sz val="14"/>
      <color theme="1"/>
      <name val="Arial"/>
    </font>
    <font>
      <b/>
      <sz val="12"/>
      <color rgb="FF000000"/>
      <name val="Arial"/>
    </font>
    <font>
      <b/>
      <sz val="12"/>
      <color rgb="FFFF3300"/>
      <name val="Arial"/>
    </font>
    <font>
      <b/>
      <sz val="12"/>
      <color rgb="FF00B050"/>
      <name val="Arial"/>
    </font>
    <font>
      <b/>
      <sz val="12"/>
      <color rgb="FF00FF00"/>
      <name val="Arial"/>
    </font>
    <font>
      <sz val="9"/>
      <color theme="1"/>
      <name val="Arial"/>
    </font>
    <font>
      <sz val="10"/>
      <color theme="1"/>
      <name val="Arial"/>
    </font>
    <font>
      <sz val="9"/>
      <color rgb="FFFF0000"/>
      <name val="Arial"/>
    </font>
    <font>
      <sz val="10"/>
      <color rgb="FF92D050"/>
      <name val="Arial"/>
    </font>
    <font>
      <sz val="9"/>
      <color rgb="FF000000"/>
      <name val="Arial"/>
    </font>
    <font>
      <sz val="11"/>
      <color rgb="FF000000"/>
      <name val="Inconsolata"/>
    </font>
    <font>
      <b/>
      <sz val="10"/>
      <color theme="1"/>
      <name val="Arial"/>
    </font>
    <font>
      <b/>
      <sz val="10"/>
      <color rgb="FF92D050"/>
      <name val="Arial"/>
    </font>
    <font>
      <sz val="11"/>
      <color rgb="FF1155CC"/>
      <name val="Inconsolata"/>
    </font>
    <font>
      <b/>
      <sz val="10"/>
      <color rgb="FF0000FF"/>
      <name val="Arial"/>
    </font>
    <font>
      <b/>
      <sz val="10"/>
      <color rgb="FF0000FF"/>
      <name val="Arial"/>
    </font>
    <font>
      <sz val="12"/>
      <color rgb="FF000000"/>
      <name val="Arial"/>
    </font>
    <font>
      <sz val="10"/>
      <color rgb="FF538DD5"/>
      <name val="Arial"/>
    </font>
    <font>
      <b/>
      <u/>
      <sz val="10"/>
      <color theme="1"/>
      <name val="Arial"/>
    </font>
    <font>
      <b/>
      <u/>
      <sz val="12"/>
      <color theme="1"/>
      <name val="Arial"/>
    </font>
    <font>
      <b/>
      <u/>
      <sz val="12"/>
      <color theme="1"/>
      <name val="Arial"/>
    </font>
    <font>
      <b/>
      <sz val="10"/>
      <color rgb="FFFF0000"/>
      <name val="Arial"/>
    </font>
    <font>
      <b/>
      <u/>
      <sz val="12"/>
      <color theme="1"/>
      <name val="Arial"/>
    </font>
    <font>
      <b/>
      <u/>
      <sz val="12"/>
      <color theme="1"/>
      <name val="Arial"/>
    </font>
    <font>
      <b/>
      <u/>
      <sz val="18"/>
      <color theme="1"/>
      <name val="Arial"/>
    </font>
    <font>
      <b/>
      <u/>
      <sz val="12"/>
      <color theme="1"/>
      <name val="Arial"/>
    </font>
    <font>
      <b/>
      <u/>
      <sz val="12"/>
      <color theme="1"/>
      <name val="Arial"/>
    </font>
    <font>
      <b/>
      <sz val="14"/>
      <color rgb="FF800000"/>
      <name val="Arial"/>
    </font>
    <font>
      <b/>
      <sz val="11"/>
      <color rgb="FF800000"/>
      <name val="Arial"/>
    </font>
    <font>
      <b/>
      <u/>
      <sz val="12"/>
      <color theme="1"/>
      <name val="Arial"/>
    </font>
    <font>
      <b/>
      <u/>
      <sz val="12"/>
      <color theme="1"/>
      <name val="Arial"/>
    </font>
    <font>
      <b/>
      <u/>
      <sz val="12"/>
      <color theme="1"/>
      <name val="Arial"/>
    </font>
    <font>
      <b/>
      <u/>
      <sz val="12"/>
      <color theme="1"/>
      <name val="Arial"/>
    </font>
    <font>
      <b/>
      <u/>
      <sz val="12"/>
      <color theme="1"/>
      <name val="Arial"/>
    </font>
    <font>
      <b/>
      <sz val="12"/>
      <color rgb="FF800000"/>
      <name val="Arial"/>
    </font>
    <font>
      <b/>
      <u/>
      <sz val="12"/>
      <color rgb="FF800000"/>
      <name val="Arial"/>
    </font>
    <font>
      <b/>
      <sz val="14"/>
      <color rgb="FFFF0000"/>
      <name val="Arial"/>
    </font>
    <font>
      <sz val="20"/>
      <color theme="1"/>
      <name val="Arial"/>
    </font>
    <font>
      <b/>
      <sz val="20"/>
      <color rgb="FF00FF00"/>
      <name val="Arial"/>
    </font>
    <font>
      <b/>
      <sz val="10"/>
      <color rgb="FF339966"/>
      <name val="Arial"/>
    </font>
    <font>
      <b/>
      <u/>
      <sz val="14"/>
      <color rgb="FF000080"/>
      <name val="&quot;Monotype Corsiva&quot;"/>
    </font>
    <font>
      <b/>
      <sz val="14"/>
      <color rgb="FF0000FF"/>
      <name val="Arial"/>
    </font>
    <font>
      <b/>
      <sz val="16"/>
      <color rgb="FF0000CC"/>
      <name val="Arial"/>
    </font>
    <font>
      <b/>
      <u/>
      <sz val="20"/>
      <color rgb="FF000080"/>
      <name val="&quot;Monotype Corsiva&quot;"/>
    </font>
    <font>
      <sz val="9"/>
      <color rgb="FF073763"/>
      <name val="Arial"/>
    </font>
    <font>
      <b/>
      <sz val="12"/>
      <color rgb="FF1F497D"/>
      <name val="Arial"/>
    </font>
    <font>
      <sz val="10"/>
      <color rgb="FF1F497D"/>
      <name val="Arial"/>
    </font>
    <font>
      <sz val="14"/>
      <color theme="1"/>
      <name val="Arial"/>
    </font>
    <font>
      <b/>
      <sz val="10"/>
      <color rgb="FFFF3300"/>
      <name val="Arial"/>
    </font>
    <font>
      <b/>
      <u/>
      <sz val="18"/>
      <color theme="1"/>
      <name val="Arial"/>
    </font>
    <font>
      <b/>
      <sz val="12"/>
      <color rgb="FF990000"/>
      <name val="Arial"/>
    </font>
    <font>
      <b/>
      <u/>
      <sz val="16"/>
      <color rgb="FF800000"/>
      <name val="Arial"/>
    </font>
    <font>
      <b/>
      <u/>
      <sz val="12"/>
      <color rgb="FF000080"/>
      <name val="&quot;Monotype Corsiva&quot;"/>
    </font>
    <font>
      <b/>
      <sz val="10"/>
      <color rgb="FF16365C"/>
      <name val="Arial"/>
    </font>
    <font>
      <b/>
      <u/>
      <sz val="12"/>
      <color theme="1"/>
      <name val="Arial"/>
    </font>
    <font>
      <b/>
      <sz val="12"/>
      <color rgb="FF800080"/>
      <name val="Arial"/>
    </font>
    <font>
      <u/>
      <sz val="12"/>
      <color rgb="FF0000FF"/>
      <name val="Arial"/>
    </font>
    <font>
      <u/>
      <sz val="12"/>
      <color rgb="FF0000FF"/>
      <name val="Arial"/>
    </font>
    <font>
      <b/>
      <u/>
      <sz val="14"/>
      <color theme="1"/>
      <name val="Arial"/>
    </font>
    <font>
      <u/>
      <sz val="10"/>
      <color rgb="FF0000FF"/>
      <name val="Arial"/>
    </font>
    <font>
      <sz val="8"/>
      <color rgb="FF000000"/>
      <name val="Arial"/>
    </font>
    <font>
      <sz val="9"/>
      <color rgb="FF538DD5"/>
      <name val="Arial"/>
    </font>
    <font>
      <b/>
      <sz val="9"/>
      <color rgb="FFFF0000"/>
      <name val="Arial"/>
    </font>
    <font>
      <u/>
      <sz val="10"/>
      <color theme="10"/>
      <name val="Arial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u/>
      <sz val="14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11"/>
      <color theme="1"/>
      <name val="Arial"/>
      <family val="2"/>
    </font>
    <font>
      <sz val="10"/>
      <color rgb="FF538DD5"/>
      <name val="Arial"/>
      <family val="2"/>
    </font>
    <font>
      <b/>
      <sz val="14"/>
      <color rgb="FFFF000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rgb="FF0000FF"/>
      <name val="Arial"/>
      <family val="2"/>
    </font>
    <font>
      <b/>
      <sz val="10"/>
      <color rgb="FF00B050"/>
      <name val="Arial"/>
      <family val="2"/>
    </font>
    <font>
      <sz val="11"/>
      <color rgb="FF00B050"/>
      <name val="Inconsolata"/>
    </font>
    <font>
      <sz val="10"/>
      <color rgb="FF00B050"/>
      <name val="Arial"/>
      <family val="2"/>
    </font>
    <font>
      <b/>
      <sz val="10"/>
      <color theme="7" tint="0.39997558519241921"/>
      <name val="Arial"/>
      <family val="2"/>
    </font>
    <font>
      <sz val="11"/>
      <color theme="7" tint="0.39997558519241921"/>
      <name val="Inconsolata"/>
    </font>
    <font>
      <sz val="10"/>
      <color theme="7" tint="0.39997558519241921"/>
      <name val="Arial"/>
      <family val="2"/>
    </font>
    <font>
      <sz val="10"/>
      <name val="Arial"/>
      <family val="2"/>
      <scheme val="minor"/>
    </font>
    <font>
      <b/>
      <sz val="10"/>
      <color theme="4" tint="-0.499984740745262"/>
      <name val="Arial"/>
      <family val="2"/>
    </font>
    <font>
      <sz val="14"/>
      <color theme="1"/>
      <name val="Arial"/>
      <family val="2"/>
    </font>
    <font>
      <b/>
      <sz val="14"/>
      <color rgb="FF00FF00"/>
      <name val="Arial"/>
      <family val="2"/>
    </font>
    <font>
      <sz val="14"/>
      <color rgb="FF000000"/>
      <name val="Arial"/>
      <family val="2"/>
    </font>
    <font>
      <b/>
      <sz val="12"/>
      <color rgb="FF00FF00"/>
      <name val="Arial"/>
      <family val="2"/>
    </font>
    <font>
      <sz val="12"/>
      <color rgb="FF000000"/>
      <name val="Arial"/>
      <family val="2"/>
    </font>
    <font>
      <b/>
      <sz val="12"/>
      <color rgb="FF800000"/>
      <name val="Arial"/>
      <family val="2"/>
    </font>
    <font>
      <b/>
      <u/>
      <sz val="12"/>
      <color theme="1"/>
      <name val="Arial"/>
      <family val="2"/>
    </font>
    <font>
      <b/>
      <sz val="14"/>
      <color rgb="FF800000"/>
      <name val="Arial"/>
      <family val="2"/>
    </font>
    <font>
      <b/>
      <u/>
      <sz val="10"/>
      <color rgb="FF000080"/>
      <name val="&quot;Monotype Corsiva&quot;"/>
    </font>
    <font>
      <u/>
      <sz val="14"/>
      <color theme="10"/>
      <name val="Arial"/>
      <family val="2"/>
    </font>
    <font>
      <b/>
      <sz val="12"/>
      <color rgb="FFFFFFFF"/>
      <name val="Arial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rgb="FFFF0000"/>
      <name val="Arial"/>
      <family val="2"/>
    </font>
    <font>
      <b/>
      <sz val="18"/>
      <color rgb="FFFF0000"/>
      <name val="Arial"/>
      <family val="2"/>
    </font>
    <font>
      <sz val="10"/>
      <color indexed="81"/>
      <name val="Tahoma"/>
      <family val="2"/>
    </font>
  </fonts>
  <fills count="38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E26B0A"/>
        <bgColor rgb="FFE26B0A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00FFFF"/>
        <bgColor rgb="FF00FFFF"/>
      </patternFill>
    </fill>
    <fill>
      <patternFill patternType="solid">
        <fgColor rgb="FFCCFFFF"/>
        <bgColor rgb="FFCCFFFF"/>
      </patternFill>
    </fill>
    <fill>
      <patternFill patternType="solid">
        <fgColor rgb="FF99CC00"/>
        <bgColor rgb="FF99CC00"/>
      </patternFill>
    </fill>
    <fill>
      <patternFill patternType="solid">
        <fgColor rgb="FFC4D79B"/>
        <bgColor rgb="FFC4D79B"/>
      </patternFill>
    </fill>
    <fill>
      <patternFill patternType="solid">
        <fgColor rgb="FFE6B8B7"/>
        <bgColor rgb="FFE6B8B7"/>
      </patternFill>
    </fill>
    <fill>
      <patternFill patternType="solid">
        <fgColor rgb="FF92D050"/>
        <bgColor rgb="FF92D050"/>
      </patternFill>
    </fill>
    <fill>
      <patternFill patternType="solid">
        <fgColor rgb="FFFF6600"/>
        <bgColor rgb="FFFF6600"/>
      </patternFill>
    </fill>
    <fill>
      <patternFill patternType="solid">
        <fgColor rgb="FF99FF99"/>
        <bgColor rgb="FF99FF99"/>
      </patternFill>
    </fill>
    <fill>
      <patternFill patternType="solid">
        <fgColor rgb="FF66FF99"/>
        <bgColor rgb="FF66FF99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rgb="FFCCFFCC"/>
        <bgColor rgb="FFCCFFCC"/>
      </patternFill>
    </fill>
    <fill>
      <patternFill patternType="solid">
        <fgColor rgb="FF92CDDC"/>
        <bgColor rgb="FF92CDDC"/>
      </patternFill>
    </fill>
    <fill>
      <patternFill patternType="solid">
        <fgColor rgb="FF06EAEA"/>
        <bgColor rgb="FF06EAEA"/>
      </patternFill>
    </fill>
    <fill>
      <patternFill patternType="solid">
        <fgColor rgb="FF95B3D7"/>
        <bgColor rgb="FF95B3D7"/>
      </patternFill>
    </fill>
    <fill>
      <patternFill patternType="solid">
        <fgColor rgb="FF8DB4E2"/>
        <bgColor rgb="FF8DB4E2"/>
      </patternFill>
    </fill>
    <fill>
      <patternFill patternType="solid">
        <fgColor rgb="FFC4BD97"/>
        <bgColor rgb="FFC4BD97"/>
      </patternFill>
    </fill>
    <fill>
      <patternFill patternType="solid">
        <fgColor rgb="FF66FF66"/>
        <bgColor rgb="FF66FF66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rgb="FFD9D9D9"/>
      </patternFill>
    </fill>
    <fill>
      <patternFill patternType="solid">
        <fgColor rgb="FF00FF00"/>
        <bgColor rgb="FFFFFF00"/>
      </patternFill>
    </fill>
    <fill>
      <patternFill patternType="solid">
        <fgColor rgb="FF00FF00"/>
        <bgColor rgb="FFFF6600"/>
      </patternFill>
    </fill>
    <fill>
      <patternFill patternType="solid">
        <fgColor rgb="FF00FF00"/>
        <bgColor rgb="FFC4D79B"/>
      </patternFill>
    </fill>
    <fill>
      <patternFill patternType="solid">
        <fgColor rgb="FF00FF00"/>
        <bgColor rgb="FF66FF99"/>
      </patternFill>
    </fill>
    <fill>
      <patternFill patternType="solid">
        <fgColor rgb="FF00FF00"/>
        <bgColor rgb="FF00FFFF"/>
      </patternFill>
    </fill>
    <fill>
      <patternFill patternType="solid">
        <fgColor rgb="FF00FF00"/>
        <bgColor rgb="FFCCFFCC"/>
      </patternFill>
    </fill>
    <fill>
      <patternFill patternType="solid">
        <fgColor rgb="FFFFFF00"/>
        <bgColor rgb="FF92CDDC"/>
      </patternFill>
    </fill>
    <fill>
      <patternFill patternType="solid">
        <fgColor rgb="FF00FF00"/>
        <bgColor rgb="FFFFFFFF"/>
      </patternFill>
    </fill>
    <fill>
      <patternFill patternType="solid">
        <fgColor rgb="FF00FF00"/>
        <bgColor rgb="FF99FF99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FF"/>
      </left>
      <right/>
      <top style="thin">
        <color rgb="FF0000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FF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thin">
        <color rgb="FFFFFF00"/>
      </top>
      <bottom/>
      <diagonal/>
    </border>
    <border>
      <left style="thin">
        <color rgb="FF00FF00"/>
      </left>
      <right/>
      <top style="thin">
        <color rgb="FF00FF00"/>
      </top>
      <bottom/>
      <diagonal/>
    </border>
    <border>
      <left/>
      <right/>
      <top style="thin">
        <color rgb="FF00FF00"/>
      </top>
      <bottom/>
      <diagonal/>
    </border>
    <border>
      <left style="thin">
        <color rgb="FF00FF00"/>
      </left>
      <right/>
      <top/>
      <bottom/>
      <diagonal/>
    </border>
    <border>
      <left/>
      <right style="thin">
        <color rgb="FF00FF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double">
        <color rgb="FF00FF00"/>
      </left>
      <right style="double">
        <color rgb="FF00FF00"/>
      </right>
      <top style="double">
        <color rgb="FF00FF00"/>
      </top>
      <bottom/>
      <diagonal/>
    </border>
    <border>
      <left style="double">
        <color rgb="FF00FF00"/>
      </left>
      <right style="double">
        <color rgb="FF00FF00"/>
      </right>
      <top/>
      <bottom style="double">
        <color rgb="FF00FF00"/>
      </bottom>
      <diagonal/>
    </border>
    <border>
      <left style="thin">
        <color rgb="FF000000"/>
      </left>
      <right/>
      <top/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/>
      <top style="thin">
        <color rgb="FF666666"/>
      </top>
      <bottom style="thin">
        <color rgb="FF666666"/>
      </bottom>
      <diagonal/>
    </border>
    <border>
      <left style="medium">
        <color rgb="FF1F497D"/>
      </left>
      <right style="thin">
        <color rgb="FF000000"/>
      </right>
      <top style="medium">
        <color rgb="FF1F497D"/>
      </top>
      <bottom style="thin">
        <color rgb="FF000000"/>
      </bottom>
      <diagonal/>
    </border>
    <border>
      <left/>
      <right style="medium">
        <color rgb="FF1F497D"/>
      </right>
      <top style="medium">
        <color rgb="FF1F497D"/>
      </top>
      <bottom style="thin">
        <color rgb="FF000000"/>
      </bottom>
      <diagonal/>
    </border>
    <border>
      <left style="medium">
        <color rgb="FF1F497D"/>
      </left>
      <right style="thin">
        <color rgb="FF000000"/>
      </right>
      <top/>
      <bottom style="medium">
        <color rgb="FF1F497D"/>
      </bottom>
      <diagonal/>
    </border>
    <border>
      <left/>
      <right style="medium">
        <color rgb="FF1F497D"/>
      </right>
      <top/>
      <bottom style="medium">
        <color rgb="FF1F497D"/>
      </bottom>
      <diagonal/>
    </border>
    <border>
      <left style="medium">
        <color rgb="FFE06666"/>
      </left>
      <right style="thin">
        <color rgb="FF000000"/>
      </right>
      <top style="medium">
        <color rgb="FFE06666"/>
      </top>
      <bottom style="thin">
        <color rgb="FF000000"/>
      </bottom>
      <diagonal/>
    </border>
    <border>
      <left/>
      <right style="medium">
        <color rgb="FFE06666"/>
      </right>
      <top style="medium">
        <color rgb="FFE06666"/>
      </top>
      <bottom style="thin">
        <color rgb="FF000000"/>
      </bottom>
      <diagonal/>
    </border>
    <border>
      <left style="medium">
        <color rgb="FFE06666"/>
      </left>
      <right style="thin">
        <color rgb="FF000000"/>
      </right>
      <top/>
      <bottom style="medium">
        <color rgb="FFE06666"/>
      </bottom>
      <diagonal/>
    </border>
    <border>
      <left/>
      <right style="medium">
        <color rgb="FFE06666"/>
      </right>
      <top/>
      <bottom style="medium">
        <color rgb="FFE06666"/>
      </bottom>
      <diagonal/>
    </border>
    <border>
      <left style="medium">
        <color rgb="FF6AA84F"/>
      </left>
      <right style="thin">
        <color rgb="FF000000"/>
      </right>
      <top style="medium">
        <color rgb="FF6AA84F"/>
      </top>
      <bottom style="thin">
        <color rgb="FF000000"/>
      </bottom>
      <diagonal/>
    </border>
    <border>
      <left/>
      <right style="medium">
        <color rgb="FF6AA84F"/>
      </right>
      <top style="medium">
        <color rgb="FF6AA84F"/>
      </top>
      <bottom style="thin">
        <color rgb="FF000000"/>
      </bottom>
      <diagonal/>
    </border>
    <border>
      <left style="medium">
        <color rgb="FF6AA84F"/>
      </left>
      <right style="thin">
        <color rgb="FF000000"/>
      </right>
      <top/>
      <bottom style="medium">
        <color rgb="FF6AA84F"/>
      </bottom>
      <diagonal/>
    </border>
    <border>
      <left/>
      <right style="medium">
        <color rgb="FF6AA84F"/>
      </right>
      <top/>
      <bottom style="medium">
        <color rgb="FF6AA84F"/>
      </bottom>
      <diagonal/>
    </border>
    <border>
      <left style="thick">
        <color rgb="FF0000CC"/>
      </left>
      <right style="thin">
        <color rgb="FF000000"/>
      </right>
      <top style="thick">
        <color rgb="FF0000CC"/>
      </top>
      <bottom style="thin">
        <color rgb="FF000000"/>
      </bottom>
      <diagonal/>
    </border>
    <border>
      <left/>
      <right style="thick">
        <color rgb="FF0000CC"/>
      </right>
      <top style="thick">
        <color rgb="FF0000CC"/>
      </top>
      <bottom style="thin">
        <color rgb="FF000000"/>
      </bottom>
      <diagonal/>
    </border>
    <border>
      <left style="thick">
        <color rgb="FF0000CC"/>
      </left>
      <right style="thin">
        <color rgb="FF000000"/>
      </right>
      <top/>
      <bottom style="thin">
        <color rgb="FF000000"/>
      </bottom>
      <diagonal/>
    </border>
    <border>
      <left/>
      <right style="thick">
        <color rgb="FF0000CC"/>
      </right>
      <top/>
      <bottom style="thin">
        <color rgb="FF000000"/>
      </bottom>
      <diagonal/>
    </border>
    <border>
      <left style="thick">
        <color rgb="FF0000CC"/>
      </left>
      <right style="thin">
        <color rgb="FF000000"/>
      </right>
      <top/>
      <bottom style="thick">
        <color rgb="FF0000CC"/>
      </bottom>
      <diagonal/>
    </border>
    <border>
      <left/>
      <right style="thick">
        <color rgb="FF0000CC"/>
      </right>
      <top/>
      <bottom style="thick">
        <color rgb="FF0000CC"/>
      </bottom>
      <diagonal/>
    </border>
    <border>
      <left/>
      <right style="thin">
        <color rgb="FF000000"/>
      </right>
      <top style="thin">
        <color rgb="FF00FF00"/>
      </top>
      <bottom/>
      <diagonal/>
    </border>
    <border>
      <left/>
      <right style="thin">
        <color rgb="FF000000"/>
      </right>
      <top/>
      <bottom style="thin">
        <color rgb="FF00FF00"/>
      </bottom>
      <diagonal/>
    </border>
    <border>
      <left/>
      <right/>
      <top/>
      <bottom style="thin">
        <color rgb="FF00FF00"/>
      </bottom>
      <diagonal/>
    </border>
    <border>
      <left style="thin">
        <color rgb="FF000000"/>
      </left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FFFF00"/>
      </left>
      <right/>
      <top style="thin">
        <color rgb="FFFFFF00"/>
      </top>
      <bottom/>
      <diagonal/>
    </border>
    <border>
      <left style="thin">
        <color rgb="FFFFFF00"/>
      </left>
      <right/>
      <top/>
      <bottom/>
      <diagonal/>
    </border>
    <border>
      <left style="thin">
        <color rgb="FFFFFF00"/>
      </left>
      <right/>
      <top/>
      <bottom style="thin">
        <color rgb="FFFFFF00"/>
      </bottom>
      <diagonal/>
    </border>
    <border>
      <left/>
      <right/>
      <top/>
      <bottom style="thin">
        <color rgb="FFFFFF00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FF0000"/>
      </left>
      <right style="thin">
        <color rgb="FF000000"/>
      </right>
      <top style="thin">
        <color rgb="FFFF0000"/>
      </top>
      <bottom/>
      <diagonal/>
    </border>
    <border>
      <left style="thin">
        <color rgb="FFFF0000"/>
      </left>
      <right style="thin">
        <color rgb="FF000000"/>
      </right>
      <top style="thin">
        <color rgb="FFFF0000"/>
      </top>
      <bottom style="thin">
        <color rgb="FF000000"/>
      </bottom>
      <diagonal/>
    </border>
    <border>
      <left style="medium">
        <color rgb="FF000000"/>
      </left>
      <right style="medium">
        <color rgb="FFCCCCCC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000000"/>
      </bottom>
      <diagonal/>
    </border>
  </borders>
  <cellStyleXfs count="3">
    <xf numFmtId="0" fontId="0" fillId="0" borderId="0"/>
    <xf numFmtId="0" fontId="116" fillId="0" borderId="0" applyNumberFormat="0" applyFill="0" applyBorder="0" applyAlignment="0" applyProtection="0"/>
    <xf numFmtId="9" fontId="43" fillId="0" borderId="0" applyFont="0" applyFill="0" applyBorder="0" applyAlignment="0" applyProtection="0"/>
  </cellStyleXfs>
  <cellXfs count="994">
    <xf numFmtId="0" fontId="0" fillId="0" borderId="0" xfId="0" applyFont="1" applyAlignment="1"/>
    <xf numFmtId="164" fontId="4" fillId="2" borderId="0" xfId="0" applyNumberFormat="1" applyFont="1" applyFill="1" applyAlignment="1">
      <alignment horizontal="center"/>
    </xf>
    <xf numFmtId="9" fontId="5" fillId="2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9" fontId="6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166" fontId="8" fillId="5" borderId="0" xfId="0" applyNumberFormat="1" applyFont="1" applyFill="1" applyAlignment="1"/>
    <xf numFmtId="0" fontId="3" fillId="5" borderId="0" xfId="0" applyFont="1" applyFill="1" applyAlignment="1">
      <alignment horizontal="center"/>
    </xf>
    <xf numFmtId="0" fontId="8" fillId="0" borderId="0" xfId="0" applyFont="1" applyAlignment="1"/>
    <xf numFmtId="0" fontId="9" fillId="0" borderId="0" xfId="0" applyFont="1" applyAlignment="1"/>
    <xf numFmtId="0" fontId="10" fillId="6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left"/>
    </xf>
    <xf numFmtId="0" fontId="9" fillId="3" borderId="0" xfId="0" applyFont="1" applyFill="1" applyAlignment="1">
      <alignment horizontal="left"/>
    </xf>
    <xf numFmtId="0" fontId="7" fillId="0" borderId="0" xfId="0" applyFont="1" applyAlignment="1"/>
    <xf numFmtId="0" fontId="12" fillId="0" borderId="0" xfId="0" applyFont="1" applyAlignment="1"/>
    <xf numFmtId="0" fontId="13" fillId="7" borderId="0" xfId="0" applyFont="1" applyFill="1" applyAlignment="1"/>
    <xf numFmtId="0" fontId="14" fillId="7" borderId="0" xfId="0" applyFont="1" applyFill="1" applyAlignment="1"/>
    <xf numFmtId="0" fontId="9" fillId="7" borderId="0" xfId="0" applyFont="1" applyFill="1" applyAlignment="1"/>
    <xf numFmtId="0" fontId="9" fillId="0" borderId="0" xfId="0" applyFont="1" applyAlignment="1"/>
    <xf numFmtId="0" fontId="15" fillId="7" borderId="0" xfId="0" applyFont="1" applyFill="1" applyAlignment="1"/>
    <xf numFmtId="0" fontId="9" fillId="7" borderId="0" xfId="0" applyFont="1" applyFill="1" applyAlignment="1"/>
    <xf numFmtId="0" fontId="16" fillId="0" borderId="0" xfId="0" applyFont="1" applyAlignment="1"/>
    <xf numFmtId="0" fontId="17" fillId="4" borderId="0" xfId="0" applyFont="1" applyFill="1" applyAlignment="1">
      <alignment horizontal="right"/>
    </xf>
    <xf numFmtId="0" fontId="17" fillId="4" borderId="0" xfId="0" applyFont="1" applyFill="1" applyAlignment="1"/>
    <xf numFmtId="0" fontId="19" fillId="0" borderId="0" xfId="0" applyFont="1" applyAlignment="1"/>
    <xf numFmtId="0" fontId="17" fillId="0" borderId="0" xfId="0" applyFont="1" applyAlignment="1"/>
    <xf numFmtId="0" fontId="1" fillId="0" borderId="0" xfId="0" applyFont="1" applyAlignment="1"/>
    <xf numFmtId="0" fontId="20" fillId="0" borderId="0" xfId="0" applyFont="1" applyAlignment="1"/>
    <xf numFmtId="0" fontId="18" fillId="0" borderId="0" xfId="0" applyFont="1" applyAlignment="1"/>
    <xf numFmtId="0" fontId="2" fillId="0" borderId="0" xfId="0" applyFont="1" applyAlignment="1"/>
    <xf numFmtId="0" fontId="1" fillId="8" borderId="3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164" fontId="17" fillId="0" borderId="0" xfId="0" applyNumberFormat="1" applyFont="1" applyAlignment="1">
      <alignment horizontal="right"/>
    </xf>
    <xf numFmtId="0" fontId="1" fillId="8" borderId="5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9" fillId="0" borderId="8" xfId="0" applyFont="1" applyBorder="1" applyAlignment="1"/>
    <xf numFmtId="0" fontId="9" fillId="0" borderId="4" xfId="0" applyFont="1" applyBorder="1" applyAlignment="1"/>
    <xf numFmtId="0" fontId="21" fillId="0" borderId="4" xfId="0" applyFont="1" applyBorder="1" applyAlignment="1"/>
    <xf numFmtId="0" fontId="12" fillId="0" borderId="4" xfId="0" applyFont="1" applyBorder="1" applyAlignment="1"/>
    <xf numFmtId="0" fontId="17" fillId="0" borderId="0" xfId="0" applyFont="1" applyAlignment="1">
      <alignment horizontal="center"/>
    </xf>
    <xf numFmtId="0" fontId="1" fillId="9" borderId="5" xfId="0" applyFont="1" applyFill="1" applyBorder="1" applyAlignment="1">
      <alignment horizontal="right"/>
    </xf>
    <xf numFmtId="9" fontId="1" fillId="9" borderId="4" xfId="0" applyNumberFormat="1" applyFont="1" applyFill="1" applyBorder="1" applyAlignment="1">
      <alignment horizontal="right"/>
    </xf>
    <xf numFmtId="9" fontId="22" fillId="10" borderId="3" xfId="0" applyNumberFormat="1" applyFont="1" applyFill="1" applyBorder="1" applyAlignment="1">
      <alignment horizontal="right"/>
    </xf>
    <xf numFmtId="0" fontId="23" fillId="0" borderId="5" xfId="0" applyFont="1" applyBorder="1" applyAlignment="1">
      <alignment horizontal="right"/>
    </xf>
    <xf numFmtId="0" fontId="23" fillId="0" borderId="2" xfId="0" applyFont="1" applyBorder="1" applyAlignment="1">
      <alignment horizontal="right"/>
    </xf>
    <xf numFmtId="0" fontId="17" fillId="0" borderId="4" xfId="0" applyFont="1" applyBorder="1" applyAlignment="1">
      <alignment horizontal="right"/>
    </xf>
    <xf numFmtId="9" fontId="1" fillId="9" borderId="2" xfId="0" applyNumberFormat="1" applyFont="1" applyFill="1" applyBorder="1" applyAlignment="1">
      <alignment horizontal="right"/>
    </xf>
    <xf numFmtId="9" fontId="22" fillId="10" borderId="10" xfId="0" applyNumberFormat="1" applyFont="1" applyFill="1" applyBorder="1" applyAlignment="1">
      <alignment horizontal="right"/>
    </xf>
    <xf numFmtId="9" fontId="22" fillId="3" borderId="10" xfId="0" applyNumberFormat="1" applyFont="1" applyFill="1" applyBorder="1" applyAlignment="1">
      <alignment horizontal="right"/>
    </xf>
    <xf numFmtId="0" fontId="1" fillId="9" borderId="0" xfId="0" applyFont="1" applyFill="1" applyAlignment="1"/>
    <xf numFmtId="0" fontId="22" fillId="3" borderId="0" xfId="0" applyFont="1" applyFill="1" applyAlignment="1"/>
    <xf numFmtId="0" fontId="7" fillId="0" borderId="0" xfId="0" applyFont="1" applyAlignment="1">
      <alignment horizontal="center"/>
    </xf>
    <xf numFmtId="0" fontId="23" fillId="0" borderId="0" xfId="0" applyFont="1" applyAlignment="1"/>
    <xf numFmtId="0" fontId="9" fillId="11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9" fillId="12" borderId="0" xfId="0" applyFont="1" applyFill="1" applyAlignment="1">
      <alignment horizontal="right"/>
    </xf>
    <xf numFmtId="0" fontId="22" fillId="0" borderId="0" xfId="0" applyFont="1" applyAlignment="1"/>
    <xf numFmtId="0" fontId="9" fillId="0" borderId="0" xfId="0" applyFont="1" applyAlignment="1">
      <alignment horizontal="right"/>
    </xf>
    <xf numFmtId="0" fontId="7" fillId="0" borderId="9" xfId="0" applyFont="1" applyBorder="1" applyAlignment="1">
      <alignment horizontal="center"/>
    </xf>
    <xf numFmtId="0" fontId="24" fillId="3" borderId="11" xfId="0" applyFont="1" applyFill="1" applyBorder="1" applyAlignment="1"/>
    <xf numFmtId="0" fontId="24" fillId="3" borderId="12" xfId="0" applyFont="1" applyFill="1" applyBorder="1" applyAlignment="1"/>
    <xf numFmtId="0" fontId="13" fillId="3" borderId="12" xfId="0" applyFont="1" applyFill="1" applyBorder="1" applyAlignment="1"/>
    <xf numFmtId="0" fontId="25" fillId="3" borderId="13" xfId="0" applyFont="1" applyFill="1" applyBorder="1" applyAlignment="1"/>
    <xf numFmtId="0" fontId="24" fillId="0" borderId="0" xfId="0" applyFont="1" applyAlignment="1"/>
    <xf numFmtId="0" fontId="24" fillId="3" borderId="14" xfId="0" applyFont="1" applyFill="1" applyBorder="1" applyAlignment="1"/>
    <xf numFmtId="0" fontId="24" fillId="0" borderId="0" xfId="0" applyFont="1" applyAlignment="1"/>
    <xf numFmtId="0" fontId="26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15" fillId="3" borderId="15" xfId="0" applyFont="1" applyFill="1" applyBorder="1" applyAlignment="1"/>
    <xf numFmtId="0" fontId="27" fillId="0" borderId="0" xfId="0" applyFont="1" applyAlignment="1"/>
    <xf numFmtId="0" fontId="15" fillId="3" borderId="15" xfId="0" applyFont="1" applyFill="1" applyBorder="1" applyAlignment="1"/>
    <xf numFmtId="0" fontId="15" fillId="3" borderId="0" xfId="0" applyFont="1" applyFill="1" applyAlignment="1"/>
    <xf numFmtId="9" fontId="27" fillId="0" borderId="0" xfId="0" applyNumberFormat="1" applyFont="1" applyAlignment="1">
      <alignment horizontal="right"/>
    </xf>
    <xf numFmtId="0" fontId="13" fillId="3" borderId="14" xfId="0" applyFont="1" applyFill="1" applyBorder="1" applyAlignment="1"/>
    <xf numFmtId="0" fontId="28" fillId="3" borderId="15" xfId="0" applyFont="1" applyFill="1" applyBorder="1" applyAlignment="1"/>
    <xf numFmtId="0" fontId="28" fillId="3" borderId="15" xfId="0" applyFont="1" applyFill="1" applyBorder="1" applyAlignment="1"/>
    <xf numFmtId="0" fontId="28" fillId="3" borderId="0" xfId="0" applyFont="1" applyFill="1" applyAlignment="1"/>
    <xf numFmtId="0" fontId="24" fillId="0" borderId="16" xfId="0" applyFont="1" applyBorder="1" applyAlignment="1"/>
    <xf numFmtId="0" fontId="26" fillId="0" borderId="17" xfId="0" applyFont="1" applyBorder="1" applyAlignment="1">
      <alignment horizontal="right"/>
    </xf>
    <xf numFmtId="0" fontId="9" fillId="4" borderId="0" xfId="0" applyFont="1" applyFill="1" applyAlignment="1"/>
    <xf numFmtId="0" fontId="9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9" fillId="0" borderId="0" xfId="0" applyFont="1" applyAlignment="1"/>
    <xf numFmtId="0" fontId="9" fillId="3" borderId="18" xfId="0" applyFont="1" applyFill="1" applyBorder="1" applyAlignment="1"/>
    <xf numFmtId="0" fontId="9" fillId="3" borderId="19" xfId="0" applyFont="1" applyFill="1" applyBorder="1" applyAlignment="1"/>
    <xf numFmtId="0" fontId="1" fillId="3" borderId="19" xfId="0" applyFont="1" applyFill="1" applyBorder="1" applyAlignment="1"/>
    <xf numFmtId="0" fontId="9" fillId="3" borderId="20" xfId="0" applyFont="1" applyFill="1" applyBorder="1" applyAlignment="1"/>
    <xf numFmtId="0" fontId="28" fillId="0" borderId="21" xfId="0" applyFont="1" applyBorder="1" applyAlignment="1"/>
    <xf numFmtId="0" fontId="15" fillId="0" borderId="0" xfId="0" applyFont="1" applyAlignment="1"/>
    <xf numFmtId="0" fontId="9" fillId="0" borderId="0" xfId="0" applyFont="1" applyAlignment="1">
      <alignment horizontal="center"/>
    </xf>
    <xf numFmtId="0" fontId="6" fillId="0" borderId="0" xfId="0" applyFont="1" applyAlignment="1"/>
    <xf numFmtId="0" fontId="30" fillId="0" borderId="0" xfId="0" applyFont="1" applyAlignment="1"/>
    <xf numFmtId="0" fontId="31" fillId="0" borderId="0" xfId="0" applyFont="1" applyAlignment="1"/>
    <xf numFmtId="0" fontId="32" fillId="4" borderId="22" xfId="0" applyFont="1" applyFill="1" applyBorder="1" applyAlignment="1"/>
    <xf numFmtId="0" fontId="32" fillId="4" borderId="23" xfId="0" applyFont="1" applyFill="1" applyBorder="1" applyAlignment="1"/>
    <xf numFmtId="0" fontId="1" fillId="4" borderId="0" xfId="0" applyFont="1" applyFill="1" applyAlignment="1"/>
    <xf numFmtId="0" fontId="1" fillId="4" borderId="25" xfId="0" applyFont="1" applyFill="1" applyBorder="1" applyAlignment="1"/>
    <xf numFmtId="0" fontId="28" fillId="0" borderId="0" xfId="0" applyFont="1" applyAlignment="1"/>
    <xf numFmtId="0" fontId="9" fillId="0" borderId="24" xfId="0" applyFont="1" applyBorder="1" applyAlignment="1"/>
    <xf numFmtId="0" fontId="33" fillId="0" borderId="0" xfId="0" applyFont="1" applyAlignment="1"/>
    <xf numFmtId="0" fontId="9" fillId="0" borderId="25" xfId="0" applyFont="1" applyBorder="1" applyAlignment="1"/>
    <xf numFmtId="0" fontId="34" fillId="0" borderId="0" xfId="0" applyFont="1" applyAlignment="1"/>
    <xf numFmtId="0" fontId="35" fillId="0" borderId="4" xfId="0" applyFont="1" applyBorder="1" applyAlignment="1"/>
    <xf numFmtId="0" fontId="37" fillId="0" borderId="0" xfId="0" applyFont="1" applyAlignment="1"/>
    <xf numFmtId="0" fontId="38" fillId="0" borderId="0" xfId="0" applyFont="1" applyAlignment="1"/>
    <xf numFmtId="0" fontId="39" fillId="0" borderId="0" xfId="0" applyFont="1" applyAlignment="1"/>
    <xf numFmtId="0" fontId="40" fillId="0" borderId="0" xfId="0" applyFont="1" applyAlignment="1"/>
    <xf numFmtId="0" fontId="9" fillId="0" borderId="27" xfId="0" applyFont="1" applyBorder="1" applyAlignment="1"/>
    <xf numFmtId="0" fontId="9" fillId="0" borderId="0" xfId="0" applyFont="1" applyAlignment="1"/>
    <xf numFmtId="167" fontId="9" fillId="0" borderId="0" xfId="0" applyNumberFormat="1" applyFont="1" applyAlignment="1">
      <alignment horizontal="right"/>
    </xf>
    <xf numFmtId="9" fontId="9" fillId="0" borderId="0" xfId="0" applyNumberFormat="1" applyFont="1" applyAlignment="1">
      <alignment horizontal="right"/>
    </xf>
    <xf numFmtId="0" fontId="9" fillId="13" borderId="0" xfId="0" applyFont="1" applyFill="1" applyAlignment="1"/>
    <xf numFmtId="9" fontId="9" fillId="0" borderId="0" xfId="0" applyNumberFormat="1" applyFont="1" applyAlignment="1">
      <alignment horizontal="right"/>
    </xf>
    <xf numFmtId="0" fontId="9" fillId="13" borderId="0" xfId="0" applyFont="1" applyFill="1" applyAlignment="1"/>
    <xf numFmtId="0" fontId="9" fillId="0" borderId="0" xfId="0" applyFont="1" applyAlignment="1"/>
    <xf numFmtId="0" fontId="9" fillId="0" borderId="0" xfId="0" applyFont="1"/>
    <xf numFmtId="0" fontId="9" fillId="0" borderId="0" xfId="0" applyFont="1" applyAlignment="1">
      <alignment horizontal="right"/>
    </xf>
    <xf numFmtId="3" fontId="9" fillId="0" borderId="0" xfId="0" applyNumberFormat="1" applyFont="1" applyAlignment="1"/>
    <xf numFmtId="0" fontId="2" fillId="0" borderId="0" xfId="0" applyFont="1"/>
    <xf numFmtId="3" fontId="12" fillId="0" borderId="0" xfId="0" applyNumberFormat="1" applyFont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right"/>
    </xf>
    <xf numFmtId="0" fontId="34" fillId="14" borderId="0" xfId="0" applyFont="1" applyFill="1" applyAlignment="1"/>
    <xf numFmtId="0" fontId="41" fillId="0" borderId="0" xfId="0" applyFont="1" applyAlignment="1"/>
    <xf numFmtId="0" fontId="9" fillId="3" borderId="0" xfId="0" applyFont="1" applyFill="1" applyAlignment="1"/>
    <xf numFmtId="0" fontId="9" fillId="14" borderId="0" xfId="0" applyFont="1" applyFill="1" applyAlignment="1"/>
    <xf numFmtId="0" fontId="42" fillId="0" borderId="0" xfId="0" applyFont="1" applyAlignment="1"/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1" fillId="0" borderId="8" xfId="0" applyFont="1" applyBorder="1" applyAlignment="1"/>
    <xf numFmtId="0" fontId="1" fillId="0" borderId="4" xfId="0" applyFont="1" applyBorder="1" applyAlignment="1"/>
    <xf numFmtId="0" fontId="1" fillId="0" borderId="26" xfId="0" applyFont="1" applyBorder="1" applyAlignment="1"/>
    <xf numFmtId="0" fontId="9" fillId="0" borderId="8" xfId="0" applyFont="1" applyBorder="1" applyAlignment="1"/>
    <xf numFmtId="0" fontId="1" fillId="0" borderId="6" xfId="0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34" fillId="0" borderId="8" xfId="0" applyFont="1" applyBorder="1" applyAlignment="1"/>
    <xf numFmtId="0" fontId="9" fillId="0" borderId="26" xfId="0" applyFont="1" applyBorder="1" applyAlignment="1"/>
    <xf numFmtId="0" fontId="1" fillId="0" borderId="3" xfId="0" applyFont="1" applyBorder="1" applyAlignment="1"/>
    <xf numFmtId="0" fontId="9" fillId="0" borderId="1" xfId="0" applyFont="1" applyBorder="1" applyAlignment="1"/>
    <xf numFmtId="0" fontId="47" fillId="0" borderId="0" xfId="0" applyFont="1" applyAlignment="1"/>
    <xf numFmtId="0" fontId="49" fillId="0" borderId="0" xfId="0" applyFont="1" applyAlignment="1"/>
    <xf numFmtId="0" fontId="41" fillId="0" borderId="0" xfId="0" applyFont="1" applyAlignment="1"/>
    <xf numFmtId="0" fontId="41" fillId="0" borderId="0" xfId="0" applyFont="1" applyAlignment="1">
      <alignment horizontal="right"/>
    </xf>
    <xf numFmtId="9" fontId="17" fillId="0" borderId="0" xfId="0" applyNumberFormat="1" applyFont="1" applyAlignment="1">
      <alignment horizontal="center"/>
    </xf>
    <xf numFmtId="0" fontId="17" fillId="4" borderId="29" xfId="0" applyFont="1" applyFill="1" applyBorder="1" applyAlignment="1">
      <alignment horizontal="right"/>
    </xf>
    <xf numFmtId="0" fontId="17" fillId="0" borderId="0" xfId="0" applyFont="1" applyAlignment="1">
      <alignment horizontal="center"/>
    </xf>
    <xf numFmtId="4" fontId="51" fillId="0" borderId="30" xfId="0" applyNumberFormat="1" applyFont="1" applyBorder="1" applyAlignment="1"/>
    <xf numFmtId="0" fontId="7" fillId="15" borderId="0" xfId="0" applyFont="1" applyFill="1" applyAlignment="1">
      <alignment horizontal="center"/>
    </xf>
    <xf numFmtId="0" fontId="53" fillId="0" borderId="0" xfId="0" applyFont="1" applyAlignment="1">
      <alignment horizontal="right"/>
    </xf>
    <xf numFmtId="0" fontId="53" fillId="0" borderId="0" xfId="0" applyFont="1" applyAlignment="1"/>
    <xf numFmtId="0" fontId="54" fillId="0" borderId="4" xfId="0" applyFont="1" applyBorder="1" applyAlignment="1">
      <alignment horizontal="right"/>
    </xf>
    <xf numFmtId="0" fontId="55" fillId="16" borderId="0" xfId="0" applyFont="1" applyFill="1" applyAlignment="1"/>
    <xf numFmtId="0" fontId="29" fillId="0" borderId="0" xfId="0" applyFont="1" applyAlignment="1">
      <alignment horizontal="left"/>
    </xf>
    <xf numFmtId="0" fontId="54" fillId="0" borderId="0" xfId="0" applyFont="1" applyAlignment="1"/>
    <xf numFmtId="0" fontId="7" fillId="0" borderId="0" xfId="0" applyFont="1" applyAlignment="1"/>
    <xf numFmtId="0" fontId="29" fillId="0" borderId="0" xfId="0" applyFont="1" applyAlignment="1"/>
    <xf numFmtId="164" fontId="7" fillId="0" borderId="0" xfId="0" applyNumberFormat="1" applyFont="1" applyAlignment="1">
      <alignment horizontal="center"/>
    </xf>
    <xf numFmtId="9" fontId="7" fillId="0" borderId="0" xfId="0" applyNumberFormat="1" applyFont="1" applyAlignment="1">
      <alignment horizontal="center"/>
    </xf>
    <xf numFmtId="0" fontId="29" fillId="3" borderId="0" xfId="0" applyFont="1" applyFill="1" applyAlignment="1"/>
    <xf numFmtId="0" fontId="7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6" fontId="17" fillId="0" borderId="0" xfId="0" applyNumberFormat="1" applyFont="1" applyAlignment="1"/>
    <xf numFmtId="0" fontId="56" fillId="0" borderId="0" xfId="0" applyFont="1" applyAlignment="1"/>
    <xf numFmtId="0" fontId="57" fillId="0" borderId="0" xfId="0" applyFont="1" applyAlignment="1"/>
    <xf numFmtId="0" fontId="9" fillId="0" borderId="1" xfId="0" applyFont="1" applyBorder="1" applyAlignment="1"/>
    <xf numFmtId="164" fontId="7" fillId="0" borderId="1" xfId="0" applyNumberFormat="1" applyFont="1" applyBorder="1" applyAlignment="1">
      <alignment horizontal="center"/>
    </xf>
    <xf numFmtId="9" fontId="7" fillId="0" borderId="1" xfId="0" applyNumberFormat="1" applyFont="1" applyBorder="1" applyAlignment="1">
      <alignment horizontal="center"/>
    </xf>
    <xf numFmtId="0" fontId="9" fillId="3" borderId="1" xfId="0" applyFont="1" applyFill="1" applyBorder="1" applyAlignment="1"/>
    <xf numFmtId="0" fontId="7" fillId="0" borderId="1" xfId="0" applyFont="1" applyBorder="1" applyAlignment="1">
      <alignment horizontal="center"/>
    </xf>
    <xf numFmtId="164" fontId="17" fillId="0" borderId="1" xfId="0" applyNumberFormat="1" applyFont="1" applyBorder="1" applyAlignment="1">
      <alignment horizontal="right"/>
    </xf>
    <xf numFmtId="166" fontId="17" fillId="0" borderId="1" xfId="0" applyNumberFormat="1" applyFont="1" applyBorder="1" applyAlignment="1">
      <alignment horizontal="right"/>
    </xf>
    <xf numFmtId="0" fontId="34" fillId="0" borderId="5" xfId="0" applyFont="1" applyBorder="1" applyAlignment="1"/>
    <xf numFmtId="0" fontId="34" fillId="0" borderId="6" xfId="0" applyFont="1" applyBorder="1" applyAlignment="1"/>
    <xf numFmtId="0" fontId="1" fillId="0" borderId="6" xfId="0" applyFont="1" applyBorder="1" applyAlignment="1"/>
    <xf numFmtId="164" fontId="1" fillId="0" borderId="6" xfId="0" applyNumberFormat="1" applyFont="1" applyBorder="1" applyAlignment="1"/>
    <xf numFmtId="9" fontId="1" fillId="0" borderId="6" xfId="0" applyNumberFormat="1" applyFont="1" applyBorder="1" applyAlignment="1"/>
    <xf numFmtId="0" fontId="9" fillId="3" borderId="6" xfId="0" applyFont="1" applyFill="1" applyBorder="1" applyAlignment="1"/>
    <xf numFmtId="0" fontId="1" fillId="0" borderId="6" xfId="0" applyFont="1" applyBorder="1" applyAlignment="1"/>
    <xf numFmtId="166" fontId="1" fillId="0" borderId="6" xfId="0" applyNumberFormat="1" applyFont="1" applyBorder="1" applyAlignment="1"/>
    <xf numFmtId="0" fontId="9" fillId="0" borderId="31" xfId="0" applyFont="1" applyBorder="1"/>
    <xf numFmtId="0" fontId="9" fillId="0" borderId="32" xfId="0" applyFont="1" applyBorder="1"/>
    <xf numFmtId="4" fontId="9" fillId="0" borderId="32" xfId="0" applyNumberFormat="1" applyFont="1" applyBorder="1"/>
    <xf numFmtId="4" fontId="9" fillId="3" borderId="32" xfId="0" applyNumberFormat="1" applyFont="1" applyFill="1" applyBorder="1"/>
    <xf numFmtId="4" fontId="9" fillId="3" borderId="2" xfId="0" applyNumberFormat="1" applyFont="1" applyFill="1" applyBorder="1" applyAlignment="1"/>
    <xf numFmtId="0" fontId="9" fillId="0" borderId="33" xfId="0" applyFont="1" applyBorder="1"/>
    <xf numFmtId="9" fontId="9" fillId="0" borderId="32" xfId="0" applyNumberFormat="1" applyFont="1" applyBorder="1"/>
    <xf numFmtId="4" fontId="3" fillId="0" borderId="32" xfId="0" applyNumberFormat="1" applyFont="1" applyBorder="1" applyAlignment="1"/>
    <xf numFmtId="4" fontId="2" fillId="0" borderId="32" xfId="0" applyNumberFormat="1" applyFont="1" applyBorder="1"/>
    <xf numFmtId="0" fontId="9" fillId="0" borderId="32" xfId="0" applyFont="1" applyBorder="1" applyAlignment="1">
      <alignment horizontal="right"/>
    </xf>
    <xf numFmtId="0" fontId="9" fillId="0" borderId="6" xfId="0" applyFont="1" applyBorder="1" applyAlignment="1"/>
    <xf numFmtId="0" fontId="9" fillId="0" borderId="0" xfId="0" applyFont="1" applyAlignment="1"/>
    <xf numFmtId="4" fontId="9" fillId="0" borderId="2" xfId="0" applyNumberFormat="1" applyFont="1" applyBorder="1" applyAlignment="1"/>
    <xf numFmtId="4" fontId="17" fillId="0" borderId="32" xfId="0" applyNumberFormat="1" applyFont="1" applyBorder="1"/>
    <xf numFmtId="4" fontId="9" fillId="0" borderId="6" xfId="0" applyNumberFormat="1" applyFont="1" applyBorder="1" applyAlignment="1"/>
    <xf numFmtId="4" fontId="9" fillId="17" borderId="34" xfId="0" applyNumberFormat="1" applyFont="1" applyFill="1" applyBorder="1" applyAlignment="1">
      <alignment horizontal="left"/>
    </xf>
    <xf numFmtId="4" fontId="9" fillId="17" borderId="35" xfId="0" applyNumberFormat="1" applyFont="1" applyFill="1" applyBorder="1" applyAlignment="1">
      <alignment horizontal="left"/>
    </xf>
    <xf numFmtId="4" fontId="9" fillId="3" borderId="1" xfId="0" applyNumberFormat="1" applyFont="1" applyFill="1" applyBorder="1" applyAlignment="1"/>
    <xf numFmtId="4" fontId="9" fillId="17" borderId="36" xfId="0" applyNumberFormat="1" applyFont="1" applyFill="1" applyBorder="1" applyAlignment="1">
      <alignment horizontal="left"/>
    </xf>
    <xf numFmtId="10" fontId="9" fillId="17" borderId="37" xfId="0" applyNumberFormat="1" applyFont="1" applyFill="1" applyBorder="1" applyAlignment="1">
      <alignment horizontal="left"/>
    </xf>
    <xf numFmtId="4" fontId="9" fillId="0" borderId="6" xfId="0" applyNumberFormat="1" applyFont="1" applyBorder="1" applyAlignment="1">
      <alignment horizontal="left"/>
    </xf>
    <xf numFmtId="4" fontId="9" fillId="18" borderId="38" xfId="0" applyNumberFormat="1" applyFont="1" applyFill="1" applyBorder="1" applyAlignment="1">
      <alignment horizontal="left"/>
    </xf>
    <xf numFmtId="4" fontId="9" fillId="18" borderId="39" xfId="0" applyNumberFormat="1" applyFont="1" applyFill="1" applyBorder="1" applyAlignment="1">
      <alignment horizontal="left"/>
    </xf>
    <xf numFmtId="4" fontId="9" fillId="18" borderId="40" xfId="0" applyNumberFormat="1" applyFont="1" applyFill="1" applyBorder="1" applyAlignment="1">
      <alignment horizontal="left"/>
    </xf>
    <xf numFmtId="10" fontId="9" fillId="18" borderId="41" xfId="0" applyNumberFormat="1" applyFont="1" applyFill="1" applyBorder="1" applyAlignment="1">
      <alignment horizontal="left"/>
    </xf>
    <xf numFmtId="4" fontId="9" fillId="19" borderId="42" xfId="0" applyNumberFormat="1" applyFont="1" applyFill="1" applyBorder="1" applyAlignment="1">
      <alignment horizontal="left"/>
    </xf>
    <xf numFmtId="4" fontId="9" fillId="19" borderId="43" xfId="0" applyNumberFormat="1" applyFont="1" applyFill="1" applyBorder="1" applyAlignment="1">
      <alignment horizontal="left"/>
    </xf>
    <xf numFmtId="4" fontId="9" fillId="19" borderId="44" xfId="0" applyNumberFormat="1" applyFont="1" applyFill="1" applyBorder="1" applyAlignment="1">
      <alignment horizontal="left"/>
    </xf>
    <xf numFmtId="10" fontId="9" fillId="19" borderId="45" xfId="0" applyNumberFormat="1" applyFont="1" applyFill="1" applyBorder="1" applyAlignment="1">
      <alignment horizontal="left"/>
    </xf>
    <xf numFmtId="4" fontId="2" fillId="0" borderId="46" xfId="0" applyNumberFormat="1" applyFont="1" applyBorder="1" applyAlignment="1">
      <alignment horizontal="left"/>
    </xf>
    <xf numFmtId="4" fontId="9" fillId="0" borderId="47" xfId="0" applyNumberFormat="1" applyFont="1" applyBorder="1" applyAlignment="1">
      <alignment horizontal="left"/>
    </xf>
    <xf numFmtId="4" fontId="9" fillId="0" borderId="48" xfId="0" applyNumberFormat="1" applyFont="1" applyBorder="1" applyAlignment="1">
      <alignment horizontal="left"/>
    </xf>
    <xf numFmtId="4" fontId="9" fillId="0" borderId="49" xfId="0" applyNumberFormat="1" applyFont="1" applyBorder="1" applyAlignment="1">
      <alignment horizontal="left"/>
    </xf>
    <xf numFmtId="4" fontId="1" fillId="0" borderId="49" xfId="0" applyNumberFormat="1" applyFont="1" applyBorder="1" applyAlignment="1">
      <alignment horizontal="left"/>
    </xf>
    <xf numFmtId="4" fontId="9" fillId="0" borderId="50" xfId="0" applyNumberFormat="1" applyFont="1" applyBorder="1" applyAlignment="1">
      <alignment horizontal="left"/>
    </xf>
    <xf numFmtId="4" fontId="2" fillId="0" borderId="51" xfId="0" applyNumberFormat="1" applyFont="1" applyBorder="1" applyAlignment="1">
      <alignment horizontal="left"/>
    </xf>
    <xf numFmtId="164" fontId="7" fillId="2" borderId="0" xfId="0" applyNumberFormat="1" applyFont="1" applyFill="1" applyAlignment="1">
      <alignment horizontal="center"/>
    </xf>
    <xf numFmtId="9" fontId="7" fillId="2" borderId="0" xfId="0" applyNumberFormat="1" applyFont="1" applyFill="1" applyAlignment="1">
      <alignment horizontal="center"/>
    </xf>
    <xf numFmtId="164" fontId="17" fillId="20" borderId="0" xfId="0" applyNumberFormat="1" applyFont="1" applyFill="1" applyAlignment="1">
      <alignment horizontal="right"/>
    </xf>
    <xf numFmtId="0" fontId="7" fillId="20" borderId="0" xfId="0" applyFont="1" applyFill="1" applyAlignment="1">
      <alignment horizontal="center"/>
    </xf>
    <xf numFmtId="166" fontId="17" fillId="4" borderId="0" xfId="0" applyNumberFormat="1" applyFont="1" applyFill="1" applyAlignment="1"/>
    <xf numFmtId="0" fontId="7" fillId="4" borderId="0" xfId="0" applyFont="1" applyFill="1" applyAlignment="1">
      <alignment horizontal="center"/>
    </xf>
    <xf numFmtId="166" fontId="17" fillId="5" borderId="0" xfId="0" applyNumberFormat="1" applyFont="1" applyFill="1" applyAlignment="1"/>
    <xf numFmtId="0" fontId="7" fillId="5" borderId="0" xfId="0" applyFont="1" applyFill="1" applyAlignment="1">
      <alignment horizontal="center"/>
    </xf>
    <xf numFmtId="0" fontId="1" fillId="0" borderId="3" xfId="0" applyFont="1" applyBorder="1" applyAlignment="1"/>
    <xf numFmtId="0" fontId="1" fillId="3" borderId="3" xfId="0" applyFont="1" applyFill="1" applyBorder="1" applyAlignment="1"/>
    <xf numFmtId="0" fontId="9" fillId="0" borderId="5" xfId="0" applyFont="1" applyBorder="1" applyAlignment="1">
      <alignment horizontal="center"/>
    </xf>
    <xf numFmtId="4" fontId="9" fillId="0" borderId="2" xfId="0" applyNumberFormat="1" applyFont="1" applyBorder="1" applyAlignment="1">
      <alignment horizontal="left"/>
    </xf>
    <xf numFmtId="4" fontId="58" fillId="3" borderId="1" xfId="0" applyNumberFormat="1" applyFont="1" applyFill="1" applyBorder="1" applyAlignment="1">
      <alignment horizontal="left"/>
    </xf>
    <xf numFmtId="4" fontId="9" fillId="0" borderId="2" xfId="0" applyNumberFormat="1" applyFont="1" applyBorder="1" applyAlignment="1">
      <alignment horizontal="left"/>
    </xf>
    <xf numFmtId="0" fontId="58" fillId="3" borderId="1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9" fillId="2" borderId="5" xfId="0" applyFont="1" applyFill="1" applyBorder="1" applyAlignment="1">
      <alignment horizontal="center"/>
    </xf>
    <xf numFmtId="0" fontId="9" fillId="2" borderId="1" xfId="0" applyFont="1" applyFill="1" applyBorder="1" applyAlignment="1"/>
    <xf numFmtId="4" fontId="60" fillId="3" borderId="1" xfId="0" applyNumberFormat="1" applyFont="1" applyFill="1" applyBorder="1" applyAlignment="1">
      <alignment horizontal="left"/>
    </xf>
    <xf numFmtId="4" fontId="9" fillId="2" borderId="2" xfId="0" applyNumberFormat="1" applyFont="1" applyFill="1" applyBorder="1" applyAlignment="1">
      <alignment horizontal="left"/>
    </xf>
    <xf numFmtId="4" fontId="9" fillId="2" borderId="2" xfId="0" applyNumberFormat="1" applyFont="1" applyFill="1" applyBorder="1" applyAlignment="1">
      <alignment horizontal="left"/>
    </xf>
    <xf numFmtId="0" fontId="61" fillId="0" borderId="0" xfId="0" applyFont="1" applyAlignment="1"/>
    <xf numFmtId="0" fontId="43" fillId="0" borderId="5" xfId="0" applyFont="1" applyBorder="1" applyAlignment="1">
      <alignment horizontal="center"/>
    </xf>
    <xf numFmtId="0" fontId="43" fillId="0" borderId="1" xfId="0" applyFont="1" applyBorder="1" applyAlignment="1"/>
    <xf numFmtId="4" fontId="43" fillId="0" borderId="2" xfId="0" applyNumberFormat="1" applyFont="1" applyBorder="1" applyAlignment="1">
      <alignment horizontal="left"/>
    </xf>
    <xf numFmtId="0" fontId="62" fillId="3" borderId="1" xfId="0" applyFont="1" applyFill="1" applyBorder="1" applyAlignment="1">
      <alignment horizontal="left"/>
    </xf>
    <xf numFmtId="0" fontId="43" fillId="0" borderId="0" xfId="0" applyFont="1" applyAlignment="1">
      <alignment horizontal="left"/>
    </xf>
    <xf numFmtId="0" fontId="9" fillId="2" borderId="1" xfId="0" applyFont="1" applyFill="1" applyBorder="1" applyAlignment="1"/>
    <xf numFmtId="4" fontId="9" fillId="2" borderId="2" xfId="0" applyNumberFormat="1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9" fillId="21" borderId="5" xfId="0" applyFont="1" applyFill="1" applyBorder="1" applyAlignment="1">
      <alignment horizontal="center"/>
    </xf>
    <xf numFmtId="0" fontId="9" fillId="21" borderId="1" xfId="0" applyFont="1" applyFill="1" applyBorder="1" applyAlignment="1"/>
    <xf numFmtId="4" fontId="9" fillId="3" borderId="1" xfId="0" applyNumberFormat="1" applyFont="1" applyFill="1" applyBorder="1" applyAlignment="1"/>
    <xf numFmtId="4" fontId="9" fillId="21" borderId="2" xfId="0" applyNumberFormat="1" applyFont="1" applyFill="1" applyBorder="1" applyAlignment="1">
      <alignment horizontal="left"/>
    </xf>
    <xf numFmtId="4" fontId="14" fillId="3" borderId="1" xfId="0" applyNumberFormat="1" applyFont="1" applyFill="1" applyBorder="1" applyAlignment="1"/>
    <xf numFmtId="0" fontId="14" fillId="3" borderId="1" xfId="0" applyFont="1" applyFill="1" applyBorder="1" applyAlignment="1"/>
    <xf numFmtId="9" fontId="9" fillId="2" borderId="1" xfId="0" applyNumberFormat="1" applyFont="1" applyFill="1" applyBorder="1" applyAlignment="1">
      <alignment horizontal="right"/>
    </xf>
    <xf numFmtId="0" fontId="63" fillId="6" borderId="0" xfId="0" applyFont="1" applyFill="1"/>
    <xf numFmtId="0" fontId="9" fillId="0" borderId="1" xfId="0" applyFont="1" applyBorder="1" applyAlignment="1"/>
    <xf numFmtId="4" fontId="61" fillId="3" borderId="0" xfId="0" applyNumberFormat="1" applyFont="1" applyFill="1" applyAlignment="1">
      <alignment horizontal="right"/>
    </xf>
    <xf numFmtId="4" fontId="61" fillId="3" borderId="0" xfId="0" applyNumberFormat="1" applyFont="1" applyFill="1" applyAlignment="1"/>
    <xf numFmtId="4" fontId="1" fillId="2" borderId="2" xfId="0" applyNumberFormat="1" applyFont="1" applyFill="1" applyBorder="1" applyAlignment="1">
      <alignment horizontal="left"/>
    </xf>
    <xf numFmtId="4" fontId="14" fillId="3" borderId="0" xfId="0" applyNumberFormat="1" applyFont="1" applyFill="1" applyAlignment="1"/>
    <xf numFmtId="0" fontId="1" fillId="0" borderId="0" xfId="0" applyFont="1" applyAlignment="1">
      <alignment horizontal="left"/>
    </xf>
    <xf numFmtId="0" fontId="65" fillId="0" borderId="0" xfId="0" applyFont="1" applyAlignment="1"/>
    <xf numFmtId="4" fontId="66" fillId="6" borderId="0" xfId="0" applyNumberFormat="1" applyFont="1" applyFill="1"/>
    <xf numFmtId="9" fontId="7" fillId="0" borderId="1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left"/>
    </xf>
    <xf numFmtId="4" fontId="67" fillId="2" borderId="2" xfId="0" applyNumberFormat="1" applyFont="1" applyFill="1" applyBorder="1" applyAlignment="1">
      <alignment horizontal="left"/>
    </xf>
    <xf numFmtId="0" fontId="67" fillId="0" borderId="0" xfId="0" applyFont="1" applyAlignment="1">
      <alignment horizontal="left"/>
    </xf>
    <xf numFmtId="0" fontId="7" fillId="0" borderId="1" xfId="0" applyFont="1" applyBorder="1" applyAlignment="1">
      <alignment horizontal="right"/>
    </xf>
    <xf numFmtId="4" fontId="69" fillId="0" borderId="2" xfId="0" applyNumberFormat="1" applyFont="1" applyBorder="1" applyAlignment="1">
      <alignment horizontal="left"/>
    </xf>
    <xf numFmtId="4" fontId="40" fillId="0" borderId="2" xfId="0" applyNumberFormat="1" applyFont="1" applyBorder="1" applyAlignment="1">
      <alignment horizontal="left"/>
    </xf>
    <xf numFmtId="0" fontId="40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0" fontId="9" fillId="0" borderId="1" xfId="0" applyFont="1" applyBorder="1" applyAlignment="1">
      <alignment horizontal="right"/>
    </xf>
    <xf numFmtId="4" fontId="70" fillId="0" borderId="2" xfId="0" applyNumberFormat="1" applyFont="1" applyBorder="1" applyAlignment="1">
      <alignment horizontal="left"/>
    </xf>
    <xf numFmtId="0" fontId="9" fillId="2" borderId="1" xfId="0" applyFont="1" applyFill="1" applyBorder="1" applyAlignment="1"/>
    <xf numFmtId="4" fontId="3" fillId="2" borderId="2" xfId="0" applyNumberFormat="1" applyFont="1" applyFill="1" applyBorder="1" applyAlignment="1">
      <alignment horizontal="left"/>
    </xf>
    <xf numFmtId="4" fontId="40" fillId="2" borderId="2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2" borderId="5" xfId="0" applyFont="1" applyFill="1" applyBorder="1" applyAlignment="1">
      <alignment horizontal="center"/>
    </xf>
    <xf numFmtId="4" fontId="72" fillId="2" borderId="2" xfId="0" applyNumberFormat="1" applyFont="1" applyFill="1" applyBorder="1" applyAlignment="1">
      <alignment horizontal="left"/>
    </xf>
    <xf numFmtId="4" fontId="46" fillId="3" borderId="26" xfId="0" applyNumberFormat="1" applyFont="1" applyFill="1" applyBorder="1" applyAlignment="1"/>
    <xf numFmtId="0" fontId="46" fillId="3" borderId="26" xfId="0" applyFont="1" applyFill="1" applyBorder="1" applyAlignment="1"/>
    <xf numFmtId="0" fontId="73" fillId="0" borderId="0" xfId="0" applyFont="1" applyAlignment="1">
      <alignment horizontal="left"/>
    </xf>
    <xf numFmtId="4" fontId="61" fillId="3" borderId="1" xfId="0" applyNumberFormat="1" applyFont="1" applyFill="1" applyBorder="1" applyAlignment="1"/>
    <xf numFmtId="0" fontId="9" fillId="4" borderId="5" xfId="0" applyFont="1" applyFill="1" applyBorder="1" applyAlignment="1">
      <alignment horizontal="center"/>
    </xf>
    <xf numFmtId="4" fontId="69" fillId="4" borderId="5" xfId="0" applyNumberFormat="1" applyFont="1" applyFill="1" applyBorder="1" applyAlignment="1">
      <alignment horizontal="left"/>
    </xf>
    <xf numFmtId="0" fontId="17" fillId="2" borderId="1" xfId="0" applyFont="1" applyFill="1" applyBorder="1" applyAlignment="1">
      <alignment horizontal="right"/>
    </xf>
    <xf numFmtId="4" fontId="9" fillId="3" borderId="1" xfId="0" applyNumberFormat="1" applyFont="1" applyFill="1" applyBorder="1" applyAlignment="1"/>
    <xf numFmtId="4" fontId="3" fillId="2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1" fillId="2" borderId="1" xfId="0" applyFont="1" applyFill="1" applyBorder="1" applyAlignment="1"/>
    <xf numFmtId="4" fontId="17" fillId="3" borderId="1" xfId="0" applyNumberFormat="1" applyFont="1" applyFill="1" applyBorder="1" applyAlignment="1"/>
    <xf numFmtId="4" fontId="1" fillId="2" borderId="2" xfId="0" applyNumberFormat="1" applyFont="1" applyFill="1" applyBorder="1" applyAlignment="1">
      <alignment horizontal="left"/>
    </xf>
    <xf numFmtId="4" fontId="7" fillId="3" borderId="1" xfId="0" applyNumberFormat="1" applyFont="1" applyFill="1" applyBorder="1" applyAlignment="1"/>
    <xf numFmtId="0" fontId="7" fillId="3" borderId="1" xfId="0" applyFont="1" applyFill="1" applyBorder="1" applyAlignment="1"/>
    <xf numFmtId="0" fontId="1" fillId="0" borderId="1" xfId="0" applyFont="1" applyBorder="1" applyAlignment="1"/>
    <xf numFmtId="4" fontId="9" fillId="0" borderId="2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4" fontId="43" fillId="2" borderId="2" xfId="0" applyNumberFormat="1" applyFont="1" applyFill="1" applyBorder="1" applyAlignment="1">
      <alignment horizontal="right"/>
    </xf>
    <xf numFmtId="4" fontId="17" fillId="2" borderId="5" xfId="0" applyNumberFormat="1" applyFont="1" applyFill="1" applyBorder="1" applyAlignment="1">
      <alignment horizontal="center"/>
    </xf>
    <xf numFmtId="4" fontId="9" fillId="3" borderId="1" xfId="0" applyNumberFormat="1" applyFont="1" applyFill="1" applyBorder="1" applyAlignment="1">
      <alignment horizontal="left"/>
    </xf>
    <xf numFmtId="4" fontId="14" fillId="3" borderId="1" xfId="0" applyNumberFormat="1" applyFont="1" applyFill="1" applyBorder="1" applyAlignment="1">
      <alignment horizontal="left"/>
    </xf>
    <xf numFmtId="0" fontId="14" fillId="3" borderId="1" xfId="0" applyFont="1" applyFill="1" applyBorder="1" applyAlignment="1">
      <alignment horizontal="left"/>
    </xf>
    <xf numFmtId="0" fontId="43" fillId="0" borderId="0" xfId="0" applyFont="1" applyAlignment="1">
      <alignment horizontal="right"/>
    </xf>
    <xf numFmtId="0" fontId="61" fillId="0" borderId="0" xfId="0" applyFont="1" applyAlignment="1">
      <alignment horizontal="left"/>
    </xf>
    <xf numFmtId="0" fontId="9" fillId="0" borderId="1" xfId="0" applyFont="1" applyBorder="1" applyAlignment="1">
      <alignment horizontal="right"/>
    </xf>
    <xf numFmtId="4" fontId="43" fillId="0" borderId="2" xfId="0" applyNumberFormat="1" applyFont="1" applyBorder="1" applyAlignment="1">
      <alignment horizontal="right"/>
    </xf>
    <xf numFmtId="4" fontId="17" fillId="0" borderId="5" xfId="0" applyNumberFormat="1" applyFont="1" applyBorder="1" applyAlignment="1">
      <alignment horizontal="center"/>
    </xf>
    <xf numFmtId="0" fontId="9" fillId="3" borderId="1" xfId="0" applyFont="1" applyFill="1" applyBorder="1" applyAlignment="1"/>
    <xf numFmtId="10" fontId="46" fillId="2" borderId="1" xfId="0" applyNumberFormat="1" applyFont="1" applyFill="1" applyBorder="1" applyAlignment="1">
      <alignment horizontal="right"/>
    </xf>
    <xf numFmtId="4" fontId="3" fillId="2" borderId="5" xfId="0" applyNumberFormat="1" applyFont="1" applyFill="1" applyBorder="1" applyAlignment="1"/>
    <xf numFmtId="4" fontId="9" fillId="3" borderId="1" xfId="0" applyNumberFormat="1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3" fillId="0" borderId="1" xfId="0" applyFont="1" applyBorder="1" applyAlignment="1"/>
    <xf numFmtId="4" fontId="75" fillId="2" borderId="2" xfId="0" applyNumberFormat="1" applyFont="1" applyFill="1" applyBorder="1" applyAlignment="1">
      <alignment horizontal="right"/>
    </xf>
    <xf numFmtId="4" fontId="29" fillId="2" borderId="5" xfId="0" applyNumberFormat="1" applyFont="1" applyFill="1" applyBorder="1" applyAlignment="1"/>
    <xf numFmtId="0" fontId="17" fillId="3" borderId="1" xfId="0" applyFont="1" applyFill="1" applyBorder="1" applyAlignment="1"/>
    <xf numFmtId="0" fontId="76" fillId="0" borderId="0" xfId="0" applyFont="1" applyAlignment="1">
      <alignment horizontal="right"/>
    </xf>
    <xf numFmtId="0" fontId="9" fillId="0" borderId="6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3" borderId="0" xfId="0" applyFont="1" applyFill="1" applyAlignment="1">
      <alignment horizontal="right"/>
    </xf>
    <xf numFmtId="0" fontId="9" fillId="0" borderId="0" xfId="0" applyFont="1" applyAlignment="1">
      <alignment horizontal="center"/>
    </xf>
    <xf numFmtId="0" fontId="17" fillId="0" borderId="0" xfId="0" applyFont="1" applyAlignment="1"/>
    <xf numFmtId="0" fontId="77" fillId="0" borderId="0" xfId="0" applyFont="1" applyAlignment="1">
      <alignment horizontal="left"/>
    </xf>
    <xf numFmtId="0" fontId="17" fillId="3" borderId="0" xfId="0" applyFont="1" applyFill="1" applyAlignment="1"/>
    <xf numFmtId="4" fontId="9" fillId="0" borderId="0" xfId="0" applyNumberFormat="1" applyFont="1" applyAlignment="1">
      <alignment horizontal="right"/>
    </xf>
    <xf numFmtId="0" fontId="79" fillId="0" borderId="0" xfId="0" applyFont="1" applyAlignment="1">
      <alignment horizontal="left"/>
    </xf>
    <xf numFmtId="0" fontId="2" fillId="22" borderId="0" xfId="0" applyFont="1" applyFill="1" applyAlignment="1"/>
    <xf numFmtId="4" fontId="80" fillId="23" borderId="52" xfId="0" applyNumberFormat="1" applyFont="1" applyFill="1" applyBorder="1" applyAlignment="1">
      <alignment horizontal="left"/>
    </xf>
    <xf numFmtId="0" fontId="81" fillId="13" borderId="23" xfId="0" applyFont="1" applyFill="1" applyBorder="1" applyAlignment="1"/>
    <xf numFmtId="0" fontId="80" fillId="13" borderId="52" xfId="0" applyFont="1" applyFill="1" applyBorder="1" applyAlignment="1">
      <alignment horizontal="left"/>
    </xf>
    <xf numFmtId="0" fontId="81" fillId="0" borderId="0" xfId="0" applyFont="1" applyAlignment="1"/>
    <xf numFmtId="0" fontId="80" fillId="0" borderId="0" xfId="0" applyFont="1" applyAlignment="1">
      <alignment horizontal="left"/>
    </xf>
    <xf numFmtId="10" fontId="80" fillId="23" borderId="53" xfId="0" applyNumberFormat="1" applyFont="1" applyFill="1" applyBorder="1" applyAlignment="1">
      <alignment horizontal="right"/>
    </xf>
    <xf numFmtId="0" fontId="81" fillId="13" borderId="54" xfId="0" applyFont="1" applyFill="1" applyBorder="1" applyAlignment="1"/>
    <xf numFmtId="0" fontId="80" fillId="13" borderId="53" xfId="0" applyFont="1" applyFill="1" applyBorder="1" applyAlignment="1">
      <alignment horizontal="right"/>
    </xf>
    <xf numFmtId="0" fontId="80" fillId="0" borderId="0" xfId="0" applyFont="1" applyAlignment="1">
      <alignment horizontal="right"/>
    </xf>
    <xf numFmtId="0" fontId="2" fillId="24" borderId="0" xfId="0" applyFont="1" applyFill="1" applyAlignment="1"/>
    <xf numFmtId="4" fontId="80" fillId="24" borderId="52" xfId="0" applyNumberFormat="1" applyFont="1" applyFill="1" applyBorder="1" applyAlignment="1">
      <alignment horizontal="left"/>
    </xf>
    <xf numFmtId="10" fontId="80" fillId="24" borderId="53" xfId="0" applyNumberFormat="1" applyFont="1" applyFill="1" applyBorder="1" applyAlignment="1">
      <alignment horizontal="right"/>
    </xf>
    <xf numFmtId="4" fontId="1" fillId="0" borderId="26" xfId="0" applyNumberFormat="1" applyFont="1" applyBorder="1" applyAlignment="1"/>
    <xf numFmtId="4" fontId="82" fillId="0" borderId="26" xfId="0" applyNumberFormat="1" applyFont="1" applyBorder="1" applyAlignment="1">
      <alignment horizontal="right"/>
    </xf>
    <xf numFmtId="4" fontId="17" fillId="3" borderId="0" xfId="0" applyNumberFormat="1" applyFont="1" applyFill="1" applyAlignment="1"/>
    <xf numFmtId="4" fontId="1" fillId="0" borderId="2" xfId="0" applyNumberFormat="1" applyFont="1" applyBorder="1" applyAlignment="1"/>
    <xf numFmtId="4" fontId="83" fillId="0" borderId="1" xfId="0" applyNumberFormat="1" applyFont="1" applyBorder="1" applyAlignment="1">
      <alignment horizontal="left"/>
    </xf>
    <xf numFmtId="4" fontId="9" fillId="0" borderId="0" xfId="0" applyNumberFormat="1" applyFont="1" applyAlignment="1"/>
    <xf numFmtId="4" fontId="9" fillId="0" borderId="0" xfId="0" applyNumberFormat="1" applyFont="1" applyAlignment="1"/>
    <xf numFmtId="4" fontId="1" fillId="0" borderId="0" xfId="0" applyNumberFormat="1" applyFont="1" applyAlignment="1"/>
    <xf numFmtId="4" fontId="1" fillId="0" borderId="0" xfId="0" applyNumberFormat="1" applyFont="1" applyAlignment="1">
      <alignment horizontal="right"/>
    </xf>
    <xf numFmtId="4" fontId="84" fillId="0" borderId="0" xfId="0" applyNumberFormat="1" applyFont="1" applyAlignment="1">
      <alignment horizontal="right"/>
    </xf>
    <xf numFmtId="4" fontId="85" fillId="0" borderId="0" xfId="0" applyNumberFormat="1" applyFont="1" applyAlignment="1">
      <alignment horizontal="left"/>
    </xf>
    <xf numFmtId="4" fontId="2" fillId="0" borderId="0" xfId="0" applyNumberFormat="1" applyFont="1" applyAlignment="1"/>
    <xf numFmtId="0" fontId="39" fillId="0" borderId="0" xfId="0" applyFont="1" applyAlignment="1">
      <alignment horizontal="right"/>
    </xf>
    <xf numFmtId="4" fontId="2" fillId="0" borderId="0" xfId="0" applyNumberFormat="1" applyFont="1" applyAlignment="1"/>
    <xf numFmtId="4" fontId="86" fillId="0" borderId="8" xfId="0" applyNumberFormat="1" applyFont="1" applyBorder="1" applyAlignment="1">
      <alignment horizontal="left"/>
    </xf>
    <xf numFmtId="4" fontId="87" fillId="19" borderId="3" xfId="0" applyNumberFormat="1" applyFont="1" applyFill="1" applyBorder="1" applyAlignment="1"/>
    <xf numFmtId="4" fontId="9" fillId="0" borderId="0" xfId="0" applyNumberFormat="1" applyFont="1" applyAlignment="1"/>
    <xf numFmtId="4" fontId="88" fillId="19" borderId="0" xfId="0" applyNumberFormat="1" applyFont="1" applyFill="1" applyAlignment="1">
      <alignment horizontal="left"/>
    </xf>
    <xf numFmtId="164" fontId="89" fillId="2" borderId="0" xfId="0" applyNumberFormat="1" applyFont="1" applyFill="1" applyAlignment="1">
      <alignment horizontal="center"/>
    </xf>
    <xf numFmtId="9" fontId="89" fillId="2" borderId="0" xfId="0" applyNumberFormat="1" applyFont="1" applyFill="1" applyAlignment="1">
      <alignment horizontal="center"/>
    </xf>
    <xf numFmtId="0" fontId="89" fillId="3" borderId="0" xfId="0" applyFont="1" applyFill="1" applyAlignment="1">
      <alignment horizontal="center"/>
    </xf>
    <xf numFmtId="0" fontId="89" fillId="2" borderId="0" xfId="0" applyFont="1" applyFill="1" applyAlignment="1">
      <alignment horizontal="center"/>
    </xf>
    <xf numFmtId="164" fontId="53" fillId="20" borderId="0" xfId="0" applyNumberFormat="1" applyFont="1" applyFill="1" applyAlignment="1">
      <alignment horizontal="right"/>
    </xf>
    <xf numFmtId="0" fontId="89" fillId="20" borderId="0" xfId="0" applyFont="1" applyFill="1" applyAlignment="1">
      <alignment horizontal="center"/>
    </xf>
    <xf numFmtId="166" fontId="53" fillId="4" borderId="0" xfId="0" applyNumberFormat="1" applyFont="1" applyFill="1" applyAlignment="1"/>
    <xf numFmtId="0" fontId="89" fillId="4" borderId="0" xfId="0" applyFont="1" applyFill="1" applyAlignment="1">
      <alignment horizontal="center"/>
    </xf>
    <xf numFmtId="166" fontId="53" fillId="5" borderId="0" xfId="0" applyNumberFormat="1" applyFont="1" applyFill="1" applyAlignment="1"/>
    <xf numFmtId="0" fontId="89" fillId="5" borderId="0" xfId="0" applyFont="1" applyFill="1" applyAlignment="1">
      <alignment horizontal="center"/>
    </xf>
    <xf numFmtId="0" fontId="90" fillId="0" borderId="0" xfId="0" applyFont="1" applyAlignment="1"/>
    <xf numFmtId="0" fontId="91" fillId="0" borderId="0" xfId="0" applyFont="1" applyAlignment="1"/>
    <xf numFmtId="0" fontId="92" fillId="14" borderId="0" xfId="0" applyFont="1" applyFill="1" applyAlignment="1"/>
    <xf numFmtId="0" fontId="93" fillId="0" borderId="0" xfId="0" applyFont="1" applyAlignment="1"/>
    <xf numFmtId="0" fontId="7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17" fillId="0" borderId="0" xfId="0" applyFont="1" applyAlignment="1">
      <alignment horizontal="right"/>
    </xf>
    <xf numFmtId="0" fontId="36" fillId="0" borderId="16" xfId="0" applyFont="1" applyBorder="1"/>
    <xf numFmtId="4" fontId="95" fillId="0" borderId="30" xfId="0" applyNumberFormat="1" applyFont="1" applyBorder="1" applyAlignment="1"/>
    <xf numFmtId="0" fontId="95" fillId="0" borderId="0" xfId="0" applyFont="1" applyAlignment="1"/>
    <xf numFmtId="0" fontId="94" fillId="0" borderId="0" xfId="0" applyFont="1" applyAlignment="1"/>
    <xf numFmtId="0" fontId="96" fillId="0" borderId="0" xfId="0" applyFont="1" applyAlignment="1"/>
    <xf numFmtId="0" fontId="2" fillId="0" borderId="0" xfId="0" applyFont="1" applyAlignment="1"/>
    <xf numFmtId="0" fontId="98" fillId="0" borderId="0" xfId="0" applyFont="1" applyAlignment="1"/>
    <xf numFmtId="0" fontId="99" fillId="0" borderId="0" xfId="0" applyFont="1" applyAlignment="1"/>
    <xf numFmtId="0" fontId="53" fillId="0" borderId="1" xfId="0" applyFont="1" applyBorder="1" applyAlignment="1">
      <alignment horizontal="right"/>
    </xf>
    <xf numFmtId="0" fontId="53" fillId="3" borderId="0" xfId="0" applyFont="1" applyFill="1" applyAlignment="1"/>
    <xf numFmtId="0" fontId="100" fillId="0" borderId="0" xfId="0" applyFont="1" applyAlignment="1"/>
    <xf numFmtId="0" fontId="9" fillId="11" borderId="0" xfId="0" applyFont="1" applyFill="1" applyAlignment="1"/>
    <xf numFmtId="0" fontId="1" fillId="0" borderId="57" xfId="0" applyFont="1" applyBorder="1" applyAlignment="1"/>
    <xf numFmtId="0" fontId="1" fillId="0" borderId="17" xfId="0" applyFont="1" applyBorder="1" applyAlignment="1"/>
    <xf numFmtId="0" fontId="1" fillId="0" borderId="16" xfId="0" applyFont="1" applyBorder="1" applyAlignment="1"/>
    <xf numFmtId="0" fontId="1" fillId="3" borderId="27" xfId="0" applyFont="1" applyFill="1" applyBorder="1" applyAlignment="1"/>
    <xf numFmtId="0" fontId="9" fillId="2" borderId="32" xfId="0" applyFont="1" applyFill="1" applyBorder="1" applyAlignment="1">
      <alignment horizontal="right"/>
    </xf>
    <xf numFmtId="0" fontId="2" fillId="2" borderId="32" xfId="0" applyFont="1" applyFill="1" applyBorder="1" applyAlignment="1">
      <alignment horizontal="right"/>
    </xf>
    <xf numFmtId="0" fontId="9" fillId="2" borderId="32" xfId="0" applyFont="1" applyFill="1" applyBorder="1" applyAlignment="1"/>
    <xf numFmtId="4" fontId="9" fillId="0" borderId="32" xfId="0" applyNumberFormat="1" applyFont="1" applyBorder="1" applyAlignment="1">
      <alignment horizontal="left"/>
    </xf>
    <xf numFmtId="4" fontId="9" fillId="3" borderId="32" xfId="0" applyNumberFormat="1" applyFont="1" applyFill="1" applyBorder="1" applyAlignment="1">
      <alignment horizontal="left"/>
    </xf>
    <xf numFmtId="0" fontId="9" fillId="0" borderId="32" xfId="0" applyFont="1" applyBorder="1" applyAlignment="1">
      <alignment horizontal="right"/>
    </xf>
    <xf numFmtId="9" fontId="9" fillId="0" borderId="32" xfId="0" applyNumberFormat="1" applyFont="1" applyBorder="1" applyAlignment="1">
      <alignment horizontal="right"/>
    </xf>
    <xf numFmtId="0" fontId="9" fillId="0" borderId="32" xfId="0" applyFont="1" applyBorder="1" applyAlignment="1"/>
    <xf numFmtId="0" fontId="17" fillId="2" borderId="32" xfId="0" applyFont="1" applyFill="1" applyBorder="1" applyAlignment="1">
      <alignment horizontal="right"/>
    </xf>
    <xf numFmtId="0" fontId="9" fillId="2" borderId="32" xfId="0" applyFont="1" applyFill="1" applyBorder="1" applyAlignment="1"/>
    <xf numFmtId="0" fontId="9" fillId="0" borderId="32" xfId="0" applyFont="1" applyBorder="1" applyAlignment="1"/>
    <xf numFmtId="0" fontId="9" fillId="2" borderId="32" xfId="0" applyFont="1" applyFill="1" applyBorder="1" applyAlignment="1">
      <alignment horizontal="left"/>
    </xf>
    <xf numFmtId="9" fontId="9" fillId="2" borderId="32" xfId="0" applyNumberFormat="1" applyFont="1" applyFill="1" applyBorder="1" applyAlignment="1">
      <alignment horizontal="right"/>
    </xf>
    <xf numFmtId="0" fontId="9" fillId="2" borderId="32" xfId="0" applyFont="1" applyFill="1" applyBorder="1" applyAlignment="1">
      <alignment horizontal="right"/>
    </xf>
    <xf numFmtId="0" fontId="12" fillId="2" borderId="32" xfId="0" applyFont="1" applyFill="1" applyBorder="1" applyAlignment="1">
      <alignment horizontal="right"/>
    </xf>
    <xf numFmtId="0" fontId="17" fillId="2" borderId="32" xfId="0" applyFont="1" applyFill="1" applyBorder="1" applyAlignment="1"/>
    <xf numFmtId="0" fontId="9" fillId="21" borderId="32" xfId="0" applyFont="1" applyFill="1" applyBorder="1" applyAlignment="1">
      <alignment horizontal="right"/>
    </xf>
    <xf numFmtId="0" fontId="62" fillId="8" borderId="32" xfId="0" applyFont="1" applyFill="1" applyBorder="1" applyAlignment="1"/>
    <xf numFmtId="0" fontId="9" fillId="0" borderId="32" xfId="0" applyFont="1" applyBorder="1" applyAlignment="1">
      <alignment horizontal="right"/>
    </xf>
    <xf numFmtId="0" fontId="7" fillId="0" borderId="32" xfId="0" applyFont="1" applyBorder="1" applyAlignment="1"/>
    <xf numFmtId="0" fontId="2" fillId="0" borderId="32" xfId="0" applyFont="1" applyBorder="1" applyAlignment="1"/>
    <xf numFmtId="4" fontId="2" fillId="0" borderId="32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left"/>
    </xf>
    <xf numFmtId="0" fontId="1" fillId="0" borderId="32" xfId="0" applyFont="1" applyBorder="1" applyAlignment="1">
      <alignment horizontal="right"/>
    </xf>
    <xf numFmtId="0" fontId="9" fillId="0" borderId="32" xfId="0" applyFont="1" applyBorder="1" applyAlignment="1"/>
    <xf numFmtId="4" fontId="7" fillId="0" borderId="32" xfId="0" applyNumberFormat="1" applyFont="1" applyBorder="1" applyAlignment="1">
      <alignment horizontal="left"/>
    </xf>
    <xf numFmtId="0" fontId="9" fillId="0" borderId="32" xfId="0" applyFont="1" applyBorder="1" applyAlignment="1">
      <alignment horizontal="right"/>
    </xf>
    <xf numFmtId="0" fontId="17" fillId="0" borderId="32" xfId="0" applyFont="1" applyBorder="1" applyAlignment="1">
      <alignment horizontal="right"/>
    </xf>
    <xf numFmtId="0" fontId="9" fillId="4" borderId="32" xfId="0" applyFont="1" applyFill="1" applyBorder="1" applyAlignment="1">
      <alignment horizontal="right"/>
    </xf>
    <xf numFmtId="0" fontId="9" fillId="4" borderId="32" xfId="0" applyFont="1" applyFill="1" applyBorder="1" applyAlignment="1"/>
    <xf numFmtId="0" fontId="1" fillId="0" borderId="32" xfId="0" applyFont="1" applyBorder="1" applyAlignment="1">
      <alignment horizontal="right"/>
    </xf>
    <xf numFmtId="0" fontId="9" fillId="2" borderId="32" xfId="0" applyFont="1" applyFill="1" applyBorder="1" applyAlignment="1">
      <alignment horizontal="right"/>
    </xf>
    <xf numFmtId="0" fontId="2" fillId="2" borderId="32" xfId="0" applyFont="1" applyFill="1" applyBorder="1" applyAlignment="1"/>
    <xf numFmtId="0" fontId="1" fillId="0" borderId="32" xfId="0" applyFont="1" applyBorder="1" applyAlignment="1"/>
    <xf numFmtId="0" fontId="9" fillId="0" borderId="32" xfId="0" applyFont="1" applyBorder="1" applyAlignment="1">
      <alignment horizontal="center"/>
    </xf>
    <xf numFmtId="0" fontId="9" fillId="0" borderId="32" xfId="0" applyFont="1" applyBorder="1" applyAlignment="1">
      <alignment horizontal="left"/>
    </xf>
    <xf numFmtId="0" fontId="9" fillId="2" borderId="32" xfId="0" applyFont="1" applyFill="1" applyBorder="1" applyAlignment="1">
      <alignment horizontal="center"/>
    </xf>
    <xf numFmtId="0" fontId="9" fillId="2" borderId="32" xfId="0" applyFont="1" applyFill="1" applyBorder="1" applyAlignment="1"/>
    <xf numFmtId="0" fontId="1" fillId="0" borderId="32" xfId="0" applyFont="1" applyBorder="1" applyAlignment="1"/>
    <xf numFmtId="4" fontId="9" fillId="0" borderId="32" xfId="0" applyNumberFormat="1" applyFont="1" applyBorder="1" applyAlignment="1">
      <alignment horizontal="left"/>
    </xf>
    <xf numFmtId="4" fontId="2" fillId="0" borderId="32" xfId="0" applyNumberFormat="1" applyFont="1" applyBorder="1" applyAlignment="1">
      <alignment horizontal="left"/>
    </xf>
    <xf numFmtId="0" fontId="9" fillId="0" borderId="6" xfId="0" applyFont="1" applyBorder="1" applyAlignment="1">
      <alignment horizontal="right"/>
    </xf>
    <xf numFmtId="0" fontId="9" fillId="0" borderId="6" xfId="0" applyFont="1" applyBorder="1" applyAlignment="1"/>
    <xf numFmtId="4" fontId="9" fillId="3" borderId="2" xfId="0" applyNumberFormat="1" applyFont="1" applyFill="1" applyBorder="1" applyAlignment="1">
      <alignment horizontal="left"/>
    </xf>
    <xf numFmtId="0" fontId="17" fillId="0" borderId="16" xfId="0" applyFont="1" applyBorder="1" applyAlignment="1"/>
    <xf numFmtId="4" fontId="2" fillId="0" borderId="2" xfId="0" applyNumberFormat="1" applyFont="1" applyBorder="1" applyAlignment="1">
      <alignment horizontal="left"/>
    </xf>
    <xf numFmtId="0" fontId="87" fillId="0" borderId="0" xfId="0" applyFont="1" applyAlignment="1"/>
    <xf numFmtId="4" fontId="9" fillId="3" borderId="1" xfId="0" applyNumberFormat="1" applyFont="1" applyFill="1" applyBorder="1" applyAlignment="1">
      <alignment horizontal="left"/>
    </xf>
    <xf numFmtId="0" fontId="87" fillId="3" borderId="0" xfId="0" applyFont="1" applyFill="1" applyAlignment="1"/>
    <xf numFmtId="0" fontId="101" fillId="16" borderId="0" xfId="0" applyFont="1" applyFill="1" applyAlignment="1"/>
    <xf numFmtId="0" fontId="101" fillId="3" borderId="0" xfId="0" applyFont="1" applyFill="1" applyAlignment="1"/>
    <xf numFmtId="164" fontId="8" fillId="20" borderId="0" xfId="0" applyNumberFormat="1" applyFont="1" applyFill="1" applyAlignment="1">
      <alignment horizontal="right"/>
    </xf>
    <xf numFmtId="0" fontId="3" fillId="20" borderId="0" xfId="0" applyFont="1" applyFill="1" applyAlignment="1">
      <alignment horizontal="center"/>
    </xf>
    <xf numFmtId="4" fontId="9" fillId="2" borderId="2" xfId="0" applyNumberFormat="1" applyFont="1" applyFill="1" applyBorder="1" applyAlignment="1"/>
    <xf numFmtId="4" fontId="9" fillId="0" borderId="2" xfId="0" applyNumberFormat="1" applyFont="1" applyBorder="1" applyAlignment="1"/>
    <xf numFmtId="0" fontId="9" fillId="3" borderId="1" xfId="0" applyFont="1" applyFill="1" applyBorder="1" applyAlignment="1"/>
    <xf numFmtId="4" fontId="9" fillId="0" borderId="8" xfId="0" applyNumberFormat="1" applyFont="1" applyBorder="1" applyAlignment="1">
      <alignment horizontal="left"/>
    </xf>
    <xf numFmtId="4" fontId="9" fillId="0" borderId="2" xfId="0" applyNumberFormat="1" applyFont="1" applyBorder="1" applyAlignment="1">
      <alignment horizontal="left"/>
    </xf>
    <xf numFmtId="4" fontId="70" fillId="0" borderId="4" xfId="0" applyNumberFormat="1" applyFont="1" applyBorder="1" applyAlignment="1">
      <alignment horizontal="left"/>
    </xf>
    <xf numFmtId="4" fontId="2" fillId="21" borderId="5" xfId="0" applyNumberFormat="1" applyFont="1" applyFill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9" fillId="0" borderId="1" xfId="0" applyNumberFormat="1" applyFont="1" applyBorder="1" applyAlignment="1"/>
    <xf numFmtId="0" fontId="9" fillId="0" borderId="2" xfId="0" applyFont="1" applyBorder="1" applyAlignment="1"/>
    <xf numFmtId="4" fontId="3" fillId="0" borderId="2" xfId="0" applyNumberFormat="1" applyFont="1" applyBorder="1" applyAlignment="1">
      <alignment horizontal="right"/>
    </xf>
    <xf numFmtId="4" fontId="9" fillId="0" borderId="2" xfId="0" applyNumberFormat="1" applyFont="1" applyBorder="1" applyAlignment="1">
      <alignment horizontal="right"/>
    </xf>
    <xf numFmtId="4" fontId="9" fillId="4" borderId="2" xfId="0" applyNumberFormat="1" applyFont="1" applyFill="1" applyBorder="1" applyAlignment="1">
      <alignment horizontal="left"/>
    </xf>
    <xf numFmtId="4" fontId="3" fillId="0" borderId="2" xfId="0" applyNumberFormat="1" applyFont="1" applyBorder="1" applyAlignment="1"/>
    <xf numFmtId="4" fontId="9" fillId="0" borderId="8" xfId="0" applyNumberFormat="1" applyFont="1" applyBorder="1" applyAlignment="1">
      <alignment horizontal="right"/>
    </xf>
    <xf numFmtId="4" fontId="9" fillId="2" borderId="2" xfId="0" applyNumberFormat="1" applyFont="1" applyFill="1" applyBorder="1" applyAlignment="1">
      <alignment horizontal="right"/>
    </xf>
    <xf numFmtId="0" fontId="9" fillId="0" borderId="2" xfId="0" applyFont="1" applyBorder="1" applyAlignment="1">
      <alignment horizontal="right"/>
    </xf>
    <xf numFmtId="4" fontId="1" fillId="0" borderId="2" xfId="0" applyNumberFormat="1" applyFont="1" applyBorder="1" applyAlignment="1"/>
    <xf numFmtId="4" fontId="1" fillId="0" borderId="2" xfId="0" applyNumberFormat="1" applyFont="1" applyBorder="1" applyAlignment="1">
      <alignment horizontal="right"/>
    </xf>
    <xf numFmtId="4" fontId="9" fillId="0" borderId="28" xfId="0" applyNumberFormat="1" applyFont="1" applyBorder="1" applyAlignment="1"/>
    <xf numFmtId="4" fontId="9" fillId="3" borderId="55" xfId="0" applyNumberFormat="1" applyFont="1" applyFill="1" applyBorder="1" applyAlignment="1"/>
    <xf numFmtId="0" fontId="9" fillId="3" borderId="55" xfId="0" applyFont="1" applyFill="1" applyBorder="1" applyAlignment="1"/>
    <xf numFmtId="4" fontId="17" fillId="0" borderId="0" xfId="0" applyNumberFormat="1" applyFont="1" applyAlignment="1"/>
    <xf numFmtId="0" fontId="102" fillId="0" borderId="0" xfId="0" applyFont="1" applyAlignment="1">
      <alignment horizontal="center"/>
    </xf>
    <xf numFmtId="0" fontId="103" fillId="0" borderId="0" xfId="0" applyFont="1" applyAlignment="1"/>
    <xf numFmtId="4" fontId="87" fillId="3" borderId="0" xfId="0" applyNumberFormat="1" applyFont="1" applyFill="1" applyAlignment="1"/>
    <xf numFmtId="0" fontId="1" fillId="0" borderId="2" xfId="0" applyFont="1" applyBorder="1" applyAlignment="1"/>
    <xf numFmtId="0" fontId="1" fillId="0" borderId="0" xfId="0" applyFont="1" applyAlignment="1"/>
    <xf numFmtId="0" fontId="87" fillId="19" borderId="3" xfId="0" applyFont="1" applyFill="1" applyBorder="1" applyAlignment="1"/>
    <xf numFmtId="4" fontId="87" fillId="19" borderId="4" xfId="0" applyNumberFormat="1" applyFont="1" applyFill="1" applyBorder="1" applyAlignment="1"/>
    <xf numFmtId="4" fontId="87" fillId="19" borderId="26" xfId="0" applyNumberFormat="1" applyFont="1" applyFill="1" applyBorder="1" applyAlignment="1"/>
    <xf numFmtId="4" fontId="104" fillId="19" borderId="0" xfId="0" applyNumberFormat="1" applyFont="1" applyFill="1" applyAlignment="1">
      <alignment horizontal="left"/>
    </xf>
    <xf numFmtId="9" fontId="17" fillId="0" borderId="1" xfId="0" applyNumberFormat="1" applyFont="1" applyBorder="1" applyAlignment="1">
      <alignment horizontal="center"/>
    </xf>
    <xf numFmtId="0" fontId="41" fillId="19" borderId="27" xfId="0" applyFont="1" applyFill="1" applyBorder="1" applyAlignment="1"/>
    <xf numFmtId="0" fontId="17" fillId="19" borderId="0" xfId="0" applyFont="1" applyFill="1" applyAlignment="1">
      <alignment horizontal="center"/>
    </xf>
    <xf numFmtId="0" fontId="105" fillId="0" borderId="0" xfId="0" applyFont="1" applyAlignment="1"/>
    <xf numFmtId="0" fontId="7" fillId="3" borderId="0" xfId="0" applyFont="1" applyFill="1" applyAlignment="1">
      <alignment horizontal="center"/>
    </xf>
    <xf numFmtId="0" fontId="29" fillId="0" borderId="0" xfId="0" applyFont="1" applyAlignment="1">
      <alignment horizontal="right"/>
    </xf>
    <xf numFmtId="3" fontId="17" fillId="0" borderId="0" xfId="0" applyNumberFormat="1" applyFont="1" applyAlignment="1">
      <alignment horizontal="right"/>
    </xf>
    <xf numFmtId="0" fontId="55" fillId="3" borderId="0" xfId="0" applyFont="1" applyFill="1" applyAlignment="1"/>
    <xf numFmtId="0" fontId="29" fillId="13" borderId="0" xfId="0" applyFont="1" applyFill="1" applyAlignment="1"/>
    <xf numFmtId="0" fontId="52" fillId="11" borderId="0" xfId="0" applyFont="1" applyFill="1" applyAlignment="1"/>
    <xf numFmtId="0" fontId="29" fillId="11" borderId="0" xfId="0" applyFont="1" applyFill="1" applyAlignment="1"/>
    <xf numFmtId="0" fontId="2" fillId="0" borderId="32" xfId="0" applyFont="1" applyBorder="1" applyAlignment="1">
      <alignment horizontal="right"/>
    </xf>
    <xf numFmtId="0" fontId="17" fillId="0" borderId="32" xfId="0" applyFont="1" applyBorder="1" applyAlignment="1"/>
    <xf numFmtId="0" fontId="9" fillId="21" borderId="32" xfId="0" applyFont="1" applyFill="1" applyBorder="1" applyAlignment="1">
      <alignment horizontal="right"/>
    </xf>
    <xf numFmtId="0" fontId="7" fillId="21" borderId="32" xfId="0" applyFont="1" applyFill="1" applyBorder="1" applyAlignment="1"/>
    <xf numFmtId="0" fontId="1" fillId="2" borderId="32" xfId="0" applyFont="1" applyFill="1" applyBorder="1" applyAlignment="1">
      <alignment horizontal="right"/>
    </xf>
    <xf numFmtId="0" fontId="1" fillId="2" borderId="32" xfId="0" applyFont="1" applyFill="1" applyBorder="1" applyAlignment="1">
      <alignment horizontal="right"/>
    </xf>
    <xf numFmtId="0" fontId="17" fillId="4" borderId="32" xfId="0" applyFont="1" applyFill="1" applyBorder="1" applyAlignment="1">
      <alignment horizontal="right"/>
    </xf>
    <xf numFmtId="0" fontId="9" fillId="0" borderId="32" xfId="0" applyFont="1" applyBorder="1" applyAlignment="1">
      <alignment horizontal="right"/>
    </xf>
    <xf numFmtId="0" fontId="17" fillId="0" borderId="32" xfId="0" applyFont="1" applyBorder="1" applyAlignment="1"/>
    <xf numFmtId="0" fontId="1" fillId="2" borderId="32" xfId="0" applyFont="1" applyFill="1" applyBorder="1" applyAlignment="1"/>
    <xf numFmtId="0" fontId="9" fillId="0" borderId="32" xfId="0" applyFont="1" applyBorder="1" applyAlignment="1">
      <alignment horizontal="left"/>
    </xf>
    <xf numFmtId="0" fontId="9" fillId="2" borderId="32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left"/>
    </xf>
    <xf numFmtId="0" fontId="9" fillId="0" borderId="32" xfId="0" applyFont="1" applyBorder="1" applyAlignment="1">
      <alignment horizontal="center"/>
    </xf>
    <xf numFmtId="0" fontId="17" fillId="2" borderId="32" xfId="0" applyFont="1" applyFill="1" applyBorder="1" applyAlignment="1"/>
    <xf numFmtId="0" fontId="9" fillId="0" borderId="32" xfId="0" applyFont="1" applyBorder="1" applyAlignment="1"/>
    <xf numFmtId="4" fontId="14" fillId="0" borderId="2" xfId="0" applyNumberFormat="1" applyFont="1" applyBorder="1" applyAlignment="1"/>
    <xf numFmtId="0" fontId="14" fillId="0" borderId="0" xfId="0" applyFont="1" applyAlignment="1"/>
    <xf numFmtId="4" fontId="9" fillId="21" borderId="5" xfId="0" applyNumberFormat="1" applyFont="1" applyFill="1" applyBorder="1" applyAlignment="1">
      <alignment horizontal="left"/>
    </xf>
    <xf numFmtId="4" fontId="2" fillId="0" borderId="5" xfId="0" applyNumberFormat="1" applyFont="1" applyBorder="1" applyAlignment="1"/>
    <xf numFmtId="4" fontId="2" fillId="8" borderId="5" xfId="0" applyNumberFormat="1" applyFont="1" applyFill="1" applyBorder="1" applyAlignment="1"/>
    <xf numFmtId="4" fontId="2" fillId="0" borderId="2" xfId="0" applyNumberFormat="1" applyFont="1" applyBorder="1" applyAlignment="1">
      <alignment horizontal="center"/>
    </xf>
    <xf numFmtId="4" fontId="2" fillId="0" borderId="1" xfId="0" applyNumberFormat="1" applyFont="1" applyBorder="1" applyAlignment="1"/>
    <xf numFmtId="4" fontId="3" fillId="2" borderId="2" xfId="0" applyNumberFormat="1" applyFont="1" applyFill="1" applyBorder="1" applyAlignment="1">
      <alignment horizontal="right"/>
    </xf>
    <xf numFmtId="4" fontId="3" fillId="2" borderId="2" xfId="0" applyNumberFormat="1" applyFont="1" applyFill="1" applyBorder="1" applyAlignment="1"/>
    <xf numFmtId="4" fontId="107" fillId="0" borderId="2" xfId="0" applyNumberFormat="1" applyFont="1" applyBorder="1" applyAlignment="1">
      <alignment horizontal="left"/>
    </xf>
    <xf numFmtId="4" fontId="1" fillId="3" borderId="1" xfId="0" applyNumberFormat="1" applyFont="1" applyFill="1" applyBorder="1" applyAlignment="1"/>
    <xf numFmtId="0" fontId="1" fillId="3" borderId="1" xfId="0" applyFont="1" applyFill="1" applyBorder="1" applyAlignment="1"/>
    <xf numFmtId="4" fontId="9" fillId="2" borderId="2" xfId="0" applyNumberFormat="1" applyFont="1" applyFill="1" applyBorder="1" applyAlignment="1">
      <alignment horizontal="right"/>
    </xf>
    <xf numFmtId="4" fontId="9" fillId="0" borderId="5" xfId="0" applyNumberFormat="1" applyFont="1" applyBorder="1" applyAlignment="1">
      <alignment horizontal="left"/>
    </xf>
    <xf numFmtId="4" fontId="9" fillId="2" borderId="5" xfId="0" applyNumberFormat="1" applyFont="1" applyFill="1" applyBorder="1" applyAlignment="1"/>
    <xf numFmtId="4" fontId="9" fillId="2" borderId="5" xfId="0" applyNumberFormat="1" applyFont="1" applyFill="1" applyBorder="1" applyAlignment="1">
      <alignment horizontal="left"/>
    </xf>
    <xf numFmtId="4" fontId="9" fillId="0" borderId="5" xfId="0" applyNumberFormat="1" applyFont="1" applyBorder="1" applyAlignment="1"/>
    <xf numFmtId="4" fontId="1" fillId="2" borderId="2" xfId="0" applyNumberFormat="1" applyFont="1" applyFill="1" applyBorder="1" applyAlignment="1">
      <alignment horizontal="right"/>
    </xf>
    <xf numFmtId="4" fontId="1" fillId="2" borderId="5" xfId="0" applyNumberFormat="1" applyFont="1" applyFill="1" applyBorder="1" applyAlignment="1"/>
    <xf numFmtId="4" fontId="9" fillId="3" borderId="0" xfId="0" applyNumberFormat="1" applyFont="1" applyFill="1" applyAlignment="1"/>
    <xf numFmtId="0" fontId="2" fillId="22" borderId="0" xfId="0" applyFont="1" applyFill="1" applyAlignment="1"/>
    <xf numFmtId="0" fontId="80" fillId="23" borderId="52" xfId="0" applyFont="1" applyFill="1" applyBorder="1" applyAlignment="1">
      <alignment horizontal="left"/>
    </xf>
    <xf numFmtId="0" fontId="80" fillId="23" borderId="53" xfId="0" applyFont="1" applyFill="1" applyBorder="1" applyAlignment="1">
      <alignment horizontal="right"/>
    </xf>
    <xf numFmtId="0" fontId="87" fillId="19" borderId="26" xfId="0" applyFont="1" applyFill="1" applyBorder="1" applyAlignment="1"/>
    <xf numFmtId="0" fontId="108" fillId="4" borderId="0" xfId="0" applyFont="1" applyFill="1" applyAlignment="1"/>
    <xf numFmtId="0" fontId="9" fillId="3" borderId="21" xfId="0" applyFont="1" applyFill="1" applyBorder="1" applyAlignment="1"/>
    <xf numFmtId="0" fontId="9" fillId="14" borderId="21" xfId="0" applyFont="1" applyFill="1" applyBorder="1" applyAlignment="1"/>
    <xf numFmtId="0" fontId="9" fillId="14" borderId="61" xfId="0" applyFont="1" applyFill="1" applyBorder="1" applyAlignment="1"/>
    <xf numFmtId="0" fontId="111" fillId="0" borderId="0" xfId="0" applyFont="1" applyAlignment="1"/>
    <xf numFmtId="0" fontId="1" fillId="0" borderId="0" xfId="0" applyFont="1" applyAlignment="1">
      <alignment horizontal="right"/>
    </xf>
    <xf numFmtId="0" fontId="112" fillId="0" borderId="0" xfId="0" applyFont="1" applyAlignment="1">
      <alignment horizontal="left"/>
    </xf>
    <xf numFmtId="0" fontId="22" fillId="4" borderId="8" xfId="0" applyFont="1" applyFill="1" applyBorder="1" applyAlignment="1"/>
    <xf numFmtId="0" fontId="46" fillId="0" borderId="17" xfId="0" applyFont="1" applyBorder="1" applyAlignment="1"/>
    <xf numFmtId="0" fontId="1" fillId="0" borderId="17" xfId="0" applyFont="1" applyBorder="1" applyAlignment="1"/>
    <xf numFmtId="0" fontId="1" fillId="0" borderId="6" xfId="0" applyFont="1" applyBorder="1" applyAlignment="1"/>
    <xf numFmtId="0" fontId="34" fillId="0" borderId="0" xfId="0" applyFont="1" applyAlignment="1"/>
    <xf numFmtId="0" fontId="113" fillId="0" borderId="0" xfId="0" applyFont="1" applyAlignment="1"/>
    <xf numFmtId="0" fontId="46" fillId="0" borderId="0" xfId="0" applyFont="1" applyAlignment="1"/>
    <xf numFmtId="0" fontId="1" fillId="0" borderId="5" xfId="0" applyFont="1" applyBorder="1" applyAlignment="1"/>
    <xf numFmtId="0" fontId="9" fillId="0" borderId="8" xfId="0" applyFont="1" applyBorder="1" applyAlignment="1">
      <alignment horizontal="right"/>
    </xf>
    <xf numFmtId="0" fontId="58" fillId="0" borderId="4" xfId="0" applyFont="1" applyBorder="1" applyAlignment="1"/>
    <xf numFmtId="0" fontId="9" fillId="0" borderId="4" xfId="0" applyFont="1" applyBorder="1" applyAlignment="1">
      <alignment horizontal="right"/>
    </xf>
    <xf numFmtId="0" fontId="14" fillId="0" borderId="16" xfId="0" applyFont="1" applyBorder="1" applyAlignment="1">
      <alignment horizontal="right"/>
    </xf>
    <xf numFmtId="0" fontId="9" fillId="0" borderId="26" xfId="0" applyFont="1" applyBorder="1" applyAlignment="1">
      <alignment horizontal="right"/>
    </xf>
    <xf numFmtId="0" fontId="58" fillId="0" borderId="2" xfId="0" applyFont="1" applyBorder="1" applyAlignment="1"/>
    <xf numFmtId="0" fontId="60" fillId="0" borderId="2" xfId="0" applyFont="1" applyBorder="1" applyAlignment="1"/>
    <xf numFmtId="0" fontId="9" fillId="4" borderId="5" xfId="0" applyFont="1" applyFill="1" applyBorder="1" applyAlignment="1">
      <alignment horizontal="right"/>
    </xf>
    <xf numFmtId="0" fontId="58" fillId="4" borderId="2" xfId="0" applyFont="1" applyFill="1" applyBorder="1" applyAlignment="1"/>
    <xf numFmtId="0" fontId="9" fillId="4" borderId="2" xfId="0" applyFont="1" applyFill="1" applyBorder="1" applyAlignment="1">
      <alignment horizontal="right"/>
    </xf>
    <xf numFmtId="0" fontId="9" fillId="4" borderId="2" xfId="0" applyFont="1" applyFill="1" applyBorder="1" applyAlignment="1"/>
    <xf numFmtId="0" fontId="9" fillId="4" borderId="0" xfId="0" applyFont="1" applyFill="1" applyAlignment="1"/>
    <xf numFmtId="0" fontId="114" fillId="4" borderId="2" xfId="0" applyFont="1" applyFill="1" applyBorder="1" applyAlignment="1"/>
    <xf numFmtId="0" fontId="70" fillId="4" borderId="2" xfId="0" applyFont="1" applyFill="1" applyBorder="1" applyAlignment="1">
      <alignment horizontal="right"/>
    </xf>
    <xf numFmtId="0" fontId="46" fillId="0" borderId="5" xfId="0" applyFont="1" applyBorder="1" applyAlignment="1">
      <alignment horizontal="right"/>
    </xf>
    <xf numFmtId="0" fontId="115" fillId="0" borderId="2" xfId="0" applyFont="1" applyBorder="1" applyAlignment="1"/>
    <xf numFmtId="0" fontId="46" fillId="0" borderId="2" xfId="0" applyFont="1" applyBorder="1" applyAlignment="1">
      <alignment horizontal="right"/>
    </xf>
    <xf numFmtId="0" fontId="114" fillId="0" borderId="2" xfId="0" applyFont="1" applyBorder="1" applyAlignment="1"/>
    <xf numFmtId="0" fontId="70" fillId="0" borderId="2" xfId="0" applyFont="1" applyBorder="1" applyAlignment="1">
      <alignment horizontal="right"/>
    </xf>
    <xf numFmtId="0" fontId="70" fillId="0" borderId="5" xfId="0" applyFont="1" applyBorder="1" applyAlignment="1">
      <alignment horizontal="right"/>
    </xf>
    <xf numFmtId="0" fontId="70" fillId="0" borderId="2" xfId="0" applyFont="1" applyBorder="1" applyAlignment="1"/>
    <xf numFmtId="0" fontId="70" fillId="0" borderId="0" xfId="0" applyFont="1" applyAlignment="1"/>
    <xf numFmtId="0" fontId="9" fillId="0" borderId="4" xfId="0" applyFont="1" applyBorder="1" applyAlignment="1"/>
    <xf numFmtId="0" fontId="34" fillId="0" borderId="2" xfId="0" applyFont="1" applyBorder="1" applyAlignment="1"/>
    <xf numFmtId="0" fontId="94" fillId="0" borderId="27" xfId="0" applyFont="1" applyBorder="1" applyAlignment="1"/>
    <xf numFmtId="0" fontId="36" fillId="0" borderId="16" xfId="0" applyFont="1" applyBorder="1"/>
    <xf numFmtId="0" fontId="9" fillId="0" borderId="0" xfId="0" applyFont="1" applyAlignment="1"/>
    <xf numFmtId="4" fontId="9" fillId="2" borderId="32" xfId="0" applyNumberFormat="1" applyFont="1" applyFill="1" applyBorder="1" applyAlignment="1">
      <alignment horizontal="left"/>
    </xf>
    <xf numFmtId="0" fontId="9" fillId="3" borderId="26" xfId="0" applyFont="1" applyFill="1" applyBorder="1" applyAlignment="1"/>
    <xf numFmtId="0" fontId="58" fillId="0" borderId="62" xfId="0" applyFont="1" applyBorder="1" applyAlignment="1">
      <alignment horizontal="left"/>
    </xf>
    <xf numFmtId="4" fontId="59" fillId="0" borderId="62" xfId="0" applyNumberFormat="1" applyFont="1" applyBorder="1" applyAlignment="1">
      <alignment horizontal="left"/>
    </xf>
    <xf numFmtId="4" fontId="9" fillId="0" borderId="62" xfId="0" applyNumberFormat="1" applyFont="1" applyBorder="1" applyAlignment="1">
      <alignment horizontal="left"/>
    </xf>
    <xf numFmtId="0" fontId="58" fillId="2" borderId="62" xfId="0" applyFont="1" applyFill="1" applyBorder="1" applyAlignment="1">
      <alignment horizontal="left"/>
    </xf>
    <xf numFmtId="4" fontId="59" fillId="2" borderId="62" xfId="0" applyNumberFormat="1" applyFont="1" applyFill="1" applyBorder="1" applyAlignment="1">
      <alignment horizontal="left"/>
    </xf>
    <xf numFmtId="0" fontId="62" fillId="0" borderId="62" xfId="0" applyFont="1" applyBorder="1" applyAlignment="1">
      <alignment horizontal="left"/>
    </xf>
    <xf numFmtId="4" fontId="0" fillId="0" borderId="62" xfId="0" applyNumberFormat="1" applyFont="1" applyBorder="1" applyAlignment="1">
      <alignment horizontal="left"/>
    </xf>
    <xf numFmtId="0" fontId="9" fillId="21" borderId="62" xfId="0" applyFont="1" applyFill="1" applyBorder="1" applyAlignment="1"/>
    <xf numFmtId="4" fontId="59" fillId="21" borderId="62" xfId="0" applyNumberFormat="1" applyFont="1" applyFill="1" applyBorder="1" applyAlignment="1">
      <alignment horizontal="left"/>
    </xf>
    <xf numFmtId="0" fontId="9" fillId="2" borderId="62" xfId="0" applyFont="1" applyFill="1" applyBorder="1" applyAlignment="1"/>
    <xf numFmtId="0" fontId="9" fillId="0" borderId="62" xfId="0" applyFont="1" applyBorder="1" applyAlignment="1"/>
    <xf numFmtId="4" fontId="64" fillId="2" borderId="62" xfId="0" applyNumberFormat="1" applyFont="1" applyFill="1" applyBorder="1" applyAlignment="1">
      <alignment horizontal="left"/>
    </xf>
    <xf numFmtId="4" fontId="64" fillId="0" borderId="62" xfId="0" applyNumberFormat="1" applyFont="1" applyBorder="1" applyAlignment="1">
      <alignment horizontal="left"/>
    </xf>
    <xf numFmtId="0" fontId="67" fillId="2" borderId="62" xfId="0" applyFont="1" applyFill="1" applyBorder="1" applyAlignment="1"/>
    <xf numFmtId="4" fontId="68" fillId="2" borderId="62" xfId="0" applyNumberFormat="1" applyFont="1" applyFill="1" applyBorder="1" applyAlignment="1">
      <alignment horizontal="left"/>
    </xf>
    <xf numFmtId="4" fontId="70" fillId="0" borderId="62" xfId="0" applyNumberFormat="1" applyFont="1" applyBorder="1" applyAlignment="1">
      <alignment horizontal="left"/>
    </xf>
    <xf numFmtId="4" fontId="46" fillId="2" borderId="62" xfId="0" applyNumberFormat="1" applyFont="1" applyFill="1" applyBorder="1" applyAlignment="1">
      <alignment horizontal="right"/>
    </xf>
    <xf numFmtId="0" fontId="1" fillId="2" borderId="62" xfId="0" applyFont="1" applyFill="1" applyBorder="1" applyAlignment="1"/>
    <xf numFmtId="4" fontId="71" fillId="2" borderId="62" xfId="0" applyNumberFormat="1" applyFont="1" applyFill="1" applyBorder="1" applyAlignment="1">
      <alignment horizontal="left"/>
    </xf>
    <xf numFmtId="4" fontId="0" fillId="4" borderId="62" xfId="0" applyNumberFormat="1" applyFont="1" applyFill="1" applyBorder="1" applyAlignment="1">
      <alignment horizontal="left"/>
    </xf>
    <xf numFmtId="0" fontId="17" fillId="2" borderId="62" xfId="0" applyFont="1" applyFill="1" applyBorder="1" applyAlignment="1"/>
    <xf numFmtId="4" fontId="9" fillId="0" borderId="62" xfId="0" applyNumberFormat="1" applyFont="1" applyBorder="1" applyAlignment="1">
      <alignment horizontal="right"/>
    </xf>
    <xf numFmtId="0" fontId="9" fillId="2" borderId="62" xfId="0" applyFont="1" applyFill="1" applyBorder="1" applyAlignment="1">
      <alignment horizontal="left"/>
    </xf>
    <xf numFmtId="4" fontId="64" fillId="2" borderId="62" xfId="0" applyNumberFormat="1" applyFont="1" applyFill="1" applyBorder="1" applyAlignment="1">
      <alignment horizontal="center"/>
    </xf>
    <xf numFmtId="4" fontId="43" fillId="2" borderId="62" xfId="0" applyNumberFormat="1" applyFont="1" applyFill="1" applyBorder="1" applyAlignment="1">
      <alignment horizontal="right"/>
    </xf>
    <xf numFmtId="4" fontId="64" fillId="0" borderId="62" xfId="0" applyNumberFormat="1" applyFont="1" applyBorder="1" applyAlignment="1">
      <alignment horizontal="center"/>
    </xf>
    <xf numFmtId="4" fontId="43" fillId="0" borderId="62" xfId="0" applyNumberFormat="1" applyFont="1" applyBorder="1" applyAlignment="1">
      <alignment horizontal="right"/>
    </xf>
    <xf numFmtId="0" fontId="9" fillId="0" borderId="62" xfId="0" applyFont="1" applyBorder="1" applyAlignment="1">
      <alignment horizontal="left"/>
    </xf>
    <xf numFmtId="4" fontId="74" fillId="2" borderId="62" xfId="0" applyNumberFormat="1" applyFont="1" applyFill="1" applyBorder="1" applyAlignment="1"/>
    <xf numFmtId="4" fontId="59" fillId="2" borderId="62" xfId="0" applyNumberFormat="1" applyFont="1" applyFill="1" applyBorder="1" applyAlignment="1"/>
    <xf numFmtId="4" fontId="75" fillId="2" borderId="62" xfId="0" applyNumberFormat="1" applyFont="1" applyFill="1" applyBorder="1" applyAlignment="1">
      <alignment horizontal="right"/>
    </xf>
    <xf numFmtId="0" fontId="9" fillId="0" borderId="62" xfId="0" applyFont="1" applyBorder="1" applyAlignment="1">
      <alignment horizontal="right"/>
    </xf>
    <xf numFmtId="0" fontId="17" fillId="0" borderId="62" xfId="0" applyFont="1" applyBorder="1" applyAlignment="1"/>
    <xf numFmtId="0" fontId="73" fillId="0" borderId="62" xfId="0" applyFont="1" applyBorder="1" applyAlignment="1">
      <alignment horizontal="left"/>
    </xf>
    <xf numFmtId="2" fontId="78" fillId="0" borderId="62" xfId="0" applyNumberFormat="1" applyFont="1" applyBorder="1" applyAlignment="1">
      <alignment horizontal="left"/>
    </xf>
    <xf numFmtId="0" fontId="2" fillId="22" borderId="62" xfId="0" applyFont="1" applyFill="1" applyBorder="1" applyAlignment="1"/>
    <xf numFmtId="4" fontId="80" fillId="23" borderId="62" xfId="0" applyNumberFormat="1" applyFont="1" applyFill="1" applyBorder="1" applyAlignment="1">
      <alignment horizontal="left"/>
    </xf>
    <xf numFmtId="10" fontId="80" fillId="23" borderId="62" xfId="0" applyNumberFormat="1" applyFont="1" applyFill="1" applyBorder="1" applyAlignment="1">
      <alignment horizontal="right"/>
    </xf>
    <xf numFmtId="0" fontId="2" fillId="24" borderId="62" xfId="0" applyFont="1" applyFill="1" applyBorder="1" applyAlignment="1"/>
    <xf numFmtId="4" fontId="80" fillId="24" borderId="62" xfId="0" applyNumberFormat="1" applyFont="1" applyFill="1" applyBorder="1" applyAlignment="1">
      <alignment horizontal="left"/>
    </xf>
    <xf numFmtId="10" fontId="80" fillId="24" borderId="62" xfId="0" applyNumberFormat="1" applyFont="1" applyFill="1" applyBorder="1" applyAlignment="1">
      <alignment horizontal="right"/>
    </xf>
    <xf numFmtId="4" fontId="1" fillId="0" borderId="62" xfId="0" applyNumberFormat="1" applyFont="1" applyBorder="1" applyAlignment="1"/>
    <xf numFmtId="4" fontId="82" fillId="0" borderId="62" xfId="0" applyNumberFormat="1" applyFont="1" applyBorder="1" applyAlignment="1">
      <alignment horizontal="right"/>
    </xf>
    <xf numFmtId="4" fontId="83" fillId="0" borderId="62" xfId="0" applyNumberFormat="1" applyFont="1" applyBorder="1" applyAlignment="1">
      <alignment horizontal="left"/>
    </xf>
    <xf numFmtId="4" fontId="9" fillId="0" borderId="62" xfId="0" applyNumberFormat="1" applyFont="1" applyBorder="1" applyAlignment="1"/>
    <xf numFmtId="4" fontId="1" fillId="0" borderId="62" xfId="0" applyNumberFormat="1" applyFont="1" applyBorder="1" applyAlignment="1">
      <alignment horizontal="right"/>
    </xf>
    <xf numFmtId="4" fontId="84" fillId="0" borderId="62" xfId="0" applyNumberFormat="1" applyFont="1" applyBorder="1" applyAlignment="1">
      <alignment horizontal="right"/>
    </xf>
    <xf numFmtId="4" fontId="85" fillId="0" borderId="62" xfId="0" applyNumberFormat="1" applyFont="1" applyBorder="1" applyAlignment="1">
      <alignment horizontal="left"/>
    </xf>
    <xf numFmtId="4" fontId="2" fillId="0" borderId="62" xfId="0" applyNumberFormat="1" applyFont="1" applyBorder="1" applyAlignment="1"/>
    <xf numFmtId="4" fontId="86" fillId="0" borderId="62" xfId="0" applyNumberFormat="1" applyFont="1" applyBorder="1" applyAlignment="1">
      <alignment horizontal="left"/>
    </xf>
    <xf numFmtId="4" fontId="88" fillId="19" borderId="62" xfId="0" applyNumberFormat="1" applyFont="1" applyFill="1" applyBorder="1" applyAlignment="1">
      <alignment horizontal="left"/>
    </xf>
    <xf numFmtId="164" fontId="89" fillId="2" borderId="62" xfId="0" applyNumberFormat="1" applyFont="1" applyFill="1" applyBorder="1" applyAlignment="1">
      <alignment horizontal="center"/>
    </xf>
    <xf numFmtId="9" fontId="89" fillId="2" borderId="62" xfId="0" applyNumberFormat="1" applyFont="1" applyFill="1" applyBorder="1" applyAlignment="1">
      <alignment horizontal="center"/>
    </xf>
    <xf numFmtId="4" fontId="9" fillId="3" borderId="0" xfId="0" applyNumberFormat="1" applyFont="1" applyFill="1" applyBorder="1" applyAlignment="1"/>
    <xf numFmtId="0" fontId="9" fillId="2" borderId="63" xfId="0" applyFont="1" applyFill="1" applyBorder="1" applyAlignment="1">
      <alignment horizontal="right"/>
    </xf>
    <xf numFmtId="0" fontId="2" fillId="2" borderId="63" xfId="0" applyFont="1" applyFill="1" applyBorder="1" applyAlignment="1">
      <alignment horizontal="right"/>
    </xf>
    <xf numFmtId="0" fontId="9" fillId="2" borderId="63" xfId="0" applyFont="1" applyFill="1" applyBorder="1" applyAlignment="1"/>
    <xf numFmtId="4" fontId="9" fillId="2" borderId="63" xfId="0" applyNumberFormat="1" applyFont="1" applyFill="1" applyBorder="1" applyAlignment="1">
      <alignment horizontal="left"/>
    </xf>
    <xf numFmtId="4" fontId="9" fillId="2" borderId="63" xfId="0" applyNumberFormat="1" applyFont="1" applyFill="1" applyBorder="1" applyAlignment="1"/>
    <xf numFmtId="0" fontId="9" fillId="0" borderId="63" xfId="0" applyFont="1" applyBorder="1" applyAlignment="1">
      <alignment horizontal="right"/>
    </xf>
    <xf numFmtId="9" fontId="9" fillId="0" borderId="63" xfId="0" applyNumberFormat="1" applyFont="1" applyBorder="1" applyAlignment="1">
      <alignment horizontal="right"/>
    </xf>
    <xf numFmtId="0" fontId="9" fillId="0" borderId="63" xfId="0" applyFont="1" applyBorder="1" applyAlignment="1"/>
    <xf numFmtId="4" fontId="9" fillId="0" borderId="63" xfId="0" applyNumberFormat="1" applyFont="1" applyBorder="1" applyAlignment="1">
      <alignment horizontal="left"/>
    </xf>
    <xf numFmtId="4" fontId="9" fillId="0" borderId="63" xfId="0" applyNumberFormat="1" applyFont="1" applyBorder="1" applyAlignment="1"/>
    <xf numFmtId="0" fontId="17" fillId="2" borderId="63" xfId="0" applyFont="1" applyFill="1" applyBorder="1" applyAlignment="1">
      <alignment horizontal="right"/>
    </xf>
    <xf numFmtId="0" fontId="9" fillId="2" borderId="63" xfId="0" applyFont="1" applyFill="1" applyBorder="1" applyAlignment="1">
      <alignment horizontal="left"/>
    </xf>
    <xf numFmtId="9" fontId="9" fillId="2" borderId="63" xfId="0" applyNumberFormat="1" applyFont="1" applyFill="1" applyBorder="1" applyAlignment="1">
      <alignment horizontal="right"/>
    </xf>
    <xf numFmtId="0" fontId="12" fillId="2" borderId="63" xfId="0" applyFont="1" applyFill="1" applyBorder="1" applyAlignment="1">
      <alignment horizontal="right"/>
    </xf>
    <xf numFmtId="4" fontId="70" fillId="0" borderId="63" xfId="0" applyNumberFormat="1" applyFont="1" applyBorder="1" applyAlignment="1">
      <alignment horizontal="left"/>
    </xf>
    <xf numFmtId="0" fontId="17" fillId="2" borderId="63" xfId="0" applyFont="1" applyFill="1" applyBorder="1" applyAlignment="1"/>
    <xf numFmtId="0" fontId="9" fillId="21" borderId="63" xfId="0" applyFont="1" applyFill="1" applyBorder="1" applyAlignment="1">
      <alignment horizontal="right"/>
    </xf>
    <xf numFmtId="0" fontId="6" fillId="21" borderId="63" xfId="0" applyFont="1" applyFill="1" applyBorder="1" applyAlignment="1">
      <alignment horizontal="right"/>
    </xf>
    <xf numFmtId="0" fontId="62" fillId="8" borderId="63" xfId="0" applyFont="1" applyFill="1" applyBorder="1" applyAlignment="1"/>
    <xf numFmtId="4" fontId="2" fillId="21" borderId="63" xfId="0" applyNumberFormat="1" applyFont="1" applyFill="1" applyBorder="1" applyAlignment="1">
      <alignment horizontal="right"/>
    </xf>
    <xf numFmtId="0" fontId="7" fillId="0" borderId="63" xfId="0" applyFont="1" applyBorder="1" applyAlignment="1"/>
    <xf numFmtId="0" fontId="2" fillId="0" borderId="63" xfId="0" applyFont="1" applyBorder="1" applyAlignment="1"/>
    <xf numFmtId="4" fontId="2" fillId="0" borderId="63" xfId="0" applyNumberFormat="1" applyFont="1" applyBorder="1" applyAlignment="1">
      <alignment horizontal="right"/>
    </xf>
    <xf numFmtId="0" fontId="1" fillId="0" borderId="63" xfId="0" applyFont="1" applyBorder="1" applyAlignment="1">
      <alignment horizontal="right"/>
    </xf>
    <xf numFmtId="4" fontId="6" fillId="21" borderId="63" xfId="0" applyNumberFormat="1" applyFont="1" applyFill="1" applyBorder="1" applyAlignment="1">
      <alignment horizontal="right"/>
    </xf>
    <xf numFmtId="0" fontId="17" fillId="0" borderId="63" xfId="0" applyFont="1" applyBorder="1" applyAlignment="1">
      <alignment horizontal="right"/>
    </xf>
    <xf numFmtId="4" fontId="9" fillId="0" borderId="63" xfId="0" applyNumberFormat="1" applyFont="1" applyBorder="1" applyAlignment="1">
      <alignment horizontal="right"/>
    </xf>
    <xf numFmtId="0" fontId="9" fillId="4" borderId="63" xfId="0" applyFont="1" applyFill="1" applyBorder="1" applyAlignment="1">
      <alignment horizontal="right"/>
    </xf>
    <xf numFmtId="0" fontId="9" fillId="4" borderId="63" xfId="0" applyFont="1" applyFill="1" applyBorder="1" applyAlignment="1"/>
    <xf numFmtId="4" fontId="9" fillId="4" borderId="63" xfId="0" applyNumberFormat="1" applyFont="1" applyFill="1" applyBorder="1" applyAlignment="1">
      <alignment horizontal="left"/>
    </xf>
    <xf numFmtId="4" fontId="3" fillId="0" borderId="63" xfId="0" applyNumberFormat="1" applyFont="1" applyBorder="1" applyAlignment="1"/>
    <xf numFmtId="0" fontId="1" fillId="0" borderId="63" xfId="0" applyFont="1" applyBorder="1" applyAlignment="1"/>
    <xf numFmtId="4" fontId="9" fillId="2" borderId="63" xfId="0" applyNumberFormat="1" applyFont="1" applyFill="1" applyBorder="1" applyAlignment="1">
      <alignment horizontal="right"/>
    </xf>
    <xf numFmtId="0" fontId="9" fillId="0" borderId="63" xfId="0" applyFont="1" applyBorder="1" applyAlignment="1">
      <alignment horizontal="center"/>
    </xf>
    <xf numFmtId="0" fontId="9" fillId="0" borderId="63" xfId="0" applyFont="1" applyBorder="1" applyAlignment="1">
      <alignment horizontal="left"/>
    </xf>
    <xf numFmtId="0" fontId="9" fillId="2" borderId="63" xfId="0" applyFont="1" applyFill="1" applyBorder="1" applyAlignment="1">
      <alignment horizontal="center"/>
    </xf>
    <xf numFmtId="0" fontId="17" fillId="0" borderId="63" xfId="0" applyFont="1" applyBorder="1" applyAlignment="1"/>
    <xf numFmtId="4" fontId="1" fillId="0" borderId="63" xfId="0" applyNumberFormat="1" applyFont="1" applyBorder="1" applyAlignment="1"/>
    <xf numFmtId="4" fontId="1" fillId="0" borderId="63" xfId="0" applyNumberFormat="1" applyFont="1" applyBorder="1" applyAlignment="1">
      <alignment horizontal="right"/>
    </xf>
    <xf numFmtId="4" fontId="17" fillId="0" borderId="63" xfId="0" applyNumberFormat="1" applyFont="1" applyBorder="1" applyAlignment="1"/>
    <xf numFmtId="0" fontId="102" fillId="0" borderId="63" xfId="0" applyFont="1" applyBorder="1" applyAlignment="1">
      <alignment horizontal="center"/>
    </xf>
    <xf numFmtId="0" fontId="87" fillId="0" borderId="63" xfId="0" applyFont="1" applyBorder="1" applyAlignment="1"/>
    <xf numFmtId="0" fontId="2" fillId="22" borderId="63" xfId="0" applyFont="1" applyFill="1" applyBorder="1" applyAlignment="1"/>
    <xf numFmtId="4" fontId="80" fillId="23" borderId="63" xfId="0" applyNumberFormat="1" applyFont="1" applyFill="1" applyBorder="1" applyAlignment="1">
      <alignment horizontal="left"/>
    </xf>
    <xf numFmtId="10" fontId="80" fillId="23" borderId="63" xfId="0" applyNumberFormat="1" applyFont="1" applyFill="1" applyBorder="1" applyAlignment="1">
      <alignment horizontal="right"/>
    </xf>
    <xf numFmtId="0" fontId="2" fillId="24" borderId="63" xfId="0" applyFont="1" applyFill="1" applyBorder="1" applyAlignment="1"/>
    <xf numFmtId="4" fontId="80" fillId="24" borderId="63" xfId="0" applyNumberFormat="1" applyFont="1" applyFill="1" applyBorder="1" applyAlignment="1">
      <alignment horizontal="left"/>
    </xf>
    <xf numFmtId="10" fontId="80" fillId="24" borderId="63" xfId="0" applyNumberFormat="1" applyFont="1" applyFill="1" applyBorder="1" applyAlignment="1">
      <alignment horizontal="right"/>
    </xf>
    <xf numFmtId="0" fontId="80" fillId="0" borderId="63" xfId="0" applyFont="1" applyBorder="1" applyAlignment="1">
      <alignment horizontal="right"/>
    </xf>
    <xf numFmtId="0" fontId="73" fillId="0" borderId="63" xfId="0" applyFont="1" applyBorder="1" applyAlignment="1">
      <alignment horizontal="left"/>
    </xf>
    <xf numFmtId="4" fontId="82" fillId="0" borderId="63" xfId="0" applyNumberFormat="1" applyFont="1" applyBorder="1" applyAlignment="1">
      <alignment horizontal="right"/>
    </xf>
    <xf numFmtId="4" fontId="83" fillId="0" borderId="63" xfId="0" applyNumberFormat="1" applyFont="1" applyBorder="1" applyAlignment="1">
      <alignment horizontal="left"/>
    </xf>
    <xf numFmtId="4" fontId="84" fillId="0" borderId="63" xfId="0" applyNumberFormat="1" applyFont="1" applyBorder="1" applyAlignment="1">
      <alignment horizontal="right"/>
    </xf>
    <xf numFmtId="4" fontId="85" fillId="0" borderId="63" xfId="0" applyNumberFormat="1" applyFont="1" applyBorder="1" applyAlignment="1">
      <alignment horizontal="left"/>
    </xf>
    <xf numFmtId="4" fontId="2" fillId="0" borderId="63" xfId="0" applyNumberFormat="1" applyFont="1" applyBorder="1" applyAlignment="1"/>
    <xf numFmtId="4" fontId="86" fillId="0" borderId="63" xfId="0" applyNumberFormat="1" applyFont="1" applyBorder="1" applyAlignment="1">
      <alignment horizontal="left"/>
    </xf>
    <xf numFmtId="0" fontId="87" fillId="19" borderId="63" xfId="0" applyFont="1" applyFill="1" applyBorder="1" applyAlignment="1"/>
    <xf numFmtId="4" fontId="87" fillId="19" borderId="63" xfId="0" applyNumberFormat="1" applyFont="1" applyFill="1" applyBorder="1" applyAlignment="1"/>
    <xf numFmtId="4" fontId="104" fillId="19" borderId="63" xfId="0" applyNumberFormat="1" applyFont="1" applyFill="1" applyBorder="1" applyAlignment="1">
      <alignment horizontal="left"/>
    </xf>
    <xf numFmtId="0" fontId="1" fillId="3" borderId="26" xfId="0" applyFont="1" applyFill="1" applyBorder="1" applyAlignment="1"/>
    <xf numFmtId="0" fontId="2" fillId="0" borderId="63" xfId="0" applyFont="1" applyBorder="1" applyAlignment="1">
      <alignment horizontal="right"/>
    </xf>
    <xf numFmtId="4" fontId="9" fillId="21" borderId="63" xfId="0" applyNumberFormat="1" applyFont="1" applyFill="1" applyBorder="1" applyAlignment="1">
      <alignment horizontal="left"/>
    </xf>
    <xf numFmtId="0" fontId="7" fillId="21" borderId="63" xfId="0" applyFont="1" applyFill="1" applyBorder="1" applyAlignment="1"/>
    <xf numFmtId="0" fontId="1" fillId="2" borderId="63" xfId="0" applyFont="1" applyFill="1" applyBorder="1" applyAlignment="1">
      <alignment horizontal="right"/>
    </xf>
    <xf numFmtId="4" fontId="2" fillId="0" borderId="63" xfId="0" applyNumberFormat="1" applyFont="1" applyBorder="1" applyAlignment="1">
      <alignment horizontal="center"/>
    </xf>
    <xf numFmtId="4" fontId="7" fillId="21" borderId="63" xfId="0" applyNumberFormat="1" applyFont="1" applyFill="1" applyBorder="1" applyAlignment="1">
      <alignment horizontal="right"/>
    </xf>
    <xf numFmtId="4" fontId="3" fillId="2" borderId="63" xfId="0" applyNumberFormat="1" applyFont="1" applyFill="1" applyBorder="1" applyAlignment="1"/>
    <xf numFmtId="0" fontId="17" fillId="4" borderId="63" xfId="0" applyFont="1" applyFill="1" applyBorder="1" applyAlignment="1">
      <alignment horizontal="right"/>
    </xf>
    <xf numFmtId="4" fontId="3" fillId="2" borderId="63" xfId="0" applyNumberFormat="1" applyFont="1" applyFill="1" applyBorder="1" applyAlignment="1">
      <alignment horizontal="right"/>
    </xf>
    <xf numFmtId="0" fontId="0" fillId="0" borderId="63" xfId="0" applyFont="1" applyBorder="1" applyAlignment="1"/>
    <xf numFmtId="4" fontId="107" fillId="0" borderId="63" xfId="0" applyNumberFormat="1" applyFont="1" applyBorder="1" applyAlignment="1">
      <alignment horizontal="left"/>
    </xf>
    <xf numFmtId="0" fontId="1" fillId="2" borderId="63" xfId="0" applyFont="1" applyFill="1" applyBorder="1" applyAlignment="1"/>
    <xf numFmtId="10" fontId="7" fillId="21" borderId="63" xfId="0" applyNumberFormat="1" applyFont="1" applyFill="1" applyBorder="1" applyAlignment="1">
      <alignment horizontal="right"/>
    </xf>
    <xf numFmtId="9" fontId="7" fillId="21" borderId="63" xfId="0" applyNumberFormat="1" applyFont="1" applyFill="1" applyBorder="1" applyAlignment="1">
      <alignment horizontal="right"/>
    </xf>
    <xf numFmtId="4" fontId="1" fillId="2" borderId="63" xfId="0" applyNumberFormat="1" applyFont="1" applyFill="1" applyBorder="1" applyAlignment="1"/>
    <xf numFmtId="4" fontId="1" fillId="2" borderId="63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3" fillId="0" borderId="0" xfId="0" applyFont="1" applyBorder="1" applyAlignment="1">
      <alignment horizontal="right"/>
    </xf>
    <xf numFmtId="9" fontId="17" fillId="0" borderId="0" xfId="0" applyNumberFormat="1" applyFont="1" applyBorder="1" applyAlignment="1">
      <alignment horizontal="center"/>
    </xf>
    <xf numFmtId="0" fontId="7" fillId="19" borderId="0" xfId="0" applyFont="1" applyFill="1" applyBorder="1" applyAlignment="1">
      <alignment horizontal="center"/>
    </xf>
    <xf numFmtId="0" fontId="9" fillId="14" borderId="0" xfId="0" applyFont="1" applyFill="1" applyBorder="1" applyAlignment="1"/>
    <xf numFmtId="4" fontId="123" fillId="0" borderId="63" xfId="0" applyNumberFormat="1" applyFont="1" applyBorder="1" applyAlignment="1">
      <alignment horizontal="center"/>
    </xf>
    <xf numFmtId="4" fontId="123" fillId="0" borderId="0" xfId="0" applyNumberFormat="1" applyFont="1" applyAlignment="1">
      <alignment horizontal="center"/>
    </xf>
    <xf numFmtId="0" fontId="1" fillId="26" borderId="6" xfId="0" applyFont="1" applyFill="1" applyBorder="1" applyAlignment="1"/>
    <xf numFmtId="4" fontId="2" fillId="26" borderId="32" xfId="0" applyNumberFormat="1" applyFont="1" applyFill="1" applyBorder="1"/>
    <xf numFmtId="0" fontId="9" fillId="26" borderId="0" xfId="0" applyFont="1" applyFill="1" applyAlignment="1"/>
    <xf numFmtId="0" fontId="29" fillId="26" borderId="0" xfId="0" applyFont="1" applyFill="1" applyAlignment="1"/>
    <xf numFmtId="0" fontId="1" fillId="26" borderId="16" xfId="0" applyFont="1" applyFill="1" applyBorder="1" applyAlignment="1"/>
    <xf numFmtId="0" fontId="9" fillId="26" borderId="62" xfId="0" applyFont="1" applyFill="1" applyBorder="1" applyAlignment="1"/>
    <xf numFmtId="0" fontId="9" fillId="29" borderId="0" xfId="0" applyFont="1" applyFill="1" applyAlignment="1"/>
    <xf numFmtId="0" fontId="0" fillId="26" borderId="0" xfId="0" applyFont="1" applyFill="1" applyAlignment="1"/>
    <xf numFmtId="0" fontId="7" fillId="26" borderId="0" xfId="0" applyFont="1" applyFill="1" applyBorder="1" applyAlignment="1">
      <alignment horizontal="center"/>
    </xf>
    <xf numFmtId="9" fontId="17" fillId="26" borderId="0" xfId="0" applyNumberFormat="1" applyFont="1" applyFill="1" applyAlignment="1">
      <alignment horizontal="center"/>
    </xf>
    <xf numFmtId="0" fontId="17" fillId="26" borderId="0" xfId="0" applyFont="1" applyFill="1" applyBorder="1" applyAlignment="1">
      <alignment horizontal="center"/>
    </xf>
    <xf numFmtId="0" fontId="7" fillId="26" borderId="0" xfId="0" applyFont="1" applyFill="1" applyAlignment="1">
      <alignment horizontal="center"/>
    </xf>
    <xf numFmtId="0" fontId="53" fillId="26" borderId="0" xfId="0" applyFont="1" applyFill="1" applyBorder="1" applyAlignment="1">
      <alignment horizontal="right"/>
    </xf>
    <xf numFmtId="0" fontId="53" fillId="26" borderId="0" xfId="0" applyFont="1" applyFill="1" applyAlignment="1"/>
    <xf numFmtId="0" fontId="9" fillId="30" borderId="0" xfId="0" applyFont="1" applyFill="1" applyAlignment="1"/>
    <xf numFmtId="0" fontId="17" fillId="26" borderId="0" xfId="0" applyFont="1" applyFill="1" applyBorder="1" applyAlignment="1"/>
    <xf numFmtId="0" fontId="17" fillId="26" borderId="0" xfId="0" applyFont="1" applyFill="1" applyAlignment="1"/>
    <xf numFmtId="0" fontId="87" fillId="26" borderId="0" xfId="0" applyFont="1" applyFill="1" applyAlignment="1"/>
    <xf numFmtId="0" fontId="101" fillId="31" borderId="0" xfId="0" applyFont="1" applyFill="1" applyAlignment="1"/>
    <xf numFmtId="0" fontId="9" fillId="27" borderId="63" xfId="0" applyFont="1" applyFill="1" applyBorder="1" applyAlignment="1"/>
    <xf numFmtId="0" fontId="9" fillId="26" borderId="63" xfId="0" applyFont="1" applyFill="1" applyBorder="1" applyAlignment="1"/>
    <xf numFmtId="0" fontId="9" fillId="27" borderId="63" xfId="0" applyFont="1" applyFill="1" applyBorder="1" applyAlignment="1">
      <alignment horizontal="left"/>
    </xf>
    <xf numFmtId="0" fontId="62" fillId="32" borderId="63" xfId="0" applyFont="1" applyFill="1" applyBorder="1" applyAlignment="1"/>
    <xf numFmtId="0" fontId="2" fillId="26" borderId="63" xfId="0" applyFont="1" applyFill="1" applyBorder="1" applyAlignment="1"/>
    <xf numFmtId="0" fontId="9" fillId="28" borderId="63" xfId="0" applyFont="1" applyFill="1" applyBorder="1" applyAlignment="1"/>
    <xf numFmtId="0" fontId="17" fillId="27" borderId="63" xfId="0" applyFont="1" applyFill="1" applyBorder="1" applyAlignment="1"/>
    <xf numFmtId="0" fontId="9" fillId="26" borderId="63" xfId="0" applyFont="1" applyFill="1" applyBorder="1" applyAlignment="1">
      <alignment horizontal="left"/>
    </xf>
    <xf numFmtId="0" fontId="17" fillId="26" borderId="63" xfId="0" applyFont="1" applyFill="1" applyBorder="1" applyAlignment="1"/>
    <xf numFmtId="0" fontId="87" fillId="26" borderId="63" xfId="0" applyFont="1" applyFill="1" applyBorder="1" applyAlignment="1"/>
    <xf numFmtId="9" fontId="17" fillId="26" borderId="0" xfId="0" applyNumberFormat="1" applyFont="1" applyFill="1" applyBorder="1" applyAlignment="1">
      <alignment horizontal="center"/>
    </xf>
    <xf numFmtId="0" fontId="17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53" fillId="26" borderId="0" xfId="0" applyFont="1" applyFill="1" applyAlignment="1">
      <alignment horizontal="right"/>
    </xf>
    <xf numFmtId="0" fontId="55" fillId="31" borderId="0" xfId="0" applyFont="1" applyFill="1" applyAlignment="1"/>
    <xf numFmtId="0" fontId="29" fillId="30" borderId="0" xfId="0" applyFont="1" applyFill="1" applyAlignment="1"/>
    <xf numFmtId="0" fontId="9" fillId="26" borderId="32" xfId="0" applyFont="1" applyFill="1" applyBorder="1" applyAlignment="1"/>
    <xf numFmtId="0" fontId="9" fillId="27" borderId="32" xfId="0" applyFont="1" applyFill="1" applyBorder="1" applyAlignment="1"/>
    <xf numFmtId="0" fontId="62" fillId="32" borderId="32" xfId="0" applyFont="1" applyFill="1" applyBorder="1" applyAlignment="1"/>
    <xf numFmtId="0" fontId="17" fillId="27" borderId="32" xfId="0" applyFont="1" applyFill="1" applyBorder="1" applyAlignment="1">
      <alignment horizontal="right"/>
    </xf>
    <xf numFmtId="0" fontId="9" fillId="28" borderId="32" xfId="0" applyFont="1" applyFill="1" applyBorder="1" applyAlignment="1"/>
    <xf numFmtId="0" fontId="17" fillId="26" borderId="32" xfId="0" applyFont="1" applyFill="1" applyBorder="1" applyAlignment="1"/>
    <xf numFmtId="0" fontId="9" fillId="26" borderId="32" xfId="0" applyFont="1" applyFill="1" applyBorder="1" applyAlignment="1">
      <alignment horizontal="left"/>
    </xf>
    <xf numFmtId="0" fontId="9" fillId="27" borderId="32" xfId="0" applyFont="1" applyFill="1" applyBorder="1" applyAlignment="1">
      <alignment horizontal="left"/>
    </xf>
    <xf numFmtId="0" fontId="17" fillId="27" borderId="32" xfId="0" applyFont="1" applyFill="1" applyBorder="1" applyAlignment="1"/>
    <xf numFmtId="0" fontId="1" fillId="26" borderId="63" xfId="0" applyFont="1" applyFill="1" applyBorder="1" applyAlignment="1"/>
    <xf numFmtId="0" fontId="1" fillId="27" borderId="63" xfId="0" applyFont="1" applyFill="1" applyBorder="1" applyAlignment="1">
      <alignment horizontal="right"/>
    </xf>
    <xf numFmtId="17" fontId="17" fillId="0" borderId="0" xfId="0" applyNumberFormat="1" applyFont="1" applyAlignment="1">
      <alignment horizontal="right"/>
    </xf>
    <xf numFmtId="0" fontId="125" fillId="0" borderId="64" xfId="0" applyFont="1" applyBorder="1" applyAlignment="1">
      <alignment horizontal="right" wrapText="1"/>
    </xf>
    <xf numFmtId="0" fontId="125" fillId="0" borderId="65" xfId="0" applyFont="1" applyBorder="1" applyAlignment="1">
      <alignment horizontal="right" wrapText="1"/>
    </xf>
    <xf numFmtId="0" fontId="125" fillId="0" borderId="66" xfId="0" applyFont="1" applyBorder="1" applyAlignment="1">
      <alignment horizontal="right" wrapText="1"/>
    </xf>
    <xf numFmtId="0" fontId="117" fillId="0" borderId="0" xfId="0" applyFont="1" applyAlignment="1"/>
    <xf numFmtId="168" fontId="9" fillId="0" borderId="0" xfId="2" applyNumberFormat="1" applyFont="1" applyAlignment="1"/>
    <xf numFmtId="0" fontId="117" fillId="13" borderId="0" xfId="0" applyFont="1" applyFill="1" applyAlignment="1"/>
    <xf numFmtId="0" fontId="124" fillId="0" borderId="67" xfId="0" applyFont="1" applyBorder="1" applyAlignment="1">
      <alignment horizontal="right" wrapText="1"/>
    </xf>
    <xf numFmtId="4" fontId="127" fillId="0" borderId="63" xfId="0" applyNumberFormat="1" applyFont="1" applyBorder="1" applyAlignment="1">
      <alignment horizontal="left"/>
    </xf>
    <xf numFmtId="4" fontId="119" fillId="0" borderId="32" xfId="0" applyNumberFormat="1" applyFont="1" applyBorder="1" applyAlignment="1">
      <alignment horizontal="left"/>
    </xf>
    <xf numFmtId="4" fontId="118" fillId="0" borderId="32" xfId="0" applyNumberFormat="1" applyFont="1" applyBorder="1" applyAlignment="1">
      <alignment horizontal="left"/>
    </xf>
    <xf numFmtId="17" fontId="121" fillId="0" borderId="0" xfId="0" applyNumberFormat="1" applyFont="1" applyAlignment="1">
      <alignment horizontal="center"/>
    </xf>
    <xf numFmtId="10" fontId="121" fillId="0" borderId="0" xfId="0" applyNumberFormat="1" applyFont="1" applyAlignment="1">
      <alignment horizontal="center"/>
    </xf>
    <xf numFmtId="168" fontId="121" fillId="21" borderId="63" xfId="0" applyNumberFormat="1" applyFont="1" applyFill="1" applyBorder="1" applyAlignment="1">
      <alignment horizontal="right"/>
    </xf>
    <xf numFmtId="4" fontId="9" fillId="2" borderId="32" xfId="0" applyNumberFormat="1" applyFont="1" applyFill="1" applyBorder="1" applyAlignment="1"/>
    <xf numFmtId="4" fontId="9" fillId="0" borderId="32" xfId="0" applyNumberFormat="1" applyFont="1" applyBorder="1" applyAlignment="1"/>
    <xf numFmtId="4" fontId="62" fillId="8" borderId="32" xfId="0" applyNumberFormat="1" applyFont="1" applyFill="1" applyBorder="1" applyAlignment="1"/>
    <xf numFmtId="4" fontId="17" fillId="2" borderId="32" xfId="0" applyNumberFormat="1" applyFont="1" applyFill="1" applyBorder="1" applyAlignment="1">
      <alignment horizontal="right"/>
    </xf>
    <xf numFmtId="4" fontId="9" fillId="4" borderId="32" xfId="0" applyNumberFormat="1" applyFont="1" applyFill="1" applyBorder="1" applyAlignment="1"/>
    <xf numFmtId="4" fontId="17" fillId="0" borderId="32" xfId="0" applyNumberFormat="1" applyFont="1" applyBorder="1" applyAlignment="1"/>
    <xf numFmtId="4" fontId="17" fillId="2" borderId="32" xfId="0" applyNumberFormat="1" applyFont="1" applyFill="1" applyBorder="1" applyAlignment="1"/>
    <xf numFmtId="1" fontId="17" fillId="0" borderId="63" xfId="0" applyNumberFormat="1" applyFont="1" applyBorder="1" applyAlignment="1">
      <alignment horizontal="right"/>
    </xf>
    <xf numFmtId="166" fontId="130" fillId="5" borderId="0" xfId="0" applyNumberFormat="1" applyFont="1" applyFill="1" applyAlignment="1"/>
    <xf numFmtId="166" fontId="130" fillId="4" borderId="0" xfId="0" applyNumberFormat="1" applyFont="1" applyFill="1" applyAlignment="1"/>
    <xf numFmtId="166" fontId="120" fillId="4" borderId="0" xfId="0" applyNumberFormat="1" applyFont="1" applyFill="1" applyAlignment="1"/>
    <xf numFmtId="166" fontId="118" fillId="4" borderId="0" xfId="0" applyNumberFormat="1" applyFont="1" applyFill="1" applyAlignment="1"/>
    <xf numFmtId="0" fontId="131" fillId="0" borderId="0" xfId="0" applyFont="1" applyAlignment="1"/>
    <xf numFmtId="4" fontId="132" fillId="3" borderId="0" xfId="0" applyNumberFormat="1" applyFont="1" applyFill="1" applyAlignment="1">
      <alignment horizontal="right"/>
    </xf>
    <xf numFmtId="4" fontId="133" fillId="35" borderId="0" xfId="0" applyNumberFormat="1" applyFont="1" applyFill="1"/>
    <xf numFmtId="4" fontId="134" fillId="3" borderId="26" xfId="0" applyNumberFormat="1" applyFont="1" applyFill="1" applyBorder="1" applyAlignment="1"/>
    <xf numFmtId="4" fontId="132" fillId="3" borderId="26" xfId="0" applyNumberFormat="1" applyFont="1" applyFill="1" applyBorder="1" applyAlignment="1"/>
    <xf numFmtId="4" fontId="135" fillId="3" borderId="0" xfId="0" applyNumberFormat="1" applyFont="1" applyFill="1" applyAlignment="1">
      <alignment horizontal="right"/>
    </xf>
    <xf numFmtId="4" fontId="136" fillId="35" borderId="0" xfId="0" applyNumberFormat="1" applyFont="1" applyFill="1"/>
    <xf numFmtId="4" fontId="137" fillId="3" borderId="26" xfId="0" applyNumberFormat="1" applyFont="1" applyFill="1" applyBorder="1" applyAlignment="1"/>
    <xf numFmtId="4" fontId="135" fillId="3" borderId="26" xfId="0" applyNumberFormat="1" applyFont="1" applyFill="1" applyBorder="1" applyAlignment="1"/>
    <xf numFmtId="4" fontId="137" fillId="3" borderId="0" xfId="0" applyNumberFormat="1" applyFont="1" applyFill="1" applyAlignment="1">
      <alignment horizontal="right"/>
    </xf>
    <xf numFmtId="4" fontId="137" fillId="3" borderId="0" xfId="0" applyNumberFormat="1" applyFont="1" applyFill="1" applyAlignment="1"/>
    <xf numFmtId="4" fontId="136" fillId="35" borderId="0" xfId="0" applyNumberFormat="1" applyFont="1" applyFill="1" applyAlignment="1">
      <alignment horizontal="left"/>
    </xf>
    <xf numFmtId="17" fontId="128" fillId="2" borderId="0" xfId="0" applyNumberFormat="1" applyFont="1" applyFill="1" applyAlignment="1">
      <alignment horizontal="center"/>
    </xf>
    <xf numFmtId="168" fontId="128" fillId="2" borderId="0" xfId="0" applyNumberFormat="1" applyFont="1" applyFill="1" applyAlignment="1">
      <alignment horizontal="center"/>
    </xf>
    <xf numFmtId="0" fontId="130" fillId="0" borderId="0" xfId="0" applyFont="1" applyAlignment="1"/>
    <xf numFmtId="164" fontId="128" fillId="2" borderId="0" xfId="0" applyNumberFormat="1" applyFont="1" applyFill="1" applyAlignment="1">
      <alignment horizontal="center"/>
    </xf>
    <xf numFmtId="9" fontId="128" fillId="2" borderId="0" xfId="0" applyNumberFormat="1" applyFont="1" applyFill="1" applyAlignment="1">
      <alignment horizontal="center"/>
    </xf>
    <xf numFmtId="0" fontId="7" fillId="36" borderId="0" xfId="0" applyFont="1" applyFill="1" applyAlignment="1">
      <alignment horizontal="center"/>
    </xf>
    <xf numFmtId="0" fontId="130" fillId="26" borderId="0" xfId="0" applyFont="1" applyFill="1" applyAlignment="1"/>
    <xf numFmtId="0" fontId="9" fillId="26" borderId="1" xfId="0" applyFont="1" applyFill="1" applyBorder="1" applyAlignment="1"/>
    <xf numFmtId="4" fontId="119" fillId="0" borderId="49" xfId="0" applyNumberFormat="1" applyFont="1" applyBorder="1" applyAlignment="1">
      <alignment horizontal="left"/>
    </xf>
    <xf numFmtId="4" fontId="9" fillId="26" borderId="32" xfId="0" applyNumberFormat="1" applyFont="1" applyFill="1" applyBorder="1"/>
    <xf numFmtId="4" fontId="137" fillId="3" borderId="32" xfId="0" applyNumberFormat="1" applyFont="1" applyFill="1" applyBorder="1"/>
    <xf numFmtId="4" fontId="137" fillId="26" borderId="32" xfId="0" applyNumberFormat="1" applyFont="1" applyFill="1" applyBorder="1"/>
    <xf numFmtId="4" fontId="127" fillId="0" borderId="62" xfId="0" applyNumberFormat="1" applyFont="1" applyBorder="1" applyAlignment="1">
      <alignment horizontal="left"/>
    </xf>
    <xf numFmtId="4" fontId="127" fillId="0" borderId="2" xfId="0" applyNumberFormat="1" applyFont="1" applyBorder="1" applyAlignment="1">
      <alignment horizontal="left"/>
    </xf>
    <xf numFmtId="4" fontId="138" fillId="6" borderId="0" xfId="0" applyNumberFormat="1" applyFont="1" applyFill="1" applyAlignment="1">
      <alignment horizontal="left"/>
    </xf>
    <xf numFmtId="4" fontId="123" fillId="0" borderId="0" xfId="0" applyNumberFormat="1" applyFont="1" applyAlignment="1">
      <alignment horizontal="left"/>
    </xf>
    <xf numFmtId="0" fontId="139" fillId="0" borderId="32" xfId="0" applyFont="1" applyBorder="1"/>
    <xf numFmtId="2" fontId="9" fillId="0" borderId="32" xfId="0" applyNumberFormat="1" applyFont="1" applyBorder="1"/>
    <xf numFmtId="2" fontId="2" fillId="0" borderId="32" xfId="0" applyNumberFormat="1" applyFont="1" applyBorder="1"/>
    <xf numFmtId="4" fontId="124" fillId="4" borderId="62" xfId="0" quotePrefix="1" applyNumberFormat="1" applyFont="1" applyFill="1" applyBorder="1" applyAlignment="1">
      <alignment horizontal="left"/>
    </xf>
    <xf numFmtId="0" fontId="117" fillId="4" borderId="62" xfId="0" applyFont="1" applyFill="1" applyBorder="1" applyAlignment="1"/>
    <xf numFmtId="0" fontId="140" fillId="0" borderId="0" xfId="0" applyFont="1" applyAlignment="1"/>
    <xf numFmtId="0" fontId="140" fillId="26" borderId="0" xfId="0" applyFont="1" applyFill="1" applyAlignment="1"/>
    <xf numFmtId="0" fontId="128" fillId="3" borderId="0" xfId="0" applyFont="1" applyFill="1" applyAlignment="1">
      <alignment horizontal="center"/>
    </xf>
    <xf numFmtId="0" fontId="128" fillId="2" borderId="0" xfId="0" applyFont="1" applyFill="1" applyAlignment="1">
      <alignment horizontal="center"/>
    </xf>
    <xf numFmtId="164" fontId="130" fillId="20" borderId="0" xfId="0" applyNumberFormat="1" applyFont="1" applyFill="1" applyAlignment="1">
      <alignment horizontal="right"/>
    </xf>
    <xf numFmtId="0" fontId="128" fillId="20" borderId="0" xfId="0" applyFont="1" applyFill="1" applyAlignment="1">
      <alignment horizontal="center"/>
    </xf>
    <xf numFmtId="0" fontId="128" fillId="4" borderId="0" xfId="0" applyFont="1" applyFill="1" applyAlignment="1">
      <alignment horizontal="center"/>
    </xf>
    <xf numFmtId="0" fontId="128" fillId="5" borderId="0" xfId="0" applyFont="1" applyFill="1" applyAlignment="1">
      <alignment horizontal="center"/>
    </xf>
    <xf numFmtId="0" fontId="141" fillId="0" borderId="0" xfId="0" applyFont="1" applyAlignment="1"/>
    <xf numFmtId="0" fontId="142" fillId="0" borderId="0" xfId="0" applyFont="1" applyAlignment="1"/>
    <xf numFmtId="0" fontId="129" fillId="0" borderId="0" xfId="0" applyFont="1" applyAlignment="1"/>
    <xf numFmtId="17" fontId="121" fillId="2" borderId="0" xfId="0" applyNumberFormat="1" applyFont="1" applyFill="1" applyAlignment="1">
      <alignment horizontal="center"/>
    </xf>
    <xf numFmtId="168" fontId="121" fillId="2" borderId="0" xfId="0" applyNumberFormat="1" applyFont="1" applyFill="1" applyAlignment="1">
      <alignment horizontal="center"/>
    </xf>
    <xf numFmtId="164" fontId="121" fillId="2" borderId="0" xfId="0" applyNumberFormat="1" applyFont="1" applyFill="1" applyAlignment="1">
      <alignment horizontal="center"/>
    </xf>
    <xf numFmtId="9" fontId="121" fillId="2" borderId="0" xfId="0" applyNumberFormat="1" applyFont="1" applyFill="1" applyAlignment="1">
      <alignment horizontal="center"/>
    </xf>
    <xf numFmtId="0" fontId="121" fillId="3" borderId="0" xfId="0" applyFont="1" applyFill="1" applyAlignment="1">
      <alignment horizontal="center"/>
    </xf>
    <xf numFmtId="0" fontId="121" fillId="2" borderId="0" xfId="0" applyFont="1" applyFill="1" applyAlignment="1">
      <alignment horizontal="center"/>
    </xf>
    <xf numFmtId="164" fontId="120" fillId="20" borderId="0" xfId="0" applyNumberFormat="1" applyFont="1" applyFill="1" applyAlignment="1">
      <alignment horizontal="right"/>
    </xf>
    <xf numFmtId="0" fontId="121" fillId="20" borderId="0" xfId="0" applyFont="1" applyFill="1" applyAlignment="1">
      <alignment horizontal="center"/>
    </xf>
    <xf numFmtId="0" fontId="121" fillId="4" borderId="0" xfId="0" applyFont="1" applyFill="1" applyAlignment="1">
      <alignment horizontal="center"/>
    </xf>
    <xf numFmtId="166" fontId="120" fillId="5" borderId="0" xfId="0" applyNumberFormat="1" applyFont="1" applyFill="1" applyAlignment="1"/>
    <xf numFmtId="0" fontId="121" fillId="5" borderId="0" xfId="0" applyFont="1" applyFill="1" applyAlignment="1">
      <alignment horizontal="center"/>
    </xf>
    <xf numFmtId="0" fontId="120" fillId="0" borderId="0" xfId="0" applyFont="1" applyAlignment="1"/>
    <xf numFmtId="0" fontId="143" fillId="0" borderId="0" xfId="0" applyFont="1" applyAlignment="1"/>
    <xf numFmtId="0" fontId="144" fillId="0" borderId="0" xfId="0" applyFont="1" applyAlignment="1"/>
    <xf numFmtId="0" fontId="121" fillId="21" borderId="63" xfId="0" applyFont="1" applyFill="1" applyBorder="1" applyAlignment="1">
      <alignment horizontal="right"/>
    </xf>
    <xf numFmtId="0" fontId="17" fillId="19" borderId="17" xfId="0" applyFont="1" applyFill="1" applyBorder="1" applyAlignment="1">
      <alignment horizontal="center"/>
    </xf>
    <xf numFmtId="4" fontId="119" fillId="0" borderId="48" xfId="0" applyNumberFormat="1" applyFont="1" applyBorder="1" applyAlignment="1">
      <alignment horizontal="left"/>
    </xf>
    <xf numFmtId="4" fontId="120" fillId="0" borderId="32" xfId="0" applyNumberFormat="1" applyFont="1" applyBorder="1" applyAlignment="1">
      <alignment horizontal="left"/>
    </xf>
    <xf numFmtId="4" fontId="121" fillId="0" borderId="32" xfId="0" applyNumberFormat="1" applyFont="1" applyBorder="1" applyAlignment="1">
      <alignment horizontal="left"/>
    </xf>
    <xf numFmtId="4" fontId="122" fillId="21" borderId="63" xfId="0" applyNumberFormat="1" applyFont="1" applyFill="1" applyBorder="1" applyAlignment="1">
      <alignment horizontal="right"/>
    </xf>
    <xf numFmtId="4" fontId="126" fillId="0" borderId="63" xfId="0" applyNumberFormat="1" applyFont="1" applyBorder="1" applyAlignment="1"/>
    <xf numFmtId="0" fontId="126" fillId="26" borderId="63" xfId="0" applyFont="1" applyFill="1" applyBorder="1" applyAlignment="1"/>
    <xf numFmtId="4" fontId="126" fillId="3" borderId="1" xfId="0" applyNumberFormat="1" applyFont="1" applyFill="1" applyBorder="1" applyAlignment="1"/>
    <xf numFmtId="4" fontId="126" fillId="0" borderId="2" xfId="0" applyNumberFormat="1" applyFont="1" applyBorder="1" applyAlignment="1"/>
    <xf numFmtId="9" fontId="121" fillId="21" borderId="63" xfId="0" applyNumberFormat="1" applyFont="1" applyFill="1" applyBorder="1" applyAlignment="1">
      <alignment horizontal="right"/>
    </xf>
    <xf numFmtId="4" fontId="133" fillId="35" borderId="0" xfId="0" applyNumberFormat="1" applyFont="1" applyFill="1" applyAlignment="1">
      <alignment horizontal="left"/>
    </xf>
    <xf numFmtId="4" fontId="134" fillId="3" borderId="0" xfId="0" applyNumberFormat="1" applyFont="1" applyFill="1" applyAlignment="1"/>
    <xf numFmtId="0" fontId="134" fillId="3" borderId="0" xfId="0" applyFont="1" applyFill="1" applyAlignment="1">
      <alignment horizontal="right"/>
    </xf>
    <xf numFmtId="0" fontId="134" fillId="3" borderId="0" xfId="0" applyFont="1" applyFill="1" applyAlignment="1"/>
    <xf numFmtId="0" fontId="132" fillId="3" borderId="0" xfId="0" applyFont="1" applyFill="1" applyAlignment="1">
      <alignment horizontal="right"/>
    </xf>
    <xf numFmtId="0" fontId="134" fillId="3" borderId="26" xfId="0" applyFont="1" applyFill="1" applyBorder="1" applyAlignment="1"/>
    <xf numFmtId="0" fontId="133" fillId="35" borderId="0" xfId="0" applyFont="1" applyFill="1"/>
    <xf numFmtId="4" fontId="146" fillId="0" borderId="0" xfId="0" applyNumberFormat="1" applyFont="1" applyAlignment="1">
      <alignment horizontal="left"/>
    </xf>
    <xf numFmtId="4" fontId="146" fillId="0" borderId="62" xfId="0" applyNumberFormat="1" applyFont="1" applyBorder="1" applyAlignment="1">
      <alignment horizontal="left"/>
    </xf>
    <xf numFmtId="4" fontId="147" fillId="24" borderId="62" xfId="0" applyNumberFormat="1" applyFont="1" applyFill="1" applyBorder="1" applyAlignment="1">
      <alignment horizontal="left"/>
    </xf>
    <xf numFmtId="4" fontId="9" fillId="0" borderId="32" xfId="0" applyNumberFormat="1" applyFont="1" applyBorder="1" applyAlignment="1">
      <alignment horizontal="right"/>
    </xf>
    <xf numFmtId="4" fontId="9" fillId="2" borderId="32" xfId="0" applyNumberFormat="1" applyFont="1" applyFill="1" applyBorder="1" applyAlignment="1">
      <alignment horizontal="right"/>
    </xf>
    <xf numFmtId="4" fontId="118" fillId="0" borderId="32" xfId="0" applyNumberFormat="1" applyFont="1" applyBorder="1" applyAlignment="1">
      <alignment horizontal="right"/>
    </xf>
    <xf numFmtId="4" fontId="9" fillId="3" borderId="32" xfId="0" applyNumberFormat="1" applyFont="1" applyFill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119" fillId="3" borderId="2" xfId="0" applyNumberFormat="1" applyFont="1" applyFill="1" applyBorder="1" applyAlignment="1">
      <alignment horizontal="left"/>
    </xf>
    <xf numFmtId="4" fontId="118" fillId="0" borderId="48" xfId="0" applyNumberFormat="1" applyFont="1" applyBorder="1" applyAlignment="1">
      <alignment horizontal="left"/>
    </xf>
    <xf numFmtId="4" fontId="118" fillId="6" borderId="48" xfId="0" applyNumberFormat="1" applyFont="1" applyFill="1" applyBorder="1" applyAlignment="1">
      <alignment horizontal="left"/>
    </xf>
    <xf numFmtId="4" fontId="9" fillId="37" borderId="48" xfId="0" applyNumberFormat="1" applyFont="1" applyFill="1" applyBorder="1" applyAlignment="1">
      <alignment horizontal="left"/>
    </xf>
    <xf numFmtId="4" fontId="9" fillId="37" borderId="49" xfId="0" applyNumberFormat="1" applyFont="1" applyFill="1" applyBorder="1" applyAlignment="1">
      <alignment horizontal="left"/>
    </xf>
    <xf numFmtId="4" fontId="9" fillId="37" borderId="50" xfId="0" applyNumberFormat="1" applyFont="1" applyFill="1" applyBorder="1" applyAlignment="1">
      <alignment horizontal="left"/>
    </xf>
    <xf numFmtId="4" fontId="1" fillId="37" borderId="49" xfId="0" applyNumberFormat="1" applyFont="1" applyFill="1" applyBorder="1" applyAlignment="1">
      <alignment horizontal="left"/>
    </xf>
    <xf numFmtId="4" fontId="2" fillId="37" borderId="51" xfId="0" applyNumberFormat="1" applyFont="1" applyFill="1" applyBorder="1" applyAlignment="1">
      <alignment horizontal="left"/>
    </xf>
    <xf numFmtId="4" fontId="119" fillId="17" borderId="35" xfId="0" applyNumberFormat="1" applyFont="1" applyFill="1" applyBorder="1" applyAlignment="1">
      <alignment horizontal="left"/>
    </xf>
    <xf numFmtId="10" fontId="119" fillId="17" borderId="37" xfId="0" applyNumberFormat="1" applyFont="1" applyFill="1" applyBorder="1" applyAlignment="1">
      <alignment horizontal="left"/>
    </xf>
    <xf numFmtId="4" fontId="119" fillId="0" borderId="6" xfId="0" applyNumberFormat="1" applyFont="1" applyBorder="1" applyAlignment="1">
      <alignment horizontal="left"/>
    </xf>
    <xf numFmtId="4" fontId="119" fillId="18" borderId="39" xfId="0" applyNumberFormat="1" applyFont="1" applyFill="1" applyBorder="1" applyAlignment="1">
      <alignment horizontal="left"/>
    </xf>
    <xf numFmtId="10" fontId="119" fillId="18" borderId="41" xfId="0" applyNumberFormat="1" applyFont="1" applyFill="1" applyBorder="1" applyAlignment="1">
      <alignment horizontal="left"/>
    </xf>
    <xf numFmtId="4" fontId="119" fillId="19" borderId="43" xfId="0" applyNumberFormat="1" applyFont="1" applyFill="1" applyBorder="1" applyAlignment="1">
      <alignment horizontal="left"/>
    </xf>
    <xf numFmtId="10" fontId="119" fillId="19" borderId="45" xfId="0" applyNumberFormat="1" applyFont="1" applyFill="1" applyBorder="1" applyAlignment="1">
      <alignment horizontal="left"/>
    </xf>
    <xf numFmtId="0" fontId="119" fillId="0" borderId="0" xfId="0" applyFont="1" applyAlignment="1">
      <alignment horizontal="center"/>
    </xf>
    <xf numFmtId="0" fontId="119" fillId="26" borderId="0" xfId="0" applyFont="1" applyFill="1" applyAlignment="1">
      <alignment horizontal="center"/>
    </xf>
    <xf numFmtId="0" fontId="117" fillId="0" borderId="0" xfId="0" applyFont="1" applyAlignment="1">
      <alignment horizontal="right"/>
    </xf>
    <xf numFmtId="0" fontId="119" fillId="3" borderId="0" xfId="0" applyFont="1" applyFill="1" applyAlignment="1">
      <alignment horizontal="center"/>
    </xf>
    <xf numFmtId="0" fontId="124" fillId="0" borderId="0" xfId="0" applyFont="1" applyAlignment="1"/>
    <xf numFmtId="4" fontId="120" fillId="0" borderId="2" xfId="0" applyNumberFormat="1" applyFont="1" applyBorder="1" applyAlignment="1">
      <alignment horizontal="left"/>
    </xf>
    <xf numFmtId="0" fontId="145" fillId="0" borderId="0" xfId="0" applyFont="1" applyAlignment="1"/>
    <xf numFmtId="0" fontId="145" fillId="0" borderId="0" xfId="0" applyFont="1" applyAlignment="1">
      <alignment horizontal="right"/>
    </xf>
    <xf numFmtId="0" fontId="145" fillId="26" borderId="0" xfId="0" applyFont="1" applyFill="1" applyAlignment="1">
      <alignment horizontal="right"/>
    </xf>
    <xf numFmtId="4" fontId="118" fillId="0" borderId="49" xfId="0" applyNumberFormat="1" applyFont="1" applyBorder="1" applyAlignment="1">
      <alignment horizontal="left"/>
    </xf>
    <xf numFmtId="0" fontId="118" fillId="26" borderId="0" xfId="0" applyFont="1" applyFill="1" applyAlignment="1"/>
    <xf numFmtId="4" fontId="118" fillId="3" borderId="2" xfId="0" applyNumberFormat="1" applyFont="1" applyFill="1" applyBorder="1" applyAlignment="1">
      <alignment horizontal="left"/>
    </xf>
    <xf numFmtId="0" fontId="118" fillId="24" borderId="63" xfId="0" applyFont="1" applyFill="1" applyBorder="1" applyAlignment="1"/>
    <xf numFmtId="17" fontId="120" fillId="34" borderId="0" xfId="0" applyNumberFormat="1" applyFont="1" applyFill="1" applyAlignment="1">
      <alignment horizontal="right"/>
    </xf>
    <xf numFmtId="17" fontId="120" fillId="5" borderId="0" xfId="0" applyNumberFormat="1" applyFont="1" applyFill="1" applyAlignment="1"/>
    <xf numFmtId="0" fontId="120" fillId="2" borderId="0" xfId="0" applyFont="1" applyFill="1" applyAlignment="1"/>
    <xf numFmtId="165" fontId="121" fillId="2" borderId="0" xfId="0" applyNumberFormat="1" applyFont="1" applyFill="1" applyAlignment="1">
      <alignment horizontal="center"/>
    </xf>
    <xf numFmtId="0" fontId="121" fillId="0" borderId="0" xfId="0" applyFont="1" applyAlignment="1">
      <alignment horizontal="center"/>
    </xf>
    <xf numFmtId="10" fontId="121" fillId="2" borderId="0" xfId="0" applyNumberFormat="1" applyFont="1" applyFill="1" applyAlignment="1">
      <alignment horizontal="center"/>
    </xf>
    <xf numFmtId="0" fontId="121" fillId="0" borderId="0" xfId="0" applyFont="1" applyAlignment="1"/>
    <xf numFmtId="0" fontId="150" fillId="7" borderId="0" xfId="0" applyFont="1" applyFill="1" applyAlignment="1"/>
    <xf numFmtId="0" fontId="121" fillId="0" borderId="70" xfId="0" applyFont="1" applyBorder="1" applyAlignment="1">
      <alignment vertical="center"/>
    </xf>
    <xf numFmtId="0" fontId="121" fillId="0" borderId="71" xfId="0" applyFont="1" applyBorder="1" applyAlignment="1">
      <alignment vertical="center"/>
    </xf>
    <xf numFmtId="0" fontId="120" fillId="0" borderId="0" xfId="0" applyFont="1" applyAlignment="1" applyProtection="1">
      <protection locked="0"/>
    </xf>
    <xf numFmtId="0" fontId="18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7" fillId="15" borderId="0" xfId="0" applyFont="1" applyFill="1" applyAlignment="1" applyProtection="1">
      <alignment horizontal="center"/>
      <protection locked="0"/>
    </xf>
    <xf numFmtId="0" fontId="46" fillId="0" borderId="28" xfId="0" applyFont="1" applyBorder="1" applyAlignment="1" applyProtection="1">
      <alignment horizontal="right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protection locked="0"/>
    </xf>
    <xf numFmtId="9" fontId="3" fillId="0" borderId="32" xfId="0" applyNumberFormat="1" applyFont="1" applyBorder="1" applyAlignment="1" applyProtection="1">
      <protection locked="0"/>
    </xf>
    <xf numFmtId="0" fontId="121" fillId="0" borderId="32" xfId="0" applyFont="1" applyBorder="1" applyProtection="1"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56" xfId="0" applyFont="1" applyBorder="1" applyAlignment="1" applyProtection="1">
      <alignment horizontal="center"/>
      <protection locked="0"/>
    </xf>
    <xf numFmtId="9" fontId="3" fillId="0" borderId="32" xfId="0" applyNumberFormat="1" applyFont="1" applyBorder="1" applyAlignment="1" applyProtection="1">
      <alignment horizontal="right"/>
      <protection locked="0"/>
    </xf>
    <xf numFmtId="4" fontId="122" fillId="0" borderId="32" xfId="0" applyNumberFormat="1" applyFont="1" applyBorder="1" applyAlignment="1" applyProtection="1">
      <alignment horizontal="right"/>
      <protection locked="0"/>
    </xf>
    <xf numFmtId="10" fontId="46" fillId="0" borderId="32" xfId="0" applyNumberFormat="1" applyFont="1" applyBorder="1" applyAlignment="1" applyProtection="1">
      <alignment horizontal="right"/>
      <protection locked="0"/>
    </xf>
    <xf numFmtId="4" fontId="122" fillId="0" borderId="32" xfId="0" applyNumberFormat="1" applyFont="1" applyBorder="1" applyAlignment="1" applyProtection="1">
      <alignment horizontal="left"/>
      <protection locked="0"/>
    </xf>
    <xf numFmtId="0" fontId="7" fillId="19" borderId="68" xfId="0" applyFont="1" applyFill="1" applyBorder="1" applyAlignment="1" applyProtection="1">
      <alignment horizontal="center"/>
      <protection locked="0"/>
    </xf>
    <xf numFmtId="0" fontId="7" fillId="19" borderId="69" xfId="0" applyFont="1" applyFill="1" applyBorder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center"/>
      <protection locked="0"/>
    </xf>
    <xf numFmtId="4" fontId="121" fillId="2" borderId="32" xfId="0" applyNumberFormat="1" applyFont="1" applyFill="1" applyBorder="1" applyAlignment="1" applyProtection="1">
      <protection locked="0"/>
    </xf>
    <xf numFmtId="10" fontId="46" fillId="2" borderId="32" xfId="0" applyNumberFormat="1" applyFont="1" applyFill="1" applyBorder="1" applyAlignment="1" applyProtection="1">
      <alignment horizontal="right"/>
      <protection locked="0"/>
    </xf>
    <xf numFmtId="4" fontId="120" fillId="0" borderId="48" xfId="0" applyNumberFormat="1" applyFont="1" applyBorder="1" applyAlignment="1">
      <alignment horizontal="left"/>
    </xf>
    <xf numFmtId="4" fontId="120" fillId="0" borderId="49" xfId="0" applyNumberFormat="1" applyFont="1" applyBorder="1" applyAlignment="1">
      <alignment horizontal="left"/>
    </xf>
    <xf numFmtId="0" fontId="120" fillId="26" borderId="6" xfId="0" applyFont="1" applyFill="1" applyBorder="1" applyAlignment="1"/>
    <xf numFmtId="4" fontId="120" fillId="3" borderId="2" xfId="0" applyNumberFormat="1" applyFont="1" applyFill="1" applyBorder="1" applyAlignment="1"/>
    <xf numFmtId="4" fontId="134" fillId="3" borderId="2" xfId="0" applyNumberFormat="1" applyFont="1" applyFill="1" applyBorder="1" applyAlignment="1"/>
    <xf numFmtId="4" fontId="134" fillId="3" borderId="32" xfId="0" applyNumberFormat="1" applyFont="1" applyFill="1" applyBorder="1"/>
    <xf numFmtId="0" fontId="55" fillId="16" borderId="0" xfId="0" applyFont="1" applyFill="1" applyAlignment="1" applyProtection="1">
      <protection locked="0"/>
    </xf>
    <xf numFmtId="0" fontId="29" fillId="0" borderId="0" xfId="0" applyFont="1" applyAlignment="1" applyProtection="1">
      <protection locked="0"/>
    </xf>
    <xf numFmtId="0" fontId="48" fillId="0" borderId="0" xfId="0" applyFont="1" applyAlignment="1" applyProtection="1">
      <protection locked="0"/>
    </xf>
    <xf numFmtId="0" fontId="9" fillId="0" borderId="0" xfId="0" applyFont="1" applyAlignment="1" applyProtection="1">
      <protection locked="0"/>
    </xf>
    <xf numFmtId="0" fontId="17" fillId="0" borderId="16" xfId="0" applyFont="1" applyBorder="1" applyAlignment="1" applyProtection="1">
      <alignment horizontal="center"/>
      <protection locked="0"/>
    </xf>
    <xf numFmtId="0" fontId="151" fillId="2" borderId="0" xfId="0" applyFont="1" applyFill="1" applyAlignment="1">
      <alignment horizontal="left"/>
    </xf>
    <xf numFmtId="4" fontId="3" fillId="0" borderId="32" xfId="0" applyNumberFormat="1" applyFont="1" applyBorder="1" applyAlignment="1" applyProtection="1">
      <protection locked="0"/>
    </xf>
    <xf numFmtId="0" fontId="154" fillId="21" borderId="32" xfId="0" applyFont="1" applyFill="1" applyBorder="1" applyAlignment="1" applyProtection="1">
      <alignment horizontal="right"/>
      <protection locked="0"/>
    </xf>
    <xf numFmtId="0" fontId="155" fillId="21" borderId="32" xfId="0" applyFont="1" applyFill="1" applyBorder="1" applyAlignment="1" applyProtection="1">
      <alignment horizontal="right"/>
      <protection locked="0"/>
    </xf>
    <xf numFmtId="0" fontId="109" fillId="3" borderId="60" xfId="0" applyFont="1" applyFill="1" applyBorder="1" applyAlignment="1"/>
    <xf numFmtId="0" fontId="36" fillId="0" borderId="61" xfId="0" applyFont="1" applyBorder="1"/>
    <xf numFmtId="0" fontId="110" fillId="25" borderId="0" xfId="0" applyFont="1" applyFill="1" applyAlignment="1"/>
    <xf numFmtId="0" fontId="0" fillId="0" borderId="0" xfId="0" applyFont="1" applyAlignment="1"/>
    <xf numFmtId="0" fontId="97" fillId="0" borderId="0" xfId="0" applyFont="1" applyAlignment="1"/>
    <xf numFmtId="0" fontId="53" fillId="0" borderId="1" xfId="0" applyFont="1" applyBorder="1" applyAlignment="1"/>
    <xf numFmtId="0" fontId="36" fillId="0" borderId="1" xfId="0" applyFont="1" applyBorder="1"/>
    <xf numFmtId="0" fontId="17" fillId="0" borderId="3" xfId="0" applyFont="1" applyBorder="1" applyAlignment="1"/>
    <xf numFmtId="0" fontId="36" fillId="0" borderId="26" xfId="0" applyFont="1" applyBorder="1"/>
    <xf numFmtId="0" fontId="1" fillId="19" borderId="55" xfId="0" applyFont="1" applyFill="1" applyBorder="1" applyAlignment="1"/>
    <xf numFmtId="0" fontId="106" fillId="3" borderId="0" xfId="0" applyFont="1" applyFill="1" applyAlignment="1"/>
    <xf numFmtId="0" fontId="53" fillId="0" borderId="0" xfId="0" applyFont="1" applyAlignment="1"/>
    <xf numFmtId="0" fontId="29" fillId="3" borderId="58" xfId="0" applyFont="1" applyFill="1" applyBorder="1" applyAlignment="1"/>
    <xf numFmtId="0" fontId="36" fillId="0" borderId="21" xfId="0" applyFont="1" applyBorder="1"/>
    <xf numFmtId="0" fontId="29" fillId="3" borderId="59" xfId="0" applyFont="1" applyFill="1" applyBorder="1" applyAlignment="1"/>
    <xf numFmtId="0" fontId="19" fillId="0" borderId="0" xfId="0" applyFont="1" applyAlignment="1"/>
    <xf numFmtId="0" fontId="32" fillId="4" borderId="24" xfId="0" applyFont="1" applyFill="1" applyBorder="1" applyAlignment="1"/>
    <xf numFmtId="0" fontId="9" fillId="0" borderId="24" xfId="0" applyFont="1" applyBorder="1" applyAlignment="1"/>
    <xf numFmtId="0" fontId="35" fillId="0" borderId="3" xfId="0" applyFont="1" applyBorder="1" applyAlignment="1"/>
    <xf numFmtId="0" fontId="149" fillId="3" borderId="59" xfId="1" applyFont="1" applyFill="1" applyBorder="1" applyAlignment="1"/>
    <xf numFmtId="0" fontId="142" fillId="0" borderId="0" xfId="0" applyFont="1" applyAlignment="1"/>
    <xf numFmtId="0" fontId="1" fillId="0" borderId="55" xfId="0" applyFont="1" applyBorder="1" applyAlignment="1"/>
    <xf numFmtId="0" fontId="119" fillId="0" borderId="0" xfId="0" applyFont="1" applyAlignment="1"/>
    <xf numFmtId="0" fontId="124" fillId="0" borderId="0" xfId="0" applyFont="1" applyAlignment="1"/>
    <xf numFmtId="0" fontId="1" fillId="4" borderId="0" xfId="0" applyFont="1" applyFill="1" applyAlignment="1"/>
    <xf numFmtId="0" fontId="50" fillId="15" borderId="0" xfId="0" applyFont="1" applyFill="1" applyAlignment="1"/>
    <xf numFmtId="0" fontId="9" fillId="0" borderId="1" xfId="0" applyFont="1" applyBorder="1" applyAlignment="1">
      <alignment horizontal="left"/>
    </xf>
    <xf numFmtId="0" fontId="36" fillId="0" borderId="2" xfId="0" applyFont="1" applyBorder="1"/>
    <xf numFmtId="4" fontId="1" fillId="0" borderId="62" xfId="0" applyNumberFormat="1" applyFont="1" applyBorder="1" applyAlignment="1"/>
    <xf numFmtId="0" fontId="0" fillId="0" borderId="62" xfId="0" applyFont="1" applyBorder="1" applyAlignment="1"/>
    <xf numFmtId="4" fontId="1" fillId="0" borderId="0" xfId="0" applyNumberFormat="1" applyFont="1" applyAlignment="1"/>
    <xf numFmtId="4" fontId="2" fillId="0" borderId="0" xfId="0" applyNumberFormat="1" applyFont="1" applyAlignment="1"/>
    <xf numFmtId="0" fontId="148" fillId="0" borderId="0" xfId="0" applyFont="1" applyAlignment="1"/>
    <xf numFmtId="4" fontId="2" fillId="0" borderId="62" xfId="0" applyNumberFormat="1" applyFont="1" applyBorder="1" applyAlignment="1"/>
    <xf numFmtId="4" fontId="87" fillId="19" borderId="62" xfId="0" applyNumberFormat="1" applyFont="1" applyFill="1" applyBorder="1" applyAlignment="1"/>
    <xf numFmtId="0" fontId="36" fillId="0" borderId="62" xfId="0" applyFont="1" applyBorder="1"/>
    <xf numFmtId="4" fontId="87" fillId="19" borderId="3" xfId="0" applyNumberFormat="1" applyFont="1" applyFill="1" applyBorder="1" applyAlignment="1"/>
    <xf numFmtId="0" fontId="36" fillId="0" borderId="4" xfId="0" applyFont="1" applyBorder="1"/>
    <xf numFmtId="0" fontId="9" fillId="0" borderId="0" xfId="0" applyFont="1" applyAlignment="1"/>
    <xf numFmtId="0" fontId="17" fillId="0" borderId="0" xfId="0" applyFont="1" applyAlignment="1"/>
    <xf numFmtId="0" fontId="79" fillId="0" borderId="0" xfId="0" applyFont="1" applyAlignment="1">
      <alignment horizontal="left"/>
    </xf>
  </cellXfs>
  <cellStyles count="3">
    <cellStyle name="Hipervínculo" xfId="1" builtinId="8"/>
    <cellStyle name="Normal" xfId="0" builtinId="0"/>
    <cellStyle name="Porcentaje" xfId="2" builtinId="5"/>
  </cellStyles>
  <dxfs count="75">
    <dxf>
      <numFmt numFmtId="4" formatCode="#,##0.00"/>
    </dxf>
    <dxf>
      <fill>
        <patternFill>
          <bgColor rgb="FF00FF00"/>
        </patternFill>
      </fill>
    </dxf>
    <dxf>
      <numFmt numFmtId="4" formatCode="#,##0.00"/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fill>
        <patternFill>
          <bgColor rgb="FF00FF00"/>
        </patternFill>
      </fill>
      <border diagonalUp="0" diagonalDown="0">
        <left style="thin">
          <color rgb="FF666666"/>
        </left>
        <right style="thin">
          <color rgb="FF666666"/>
        </right>
        <top style="thin">
          <color rgb="FF666666"/>
        </top>
        <bottom style="thin">
          <color rgb="FF66666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border diagonalUp="0" diagonalDown="0">
        <left style="thin">
          <color rgb="FF666666"/>
        </left>
        <right style="thin">
          <color rgb="FF666666"/>
        </right>
        <top style="thin">
          <color rgb="FF666666"/>
        </top>
        <bottom style="thin">
          <color rgb="FF666666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border diagonalUp="0" diagonalDown="0">
        <left style="thin">
          <color rgb="FF666666"/>
        </left>
        <right style="thin">
          <color rgb="FF666666"/>
        </right>
        <top style="thin">
          <color rgb="FF666666"/>
        </top>
        <bottom style="thin">
          <color rgb="FF666666"/>
        </bottom>
        <vertical/>
        <horizontal/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</dxfs>
  <tableStyles count="34">
    <tableStyle name="Recibo-style" pivot="0" count="2">
      <tableStyleElement type="firstRowStripe" dxfId="74"/>
      <tableStyleElement type="secondRowStripe" dxfId="73"/>
    </tableStyle>
    <tableStyle name="Recibo-style 2" pivot="0" count="2">
      <tableStyleElement type="firstRowStripe" dxfId="72"/>
      <tableStyleElement type="secondRowStripe" dxfId="71"/>
    </tableStyle>
    <tableStyle name="Recibo-style 3" pivot="0" count="2">
      <tableStyleElement type="firstRowStripe" dxfId="70"/>
      <tableStyleElement type="secondRowStripe" dxfId="69"/>
    </tableStyle>
    <tableStyle name="Recibo-style 4" pivot="0" count="2">
      <tableStyleElement type="firstRowStripe" dxfId="68"/>
      <tableStyleElement type="secondRowStripe" dxfId="67"/>
    </tableStyle>
    <tableStyle name="Recibo-style 5" pivot="0" count="2">
      <tableStyleElement type="firstRowStripe" dxfId="66"/>
      <tableStyleElement type="secondRowStripe" dxfId="65"/>
    </tableStyle>
    <tableStyle name="Recibo-style 6" pivot="0" count="2">
      <tableStyleElement type="firstRowStripe" dxfId="64"/>
      <tableStyleElement type="secondRowStripe" dxfId="63"/>
    </tableStyle>
    <tableStyle name="Recibo-style 7" pivot="0" count="2">
      <tableStyleElement type="firstRowStripe" dxfId="62"/>
      <tableStyleElement type="secondRowStripe" dxfId="61"/>
    </tableStyle>
    <tableStyle name="Recibo-style 8" pivot="0" count="2">
      <tableStyleElement type="firstRowStripe" dxfId="60"/>
      <tableStyleElement type="secondRowStripe" dxfId="59"/>
    </tableStyle>
    <tableStyle name="Recibo-style 9" pivot="0" count="2">
      <tableStyleElement type="firstRowStripe" dxfId="58"/>
      <tableStyleElement type="secondRowStripe" dxfId="57"/>
    </tableStyle>
    <tableStyle name="Recibo-style 10" pivot="0" count="2">
      <tableStyleElement type="firstRowStripe" dxfId="56"/>
      <tableStyleElement type="secondRowStripe" dxfId="55"/>
    </tableStyle>
    <tableStyle name="Recibo-style 11" pivot="0" count="2">
      <tableStyleElement type="firstRowStripe" dxfId="54"/>
      <tableStyleElement type="secondRowStripe" dxfId="53"/>
    </tableStyle>
    <tableStyle name="Recibo-style 12" pivot="0" count="2">
      <tableStyleElement type="firstRowStripe" dxfId="52"/>
      <tableStyleElement type="secondRowStripe" dxfId="51"/>
    </tableStyle>
    <tableStyle name="Recibo-style 13" pivot="0" count="2">
      <tableStyleElement type="firstRowStripe" dxfId="50"/>
      <tableStyleElement type="secondRowStripe" dxfId="49"/>
    </tableStyle>
    <tableStyle name="Recibo-style 14" pivot="0" count="2">
      <tableStyleElement type="firstRowStripe" dxfId="48"/>
      <tableStyleElement type="secondRowStripe" dxfId="47"/>
    </tableStyle>
    <tableStyle name="Recibo-style 15" pivot="0" count="2">
      <tableStyleElement type="firstRowStripe" dxfId="46"/>
      <tableStyleElement type="secondRowStripe" dxfId="45"/>
    </tableStyle>
    <tableStyle name="Recibo-style 16" pivot="0" count="2">
      <tableStyleElement type="firstRowStripe" dxfId="44"/>
      <tableStyleElement type="secondRowStripe" dxfId="43"/>
    </tableStyle>
    <tableStyle name="Recibo-style 17" pivot="0" count="2">
      <tableStyleElement type="firstRowStripe" dxfId="42"/>
      <tableStyleElement type="secondRowStripe" dxfId="41"/>
    </tableStyle>
    <tableStyle name="Recibo-style 18" pivot="0" count="2">
      <tableStyleElement type="firstRowStripe" dxfId="40"/>
      <tableStyleElement type="secondRowStripe" dxfId="39"/>
    </tableStyle>
    <tableStyle name="Recibo-style 19" pivot="0" count="2">
      <tableStyleElement type="firstRowStripe" dxfId="38"/>
      <tableStyleElement type="secondRowStripe" dxfId="37"/>
    </tableStyle>
    <tableStyle name="Recibo-style 20" pivot="0" count="2">
      <tableStyleElement type="firstRowStripe" dxfId="36"/>
      <tableStyleElement type="secondRowStripe" dxfId="35"/>
    </tableStyle>
    <tableStyle name="Recibo-style 21" pivot="0" count="2">
      <tableStyleElement type="firstRowStripe" dxfId="34"/>
      <tableStyleElement type="secondRowStripe" dxfId="33"/>
    </tableStyle>
    <tableStyle name="Recibo-style 22" pivot="0" count="2">
      <tableStyleElement type="firstRowStripe" dxfId="32"/>
      <tableStyleElement type="secondRowStripe" dxfId="31"/>
    </tableStyle>
    <tableStyle name="Recibo-style 23" pivot="0" count="2">
      <tableStyleElement type="firstRowStripe" dxfId="30"/>
      <tableStyleElement type="secondRowStripe" dxfId="29"/>
    </tableStyle>
    <tableStyle name="Recibo-style 24" pivot="0" count="2">
      <tableStyleElement type="firstRowStripe" dxfId="28"/>
      <tableStyleElement type="secondRowStripe" dxfId="27"/>
    </tableStyle>
    <tableStyle name="Recibo-style 25" pivot="0" count="2">
      <tableStyleElement type="firstRowStripe" dxfId="26"/>
      <tableStyleElement type="secondRowStripe" dxfId="25"/>
    </tableStyle>
    <tableStyle name="Recibo-style 26" pivot="0" count="2">
      <tableStyleElement type="firstRowStripe" dxfId="24"/>
      <tableStyleElement type="secondRowStripe" dxfId="23"/>
    </tableStyle>
    <tableStyle name="Recibo-style 27" pivot="0" count="2">
      <tableStyleElement type="firstRowStripe" dxfId="22"/>
      <tableStyleElement type="secondRowStripe" dxfId="21"/>
    </tableStyle>
    <tableStyle name="Recibo-style 28" pivot="0" count="2">
      <tableStyleElement type="firstRowStripe" dxfId="20"/>
      <tableStyleElement type="secondRowStripe" dxfId="19"/>
    </tableStyle>
    <tableStyle name="Recibo-style 29" pivot="0" count="2">
      <tableStyleElement type="firstRowStripe" dxfId="18"/>
      <tableStyleElement type="secondRowStripe" dxfId="17"/>
    </tableStyle>
    <tableStyle name="Recibo-style 30" pivot="0" count="2">
      <tableStyleElement type="firstRowStripe" dxfId="16"/>
      <tableStyleElement type="secondRowStripe" dxfId="15"/>
    </tableStyle>
    <tableStyle name="Recibo-style 31" pivot="0" count="2">
      <tableStyleElement type="firstRowStripe" dxfId="14"/>
      <tableStyleElement type="secondRowStripe" dxfId="13"/>
    </tableStyle>
    <tableStyle name="Recibo-style 32" pivot="0" count="2">
      <tableStyleElement type="firstRowStripe" dxfId="12"/>
      <tableStyleElement type="secondRowStripe" dxfId="11"/>
    </tableStyle>
    <tableStyle name="Recibo-style 33" pivot="0" count="2">
      <tableStyleElement type="firstRowStripe" dxfId="10"/>
      <tableStyleElement type="secondRowStripe" dxfId="9"/>
    </tableStyle>
    <tableStyle name="Recibo-style 34" pivot="0" count="2">
      <tableStyleElement type="firstRowStripe" dxfId="8"/>
      <tableStyleElement type="secondRowStripe" dxfId="7"/>
    </tableStyle>
  </tableStyles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_1" displayName="Table_1" ref="Z260:AA284" headerRowCount="0">
  <tableColumns count="2">
    <tableColumn id="1" name="Column1"/>
    <tableColumn id="2" name="Column2"/>
  </tableColumns>
  <tableStyleInfo name="Recibo-style" showFirstColumn="1" showLastColumn="1" showRowStripes="1" showColumnStripes="0"/>
</table>
</file>

<file path=xl/tables/table10.xml><?xml version="1.0" encoding="utf-8"?>
<table xmlns="http://schemas.openxmlformats.org/spreadsheetml/2006/main" id="10" name="Table_10" displayName="Table_10" ref="Q423:R434" headerRowCount="0">
  <tableColumns count="2">
    <tableColumn id="1" name="Column1"/>
    <tableColumn id="2" name="Column2"/>
  </tableColumns>
  <tableStyleInfo name="Recibo-style 10" showFirstColumn="1" showLastColumn="1" showRowStripes="1" showColumnStripes="0"/>
</table>
</file>

<file path=xl/tables/table11.xml><?xml version="1.0" encoding="utf-8"?>
<table xmlns="http://schemas.openxmlformats.org/spreadsheetml/2006/main" id="11" name="Table_11" displayName="Table_11" ref="B386:AD409" headerRowCount="0">
  <tableColumns count="29">
    <tableColumn id="1" name="Column1"/>
    <tableColumn id="2" name="Column2"/>
    <tableColumn id="3" name="Column3"/>
    <tableColumn id="27" name="Columna1" dataDxfId="3">
      <calculatedColumnFormula>E444</calculatedColumnFormula>
    </tableColumn>
    <tableColumn id="28" name="Columna2" dataDxfId="2">
      <calculatedColumnFormula>F444</calculatedColumnFormula>
    </tableColumn>
    <tableColumn id="29" name="Columna3" dataDxfId="1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</tableColumns>
  <tableStyleInfo name="Recibo-style 11" showFirstColumn="1" showLastColumn="1" showRowStripes="1" showColumnStripes="0"/>
</table>
</file>

<file path=xl/tables/table12.xml><?xml version="1.0" encoding="utf-8"?>
<table xmlns="http://schemas.openxmlformats.org/spreadsheetml/2006/main" id="12" name="Table_12" displayName="Table_12" ref="T423:U434" headerRowCount="0">
  <tableColumns count="2">
    <tableColumn id="1" name="Column1"/>
    <tableColumn id="2" name="Column2"/>
  </tableColumns>
  <tableStyleInfo name="Recibo-style 12" showFirstColumn="1" showLastColumn="1" showRowStripes="1" showColumnStripes="0"/>
</table>
</file>

<file path=xl/tables/table13.xml><?xml version="1.0" encoding="utf-8"?>
<table xmlns="http://schemas.openxmlformats.org/spreadsheetml/2006/main" id="13" name="Table_13" displayName="Table_13" ref="H423:I434" headerRowCount="0">
  <tableColumns count="2">
    <tableColumn id="1" name="Column1"/>
    <tableColumn id="2" name="Column2"/>
  </tableColumns>
  <tableStyleInfo name="Recibo-style 13" showFirstColumn="1" showLastColumn="1" showRowStripes="1" showColumnStripes="0"/>
</table>
</file>

<file path=xl/tables/table14.xml><?xml version="1.0" encoding="utf-8"?>
<table xmlns="http://schemas.openxmlformats.org/spreadsheetml/2006/main" id="14" name="Table_14" displayName="Table_14" ref="W423:X434" headerRowCount="0">
  <tableColumns count="2">
    <tableColumn id="1" name="Column1"/>
    <tableColumn id="2" name="Column2"/>
  </tableColumns>
  <tableStyleInfo name="Recibo-style 14" showFirstColumn="1" showLastColumn="1" showRowStripes="1" showColumnStripes="0"/>
</table>
</file>

<file path=xl/tables/table15.xml><?xml version="1.0" encoding="utf-8"?>
<table xmlns="http://schemas.openxmlformats.org/spreadsheetml/2006/main" id="15" name="Table_15" displayName="Table_15" ref="AC298:AD309" headerRowCount="0">
  <tableColumns count="2">
    <tableColumn id="1" name="Column1"/>
    <tableColumn id="2" name="Column2"/>
  </tableColumns>
  <tableStyleInfo name="Recibo-style 15" showFirstColumn="1" showLastColumn="1" showRowStripes="1" showColumnStripes="0"/>
</table>
</file>

<file path=xl/tables/table16.xml><?xml version="1.0" encoding="utf-8"?>
<table xmlns="http://schemas.openxmlformats.org/spreadsheetml/2006/main" id="16" name="Table_16" displayName="Table_16" ref="H298:I309" headerRowCount="0">
  <tableColumns count="2">
    <tableColumn id="1" name="Column1"/>
    <tableColumn id="2" name="Column2"/>
  </tableColumns>
  <tableStyleInfo name="Recibo-style 16" showFirstColumn="1" showLastColumn="1" showRowStripes="1" showColumnStripes="0"/>
</table>
</file>

<file path=xl/tables/table17.xml><?xml version="1.0" encoding="utf-8"?>
<table xmlns="http://schemas.openxmlformats.org/spreadsheetml/2006/main" id="17" name="Table_17" displayName="Table_17" ref="K260:L283" headerRowCount="0">
  <tableColumns count="2">
    <tableColumn id="1" name="Column1"/>
    <tableColumn id="2" name="Column2"/>
  </tableColumns>
  <tableStyleInfo name="Recibo-style 17" showFirstColumn="1" showLastColumn="1" showRowStripes="1" showColumnStripes="0"/>
</table>
</file>

<file path=xl/tables/table18.xml><?xml version="1.0" encoding="utf-8"?>
<table xmlns="http://schemas.openxmlformats.org/spreadsheetml/2006/main" id="18" name="Table_18" displayName="Table_18" ref="K298:L309" headerRowCount="0">
  <tableColumns count="2">
    <tableColumn id="1" name="Column1"/>
    <tableColumn id="2" name="Column2"/>
  </tableColumns>
  <tableStyleInfo name="Recibo-style 18" showFirstColumn="1" showLastColumn="1" showRowStripes="1" showColumnStripes="0"/>
</table>
</file>

<file path=xl/tables/table19.xml><?xml version="1.0" encoding="utf-8"?>
<table xmlns="http://schemas.openxmlformats.org/spreadsheetml/2006/main" id="19" name="Table_19" displayName="Table_19" ref="W260:X284" headerRowCount="0">
  <tableColumns count="2">
    <tableColumn id="1" name="Column1"/>
    <tableColumn id="2" name="Column2"/>
  </tableColumns>
  <tableStyleInfo name="Recibo-style 19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N298:O309" headerRowCount="0">
  <tableColumns count="2">
    <tableColumn id="1" name="Column1"/>
    <tableColumn id="2" name="Column2"/>
  </tableColumns>
  <tableStyleInfo name="Recibo-style 2" showFirstColumn="1" showLastColumn="1" showRowStripes="1" showColumnStripes="0"/>
</table>
</file>

<file path=xl/tables/table20.xml><?xml version="1.0" encoding="utf-8"?>
<table xmlns="http://schemas.openxmlformats.org/spreadsheetml/2006/main" id="20" name="Table_20" displayName="Table_20" ref="Q260:R284" headerRowCount="0">
  <tableColumns count="2">
    <tableColumn id="1" name="Column1"/>
    <tableColumn id="2" name="Column2"/>
  </tableColumns>
  <tableStyleInfo name="Recibo-style 20" showFirstColumn="1" showLastColumn="1" showRowStripes="1" showColumnStripes="0"/>
</table>
</file>

<file path=xl/tables/table21.xml><?xml version="1.0" encoding="utf-8"?>
<table xmlns="http://schemas.openxmlformats.org/spreadsheetml/2006/main" id="21" name="Table_21" displayName="Table_21" ref="T260:U284" headerRowCount="0">
  <tableColumns count="2">
    <tableColumn id="1" name="Column1"/>
    <tableColumn id="2" name="Column2"/>
  </tableColumns>
  <tableStyleInfo name="Recibo-style 21" showFirstColumn="1" showLastColumn="1" showRowStripes="1" showColumnStripes="0"/>
</table>
</file>

<file path=xl/tables/table22.xml><?xml version="1.0" encoding="utf-8"?>
<table xmlns="http://schemas.openxmlformats.org/spreadsheetml/2006/main" id="22" name="Table_22" displayName="Table_22" ref="T165:U176" headerRowCount="0">
  <tableColumns count="2">
    <tableColumn id="1" name="Column1"/>
    <tableColumn id="2" name="Column2"/>
  </tableColumns>
  <tableStyleInfo name="Recibo-style 22" showFirstColumn="1" showLastColumn="1" showRowStripes="1" showColumnStripes="0"/>
</table>
</file>

<file path=xl/tables/table23.xml><?xml version="1.0" encoding="utf-8"?>
<table xmlns="http://schemas.openxmlformats.org/spreadsheetml/2006/main" id="23" name="Table_23" displayName="Table_23" ref="N165:O176" headerRowCount="0">
  <tableColumns count="2">
    <tableColumn id="1" name="Column1"/>
    <tableColumn id="2" name="Column2"/>
  </tableColumns>
  <tableStyleInfo name="Recibo-style 23" showFirstColumn="1" showLastColumn="1" showRowStripes="1" showColumnStripes="0"/>
</table>
</file>

<file path=xl/tables/table24.xml><?xml version="1.0" encoding="utf-8"?>
<table xmlns="http://schemas.openxmlformats.org/spreadsheetml/2006/main" id="24" name="Table_24" displayName="Table_24" ref="Q165:R176" headerRowCount="0">
  <tableColumns count="2">
    <tableColumn id="1" name="Column1"/>
    <tableColumn id="2" name="Column2"/>
  </tableColumns>
  <tableStyleInfo name="Recibo-style 24" showFirstColumn="1" showLastColumn="1" showRowStripes="1" showColumnStripes="0"/>
</table>
</file>

<file path=xl/tables/table25.xml><?xml version="1.0" encoding="utf-8"?>
<table xmlns="http://schemas.openxmlformats.org/spreadsheetml/2006/main" id="25" name="Table_25" displayName="Table_25" ref="AC165:AD176" headerRowCount="0">
  <tableColumns count="2">
    <tableColumn id="1" name="Column1"/>
    <tableColumn id="2" name="Column2"/>
  </tableColumns>
  <tableStyleInfo name="Recibo-style 25" showFirstColumn="1" showLastColumn="1" showRowStripes="1" showColumnStripes="0"/>
</table>
</file>

<file path=xl/tables/table26.xml><?xml version="1.0" encoding="utf-8"?>
<table xmlns="http://schemas.openxmlformats.org/spreadsheetml/2006/main" id="26" name="Table_26" displayName="Table_26" ref="K165:L176" headerRowCount="0">
  <tableColumns count="2">
    <tableColumn id="1" name="Column1"/>
    <tableColumn id="2" name="Column2"/>
  </tableColumns>
  <tableStyleInfo name="Recibo-style 26" showFirstColumn="1" showLastColumn="1" showRowStripes="1" showColumnStripes="0"/>
</table>
</file>

<file path=xl/tables/table27.xml><?xml version="1.0" encoding="utf-8"?>
<table xmlns="http://schemas.openxmlformats.org/spreadsheetml/2006/main" id="27" name="Table_27" displayName="Table_27" ref="W165:X176" headerRowCount="0">
  <tableColumns count="2">
    <tableColumn id="1" name="Column1"/>
    <tableColumn id="2" name="Column2"/>
  </tableColumns>
  <tableStyleInfo name="Recibo-style 27" showFirstColumn="1" showLastColumn="1" showRowStripes="1" showColumnStripes="0"/>
</table>
</file>

<file path=xl/tables/table28.xml><?xml version="1.0" encoding="utf-8"?>
<table xmlns="http://schemas.openxmlformats.org/spreadsheetml/2006/main" id="28" name="Table_28" displayName="Table_28" ref="Z165:AA176" headerRowCount="0">
  <tableColumns count="2">
    <tableColumn id="1" name="Column1"/>
    <tableColumn id="2" name="Column2"/>
  </tableColumns>
  <tableStyleInfo name="Recibo-style 28" showFirstColumn="1" showLastColumn="1" showRowStripes="1" showColumnStripes="0"/>
</table>
</file>

<file path=xl/tables/table29.xml><?xml version="1.0" encoding="utf-8"?>
<table xmlns="http://schemas.openxmlformats.org/spreadsheetml/2006/main" id="29" name="Table_29" displayName="Table_29" ref="B260:F283" headerRowCount="0">
  <tableColumns count="5">
    <tableColumn id="1" name="Column1"/>
    <tableColumn id="2" name="Column2"/>
    <tableColumn id="3" name="Column3"/>
    <tableColumn id="4" name="Column4" dataDxfId="0">
      <calculatedColumnFormula>E320</calculatedColumnFormula>
    </tableColumn>
    <tableColumn id="5" name="Column5">
      <calculatedColumnFormula>F320</calculatedColumnFormula>
    </tableColumn>
  </tableColumns>
  <tableStyleInfo name="Recibo-style 29" showFirstColumn="1" showLastColumn="1" showRowStripes="1" showColumnStripes="0"/>
</table>
</file>

<file path=xl/tables/table3.xml><?xml version="1.0" encoding="utf-8"?>
<table xmlns="http://schemas.openxmlformats.org/spreadsheetml/2006/main" id="3" name="Table_3" displayName="Table_3" ref="W298:X309" headerRowCount="0">
  <tableColumns count="2">
    <tableColumn id="1" name="Column1"/>
    <tableColumn id="2" name="Column2"/>
  </tableColumns>
  <tableStyleInfo name="Recibo-style 3" showFirstColumn="1" showLastColumn="1" showRowStripes="1" showColumnStripes="0"/>
</table>
</file>

<file path=xl/tables/table30.xml><?xml version="1.0" encoding="utf-8"?>
<table xmlns="http://schemas.openxmlformats.org/spreadsheetml/2006/main" id="30" name="Table_30" displayName="Table_30" ref="H165:I176" headerRowCount="0">
  <tableColumns count="2">
    <tableColumn id="1" name="Column1"/>
    <tableColumn id="2" name="Column2"/>
  </tableColumns>
  <tableStyleInfo name="Recibo-style 30" showFirstColumn="1" showLastColumn="1" showRowStripes="1" showColumnStripes="0"/>
</table>
</file>

<file path=xl/tables/table31.xml><?xml version="1.0" encoding="utf-8"?>
<table xmlns="http://schemas.openxmlformats.org/spreadsheetml/2006/main" id="31" name="Table_31" displayName="Table_31" ref="AC423:AD434" headerRowCount="0">
  <tableColumns count="2">
    <tableColumn id="1" name="Column1"/>
    <tableColumn id="2" name="Column2"/>
  </tableColumns>
  <tableStyleInfo name="Recibo-style 31" showFirstColumn="1" showLastColumn="1" showRowStripes="1" showColumnStripes="0"/>
</table>
</file>

<file path=xl/tables/table32.xml><?xml version="1.0" encoding="utf-8"?>
<table xmlns="http://schemas.openxmlformats.org/spreadsheetml/2006/main" id="32" name="Table_32" displayName="Table_32" ref="AC260:AD284" headerRowCount="0">
  <tableColumns count="2">
    <tableColumn id="1" name="Column1"/>
    <tableColumn id="2" name="Column2"/>
  </tableColumns>
  <tableStyleInfo name="Recibo-style 32" showFirstColumn="1" showLastColumn="1" showRowStripes="1" showColumnStripes="0"/>
</table>
</file>

<file path=xl/tables/table33.xml><?xml version="1.0" encoding="utf-8"?>
<table xmlns="http://schemas.openxmlformats.org/spreadsheetml/2006/main" id="33" name="Table_33" displayName="Table_33" ref="K423:L434" headerRowCount="0">
  <tableColumns count="2">
    <tableColumn id="1" name="Column1"/>
    <tableColumn id="2" name="Column2"/>
  </tableColumns>
  <tableStyleInfo name="Recibo-style 33" showFirstColumn="1" showLastColumn="1" showRowStripes="1" showColumnStripes="0"/>
</table>
</file>

<file path=xl/tables/table34.xml><?xml version="1.0" encoding="utf-8"?>
<table xmlns="http://schemas.openxmlformats.org/spreadsheetml/2006/main" id="34" name="Table_34" displayName="Table_34" ref="N423:O434" headerRowCount="0">
  <tableColumns count="2">
    <tableColumn id="1" name="Column1"/>
    <tableColumn id="2" name="Column2"/>
  </tableColumns>
  <tableStyleInfo name="Recibo-style 34" showFirstColumn="1" showLastColumn="1" showRowStripes="1" showColumnStripes="0"/>
</table>
</file>

<file path=xl/tables/table35.xml><?xml version="1.0" encoding="utf-8"?>
<table xmlns="http://schemas.openxmlformats.org/spreadsheetml/2006/main" id="35" name="Table_1336" displayName="Table_1336" ref="E423:F434" headerRowCount="0">
  <tableColumns count="2">
    <tableColumn id="1" name="Column1">
      <calculatedColumnFormula>E481</calculatedColumnFormula>
    </tableColumn>
    <tableColumn id="2" name="Column2">
      <calculatedColumnFormula>F481</calculatedColumnFormula>
    </tableColumn>
  </tableColumns>
  <tableStyleInfo name="Recibo-style 13" showFirstColumn="1" showLastColumn="1" showRowStripes="1" showColumnStripes="0"/>
</table>
</file>

<file path=xl/tables/table4.xml><?xml version="1.0" encoding="utf-8"?>
<table xmlns="http://schemas.openxmlformats.org/spreadsheetml/2006/main" id="4" name="Table_4" displayName="Table_4" ref="T298:U309" headerRowCount="0">
  <tableColumns count="2">
    <tableColumn id="1" name="Column1"/>
    <tableColumn id="2" name="Column2"/>
  </tableColumns>
  <tableStyleInfo name="Recibo-style 4" showFirstColumn="1" showLastColumn="1" showRowStripes="1" showColumnStripes="0"/>
</table>
</file>

<file path=xl/tables/table5.xml><?xml version="1.0" encoding="utf-8"?>
<table xmlns="http://schemas.openxmlformats.org/spreadsheetml/2006/main" id="5" name="Table_5" displayName="Table_5" ref="N260:O284" headerRowCount="0">
  <tableColumns count="2">
    <tableColumn id="1" name="Column1"/>
    <tableColumn id="2" name="Column2"/>
  </tableColumns>
  <tableStyleInfo name="Recibo-style 5" showFirstColumn="1" showLastColumn="1" showRowStripes="1" showColumnStripes="0"/>
</table>
</file>

<file path=xl/tables/table6.xml><?xml version="1.0" encoding="utf-8"?>
<table xmlns="http://schemas.openxmlformats.org/spreadsheetml/2006/main" id="6" name="Table_6" displayName="Table_6" ref="Z298:AA309" headerRowCount="0">
  <tableColumns count="2">
    <tableColumn id="1" name="Column1"/>
    <tableColumn id="2" name="Column2"/>
  </tableColumns>
  <tableStyleInfo name="Recibo-style 6" showFirstColumn="1" showLastColumn="1" showRowStripes="1" showColumnStripes="0"/>
</table>
</file>

<file path=xl/tables/table7.xml><?xml version="1.0" encoding="utf-8"?>
<table xmlns="http://schemas.openxmlformats.org/spreadsheetml/2006/main" id="7" name="Table_7" displayName="Table_7" ref="Q298:R309" headerRowCount="0">
  <tableColumns count="2">
    <tableColumn id="1" name="Column1"/>
    <tableColumn id="2" name="Column2"/>
  </tableColumns>
  <tableStyleInfo name="Recibo-style 7" showFirstColumn="1" showLastColumn="1" showRowStripes="1" showColumnStripes="0"/>
</table>
</file>

<file path=xl/tables/table8.xml><?xml version="1.0" encoding="utf-8"?>
<table xmlns="http://schemas.openxmlformats.org/spreadsheetml/2006/main" id="8" name="Table_8" displayName="Table_8" ref="Z423:AA434" headerRowCount="0">
  <tableColumns count="2">
    <tableColumn id="1" name="Column1"/>
    <tableColumn id="2" name="Column2"/>
  </tableColumns>
  <tableStyleInfo name="Recibo-style 8" showFirstColumn="1" showLastColumn="1" showRowStripes="1" showColumnStripes="0"/>
</table>
</file>

<file path=xl/tables/table9.xml><?xml version="1.0" encoding="utf-8"?>
<table xmlns="http://schemas.openxmlformats.org/spreadsheetml/2006/main" id="9" name="Table_9" displayName="Table_9" ref="B120:AD148" headerRowCount="0">
  <tableColumns count="29">
    <tableColumn id="1" name="Column1"/>
    <tableColumn id="2" name="Column2"/>
    <tableColumn id="3" name="Column3"/>
    <tableColumn id="27" name="Columna1" dataDxfId="6">
      <calculatedColumnFormula>E184</calculatedColumnFormula>
    </tableColumn>
    <tableColumn id="28" name="Columna2" dataDxfId="5">
      <calculatedColumnFormula>F184</calculatedColumnFormula>
    </tableColumn>
    <tableColumn id="29" name="Columna3" dataDxfId="4">
      <calculatedColumnFormula>G184</calculatedColumnFormula>
    </tableColumn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</tableColumns>
  <tableStyleInfo name="Recibo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7.xml"/><Relationship Id="rId18" Type="http://schemas.openxmlformats.org/officeDocument/2006/relationships/table" Target="../tables/table12.xml"/><Relationship Id="rId26" Type="http://schemas.openxmlformats.org/officeDocument/2006/relationships/table" Target="../tables/table20.xml"/><Relationship Id="rId39" Type="http://schemas.openxmlformats.org/officeDocument/2006/relationships/table" Target="../tables/table33.xml"/><Relationship Id="rId21" Type="http://schemas.openxmlformats.org/officeDocument/2006/relationships/table" Target="../tables/table15.xml"/><Relationship Id="rId34" Type="http://schemas.openxmlformats.org/officeDocument/2006/relationships/table" Target="../tables/table28.xml"/><Relationship Id="rId42" Type="http://schemas.openxmlformats.org/officeDocument/2006/relationships/comments" Target="../comments1.xml"/><Relationship Id="rId7" Type="http://schemas.openxmlformats.org/officeDocument/2006/relationships/table" Target="../tables/table1.xml"/><Relationship Id="rId2" Type="http://schemas.openxmlformats.org/officeDocument/2006/relationships/hyperlink" Target="mailto:huttvictor@gmail.com" TargetMode="External"/><Relationship Id="rId16" Type="http://schemas.openxmlformats.org/officeDocument/2006/relationships/table" Target="../tables/table10.xml"/><Relationship Id="rId20" Type="http://schemas.openxmlformats.org/officeDocument/2006/relationships/table" Target="../tables/table14.xml"/><Relationship Id="rId29" Type="http://schemas.openxmlformats.org/officeDocument/2006/relationships/table" Target="../tables/table23.xml"/><Relationship Id="rId41" Type="http://schemas.openxmlformats.org/officeDocument/2006/relationships/table" Target="../tables/table35.xml"/><Relationship Id="rId1" Type="http://schemas.openxmlformats.org/officeDocument/2006/relationships/hyperlink" Target="about:blank" TargetMode="External"/><Relationship Id="rId6" Type="http://schemas.openxmlformats.org/officeDocument/2006/relationships/vmlDrawing" Target="../drawings/vmlDrawing1.vml"/><Relationship Id="rId11" Type="http://schemas.openxmlformats.org/officeDocument/2006/relationships/table" Target="../tables/table5.xml"/><Relationship Id="rId24" Type="http://schemas.openxmlformats.org/officeDocument/2006/relationships/table" Target="../tables/table18.xml"/><Relationship Id="rId32" Type="http://schemas.openxmlformats.org/officeDocument/2006/relationships/table" Target="../tables/table26.xml"/><Relationship Id="rId37" Type="http://schemas.openxmlformats.org/officeDocument/2006/relationships/table" Target="../tables/table31.xml"/><Relationship Id="rId40" Type="http://schemas.openxmlformats.org/officeDocument/2006/relationships/table" Target="../tables/table34.xml"/><Relationship Id="rId5" Type="http://schemas.openxmlformats.org/officeDocument/2006/relationships/printerSettings" Target="../printerSettings/printerSettings1.bin"/><Relationship Id="rId15" Type="http://schemas.openxmlformats.org/officeDocument/2006/relationships/table" Target="../tables/table9.xml"/><Relationship Id="rId23" Type="http://schemas.openxmlformats.org/officeDocument/2006/relationships/table" Target="../tables/table17.xml"/><Relationship Id="rId28" Type="http://schemas.openxmlformats.org/officeDocument/2006/relationships/table" Target="../tables/table22.xml"/><Relationship Id="rId36" Type="http://schemas.openxmlformats.org/officeDocument/2006/relationships/table" Target="../tables/table30.xml"/><Relationship Id="rId10" Type="http://schemas.openxmlformats.org/officeDocument/2006/relationships/table" Target="../tables/table4.xml"/><Relationship Id="rId19" Type="http://schemas.openxmlformats.org/officeDocument/2006/relationships/table" Target="../tables/table13.xml"/><Relationship Id="rId31" Type="http://schemas.openxmlformats.org/officeDocument/2006/relationships/table" Target="../tables/table25.xml"/><Relationship Id="rId4" Type="http://schemas.openxmlformats.org/officeDocument/2006/relationships/hyperlink" Target="https://www.facebook.com/agmeruruguay-188015884570012/" TargetMode="External"/><Relationship Id="rId9" Type="http://schemas.openxmlformats.org/officeDocument/2006/relationships/table" Target="../tables/table3.xml"/><Relationship Id="rId14" Type="http://schemas.openxmlformats.org/officeDocument/2006/relationships/table" Target="../tables/table8.xml"/><Relationship Id="rId22" Type="http://schemas.openxmlformats.org/officeDocument/2006/relationships/table" Target="../tables/table16.xml"/><Relationship Id="rId27" Type="http://schemas.openxmlformats.org/officeDocument/2006/relationships/table" Target="../tables/table21.xml"/><Relationship Id="rId30" Type="http://schemas.openxmlformats.org/officeDocument/2006/relationships/table" Target="../tables/table24.xml"/><Relationship Id="rId35" Type="http://schemas.openxmlformats.org/officeDocument/2006/relationships/table" Target="../tables/table29.xml"/><Relationship Id="rId8" Type="http://schemas.openxmlformats.org/officeDocument/2006/relationships/table" Target="../tables/table2.xml"/><Relationship Id="rId3" Type="http://schemas.openxmlformats.org/officeDocument/2006/relationships/hyperlink" Target="http://www.agmeruruguay.com.ar/" TargetMode="External"/><Relationship Id="rId12" Type="http://schemas.openxmlformats.org/officeDocument/2006/relationships/table" Target="../tables/table6.xml"/><Relationship Id="rId17" Type="http://schemas.openxmlformats.org/officeDocument/2006/relationships/table" Target="../tables/table11.xml"/><Relationship Id="rId25" Type="http://schemas.openxmlformats.org/officeDocument/2006/relationships/table" Target="../tables/table19.xml"/><Relationship Id="rId33" Type="http://schemas.openxmlformats.org/officeDocument/2006/relationships/table" Target="../tables/table27.xml"/><Relationship Id="rId38" Type="http://schemas.openxmlformats.org/officeDocument/2006/relationships/table" Target="../tables/table3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about: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W559"/>
  <sheetViews>
    <sheetView tabSelected="1" zoomScale="70" zoomScaleNormal="70"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baseColWidth="10" defaultColWidth="14.42578125" defaultRowHeight="15.75" customHeight="1"/>
  <cols>
    <col min="1" max="1" width="9.42578125" customWidth="1"/>
    <col min="2" max="2" width="12.42578125" customWidth="1"/>
    <col min="3" max="3" width="19.7109375" customWidth="1"/>
    <col min="4" max="4" width="32" customWidth="1"/>
    <col min="5" max="5" width="19.5703125" customWidth="1"/>
    <col min="6" max="6" width="16.7109375" customWidth="1"/>
    <col min="7" max="7" width="10.85546875" customWidth="1"/>
    <col min="8" max="8" width="18.42578125" customWidth="1"/>
    <col min="9" max="9" width="16" bestFit="1" customWidth="1"/>
    <col min="10" max="10" width="10.28515625" customWidth="1"/>
    <col min="11" max="11" width="18.5703125" customWidth="1"/>
    <col min="12" max="12" width="15" bestFit="1" customWidth="1"/>
    <col min="13" max="13" width="10.28515625" customWidth="1"/>
    <col min="14" max="14" width="18.5703125" customWidth="1"/>
    <col min="15" max="15" width="18.140625" bestFit="1" customWidth="1"/>
    <col min="16" max="16" width="10.140625" customWidth="1"/>
    <col min="17" max="17" width="18.5703125" customWidth="1"/>
    <col min="18" max="18" width="18.140625" bestFit="1" customWidth="1"/>
    <col min="19" max="19" width="10.5703125" customWidth="1"/>
    <col min="20" max="20" width="19.28515625" customWidth="1"/>
    <col min="21" max="21" width="15" bestFit="1" customWidth="1"/>
    <col min="22" max="22" width="10.28515625" customWidth="1"/>
    <col min="23" max="23" width="18" customWidth="1"/>
    <col min="24" max="24" width="15" bestFit="1" customWidth="1"/>
    <col min="25" max="25" width="10" customWidth="1"/>
    <col min="26" max="26" width="18.7109375" customWidth="1"/>
    <col min="27" max="27" width="15" bestFit="1" customWidth="1"/>
    <col min="28" max="28" width="10.5703125" customWidth="1"/>
    <col min="29" max="29" width="20.140625" bestFit="1" customWidth="1"/>
    <col min="30" max="30" width="15" bestFit="1" customWidth="1"/>
  </cols>
  <sheetData>
    <row r="1" spans="1:49" s="851" customFormat="1">
      <c r="A1" s="916"/>
      <c r="B1" s="908"/>
      <c r="C1" s="908"/>
      <c r="D1" s="843"/>
      <c r="E1" s="838">
        <v>44562</v>
      </c>
      <c r="F1" s="911">
        <v>8.8999999999999996E-2</v>
      </c>
      <c r="G1" s="843"/>
      <c r="H1" s="840">
        <v>44916</v>
      </c>
      <c r="I1" s="841">
        <v>7.0000000000000007E-2</v>
      </c>
      <c r="J1" s="842"/>
      <c r="K1" s="840">
        <v>44855</v>
      </c>
      <c r="L1" s="841">
        <v>0.1</v>
      </c>
      <c r="M1" s="842"/>
      <c r="N1" s="843" t="s">
        <v>0</v>
      </c>
      <c r="O1" s="841">
        <v>0.1</v>
      </c>
      <c r="P1" s="842"/>
      <c r="Q1" s="840">
        <v>44763</v>
      </c>
      <c r="R1" s="841">
        <v>7.0000000000000007E-2</v>
      </c>
      <c r="S1" s="842"/>
      <c r="T1" s="840">
        <v>44702</v>
      </c>
      <c r="U1" s="841">
        <v>0.08</v>
      </c>
      <c r="V1" s="842"/>
      <c r="W1" s="909">
        <v>44641</v>
      </c>
      <c r="X1" s="949" t="s">
        <v>1</v>
      </c>
      <c r="Y1" s="842"/>
      <c r="Z1" s="792">
        <v>44228</v>
      </c>
      <c r="AA1" s="846"/>
      <c r="AB1" s="842"/>
      <c r="AC1" s="847">
        <v>43891</v>
      </c>
      <c r="AD1" s="848"/>
      <c r="AE1" s="842"/>
      <c r="AF1" s="849"/>
      <c r="AG1" s="849"/>
      <c r="AH1" s="910"/>
      <c r="AI1" s="850"/>
      <c r="AJ1" s="837"/>
      <c r="AK1" s="849"/>
      <c r="AL1" s="849"/>
      <c r="AM1" s="849"/>
      <c r="AN1" s="849"/>
      <c r="AO1" s="849"/>
      <c r="AP1" s="849"/>
      <c r="AQ1" s="849"/>
      <c r="AR1" s="849"/>
      <c r="AS1" s="849"/>
      <c r="AT1" s="849"/>
      <c r="AU1" s="849"/>
      <c r="AV1" s="849"/>
      <c r="AW1" s="849"/>
    </row>
    <row r="2" spans="1:49" ht="26.25">
      <c r="A2" s="14" t="s">
        <v>2</v>
      </c>
      <c r="B2" s="14"/>
      <c r="C2" s="14"/>
      <c r="D2" s="14"/>
      <c r="E2" s="15"/>
      <c r="F2" s="16"/>
      <c r="G2" s="16"/>
      <c r="H2" s="16"/>
      <c r="I2" s="16"/>
      <c r="J2" s="17"/>
      <c r="K2" s="18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</row>
    <row r="3" spans="1:49" ht="18">
      <c r="A3" s="912" t="s">
        <v>558</v>
      </c>
      <c r="B3" s="19"/>
      <c r="C3" s="19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</row>
    <row r="4" spans="1:49" ht="12.75">
      <c r="A4" s="21"/>
      <c r="B4" s="22"/>
      <c r="C4" s="22"/>
      <c r="D4" s="23"/>
      <c r="E4" s="23"/>
      <c r="F4" s="23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9">
      <c r="A5" s="913" t="s">
        <v>562</v>
      </c>
      <c r="B5" s="25"/>
      <c r="C5" s="25"/>
      <c r="D5" s="25"/>
      <c r="E5" s="25"/>
      <c r="F5" s="26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</row>
    <row r="6" spans="1:49">
      <c r="A6" s="27" t="s">
        <v>3</v>
      </c>
      <c r="C6" s="13"/>
      <c r="D6" s="28">
        <v>1</v>
      </c>
      <c r="E6" s="28">
        <v>2</v>
      </c>
      <c r="F6" s="28">
        <v>3</v>
      </c>
      <c r="G6" s="28">
        <v>4</v>
      </c>
      <c r="H6" s="28">
        <v>5</v>
      </c>
      <c r="I6" s="28">
        <v>6</v>
      </c>
      <c r="J6" s="28">
        <v>7</v>
      </c>
      <c r="K6" s="29"/>
      <c r="L6" s="28">
        <v>8</v>
      </c>
      <c r="M6" s="28">
        <v>9</v>
      </c>
      <c r="N6" s="28">
        <v>10</v>
      </c>
      <c r="O6" s="29"/>
      <c r="P6" s="28">
        <v>11</v>
      </c>
      <c r="Q6" s="28">
        <v>12</v>
      </c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9" ht="23.25">
      <c r="A7" s="917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</row>
    <row r="8" spans="1:49" ht="15">
      <c r="A8" s="968" t="s">
        <v>4</v>
      </c>
      <c r="B8" s="956"/>
      <c r="C8" s="956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1:49" ht="23.25">
      <c r="A9" s="31"/>
      <c r="B9" s="32"/>
      <c r="C9" s="32"/>
      <c r="D9" s="13"/>
      <c r="E9" s="13"/>
      <c r="F9" s="13"/>
      <c r="G9" s="13"/>
      <c r="H9" s="13"/>
      <c r="I9" s="13"/>
      <c r="J9" s="13"/>
      <c r="K9" s="13"/>
      <c r="L9" s="3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1:49" ht="23.25">
      <c r="A10" s="34" t="s">
        <v>5</v>
      </c>
      <c r="B10" s="32"/>
      <c r="C10" s="32"/>
      <c r="D10" s="13"/>
      <c r="E10" s="13"/>
      <c r="F10" s="13"/>
      <c r="G10" s="13"/>
      <c r="H10" s="13"/>
      <c r="I10" s="13"/>
      <c r="J10" s="13"/>
      <c r="K10" s="13"/>
      <c r="L10" s="3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</row>
    <row r="11" spans="1:49" ht="23.25">
      <c r="A11" s="918"/>
      <c r="B11" s="32"/>
      <c r="C11" s="32"/>
      <c r="D11" s="13"/>
      <c r="E11" s="13"/>
      <c r="F11" s="13"/>
      <c r="G11" s="13"/>
      <c r="H11" s="13"/>
      <c r="I11" s="13"/>
      <c r="J11" s="13"/>
      <c r="K11" s="13"/>
      <c r="L11" s="3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</row>
    <row r="12" spans="1:49" ht="23.25" hidden="1">
      <c r="A12" s="32"/>
      <c r="B12" s="13"/>
      <c r="C12" s="13"/>
      <c r="D12" s="13"/>
      <c r="E12" s="13"/>
      <c r="F12" s="13"/>
      <c r="G12" s="13"/>
      <c r="H12" s="13"/>
      <c r="I12" s="13"/>
      <c r="J12" s="32"/>
      <c r="K12" s="32"/>
      <c r="L12" s="32"/>
      <c r="M12" s="13"/>
      <c r="N12" s="33"/>
      <c r="O12" s="3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</row>
    <row r="13" spans="1:49" ht="23.25" hidden="1">
      <c r="A13" s="32"/>
      <c r="B13" s="13"/>
      <c r="C13" s="13"/>
      <c r="D13" s="13"/>
      <c r="E13" s="13"/>
      <c r="F13" s="13"/>
      <c r="G13" s="13"/>
      <c r="H13" s="13"/>
      <c r="I13" s="35"/>
      <c r="J13" s="32"/>
      <c r="K13" s="32"/>
      <c r="L13" s="32"/>
      <c r="M13" s="13"/>
      <c r="N13" s="33"/>
      <c r="O13" s="3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</row>
    <row r="14" spans="1:49" ht="23.25" hidden="1">
      <c r="A14" s="32"/>
      <c r="B14" s="13"/>
      <c r="C14" s="13"/>
      <c r="D14" s="13"/>
      <c r="E14" s="13"/>
      <c r="F14" s="13"/>
      <c r="G14" s="13"/>
      <c r="H14" s="13"/>
      <c r="I14" s="13"/>
      <c r="J14" s="32"/>
      <c r="K14" s="32"/>
      <c r="L14" s="13"/>
      <c r="M14" s="3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</row>
    <row r="15" spans="1:49" ht="23.25" hidden="1">
      <c r="A15" s="32"/>
      <c r="B15" s="13"/>
      <c r="C15" s="13"/>
      <c r="D15" s="13"/>
      <c r="E15" s="13"/>
      <c r="F15" s="13"/>
      <c r="G15" s="13"/>
      <c r="H15" s="13"/>
      <c r="I15" s="13"/>
      <c r="J15" s="32"/>
      <c r="K15" s="32"/>
      <c r="L15" s="13"/>
      <c r="M15" s="3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</row>
    <row r="16" spans="1:49" ht="23.25" hidden="1">
      <c r="A16" s="32"/>
      <c r="B16" s="13"/>
      <c r="C16" s="13"/>
      <c r="D16" s="36" t="s">
        <v>6</v>
      </c>
      <c r="E16" s="37"/>
      <c r="F16" s="13"/>
      <c r="G16" s="13"/>
      <c r="H16" s="13"/>
      <c r="I16" s="38">
        <v>44581</v>
      </c>
      <c r="J16" s="32"/>
      <c r="K16" s="32"/>
      <c r="L16" s="38">
        <v>44581</v>
      </c>
      <c r="M16" s="33"/>
      <c r="N16" s="13"/>
      <c r="O16" s="13"/>
      <c r="P16" s="13"/>
      <c r="Q16" s="13"/>
      <c r="R16" s="13"/>
      <c r="S16" s="38">
        <v>44612</v>
      </c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</row>
    <row r="17" spans="1:46" hidden="1">
      <c r="A17" s="32"/>
      <c r="B17" s="13"/>
      <c r="C17" s="13"/>
      <c r="D17" s="39" t="s">
        <v>7</v>
      </c>
      <c r="E17" s="40" t="s">
        <v>8</v>
      </c>
      <c r="F17" s="13"/>
      <c r="G17" s="13"/>
      <c r="H17" s="13"/>
      <c r="I17" s="41" t="s">
        <v>9</v>
      </c>
      <c r="J17" s="42" t="s">
        <v>10</v>
      </c>
      <c r="K17" s="43" t="s">
        <v>11</v>
      </c>
      <c r="L17" s="44" t="s">
        <v>12</v>
      </c>
      <c r="M17" s="45" t="s">
        <v>13</v>
      </c>
      <c r="N17" s="44" t="s">
        <v>14</v>
      </c>
      <c r="O17" s="44" t="s">
        <v>15</v>
      </c>
      <c r="P17" s="44" t="s">
        <v>16</v>
      </c>
      <c r="Q17" s="44" t="s">
        <v>17</v>
      </c>
      <c r="R17" s="46" t="s">
        <v>18</v>
      </c>
      <c r="S17" s="46">
        <v>1</v>
      </c>
      <c r="T17" s="46">
        <v>2</v>
      </c>
      <c r="U17" s="46">
        <v>3</v>
      </c>
      <c r="V17" s="46">
        <v>4</v>
      </c>
      <c r="W17" s="46">
        <v>5</v>
      </c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</row>
    <row r="18" spans="1:46" hidden="1">
      <c r="A18" s="32"/>
      <c r="B18" s="13"/>
      <c r="C18" s="13"/>
      <c r="D18" s="47">
        <v>0</v>
      </c>
      <c r="E18" s="48">
        <v>0</v>
      </c>
      <c r="F18" s="13"/>
      <c r="G18" s="13"/>
      <c r="H18" s="49">
        <v>0</v>
      </c>
      <c r="I18" s="65">
        <f t="shared" ref="I18:I29" si="0">IF(OR(puntosproljor&lt;620,nina=1),W18,R18)</f>
        <v>4308</v>
      </c>
      <c r="J18" s="50">
        <v>4308</v>
      </c>
      <c r="K18" s="51">
        <v>1834</v>
      </c>
      <c r="L18" s="51">
        <v>0</v>
      </c>
      <c r="M18" s="51">
        <v>0</v>
      </c>
      <c r="N18" s="51">
        <v>0</v>
      </c>
      <c r="O18" s="51">
        <v>0</v>
      </c>
      <c r="P18" s="51">
        <v>3109</v>
      </c>
      <c r="Q18" s="51">
        <v>2321</v>
      </c>
      <c r="R18" s="52">
        <f t="shared" ref="R18:R29" si="1">IF(PUNTOSbasicos&gt;971,Q18,P18)</f>
        <v>3109</v>
      </c>
      <c r="S18" s="52">
        <f t="shared" ref="S18:S29" si="2">IF(PUNTOSbasicos&lt;972,J18,K18)</f>
        <v>4308</v>
      </c>
      <c r="T18" s="52">
        <f t="shared" ref="T18:T29" si="3">IF(PUNTOSbasicos&lt;1170,S18,L18)</f>
        <v>4308</v>
      </c>
      <c r="U18" s="52">
        <f t="shared" ref="U18:U29" si="4">IF(PUNTOSbasicos&lt;1401,T18,M18)</f>
        <v>4308</v>
      </c>
      <c r="V18" s="52">
        <f t="shared" ref="V18:V29" si="5">IF(PUNTOSbasicos&lt;1943,U18,N18)</f>
        <v>4308</v>
      </c>
      <c r="W18" s="52">
        <f t="shared" ref="W18:W29" si="6">IF(PUNTOSbasicos&lt;=2220,V18,O18)</f>
        <v>4308</v>
      </c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</row>
    <row r="19" spans="1:46" hidden="1">
      <c r="A19" s="32"/>
      <c r="B19" s="13"/>
      <c r="C19" s="13"/>
      <c r="D19" s="47">
        <v>1</v>
      </c>
      <c r="E19" s="53">
        <v>0.1</v>
      </c>
      <c r="F19" s="13"/>
      <c r="G19" s="13"/>
      <c r="H19" s="54">
        <v>0.1</v>
      </c>
      <c r="I19" s="65">
        <f t="shared" si="0"/>
        <v>6242</v>
      </c>
      <c r="J19" s="50">
        <v>6242</v>
      </c>
      <c r="K19" s="51">
        <v>1984</v>
      </c>
      <c r="L19" s="51">
        <v>0</v>
      </c>
      <c r="M19" s="51">
        <v>0</v>
      </c>
      <c r="N19" s="51">
        <v>0</v>
      </c>
      <c r="O19" s="51">
        <v>0</v>
      </c>
      <c r="P19" s="51">
        <v>3259</v>
      </c>
      <c r="Q19" s="51">
        <v>2471</v>
      </c>
      <c r="R19" s="52">
        <f t="shared" si="1"/>
        <v>3259</v>
      </c>
      <c r="S19" s="52">
        <f t="shared" si="2"/>
        <v>6242</v>
      </c>
      <c r="T19" s="52">
        <f t="shared" si="3"/>
        <v>6242</v>
      </c>
      <c r="U19" s="52">
        <f t="shared" si="4"/>
        <v>6242</v>
      </c>
      <c r="V19" s="52">
        <f t="shared" si="5"/>
        <v>6242</v>
      </c>
      <c r="W19" s="52">
        <f t="shared" si="6"/>
        <v>6242</v>
      </c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</row>
    <row r="20" spans="1:46" hidden="1">
      <c r="A20" s="32"/>
      <c r="B20" s="13"/>
      <c r="C20" s="13"/>
      <c r="D20" s="47">
        <v>2</v>
      </c>
      <c r="E20" s="53">
        <v>0.15</v>
      </c>
      <c r="F20" s="13"/>
      <c r="G20" s="13"/>
      <c r="H20" s="55">
        <v>0.15</v>
      </c>
      <c r="I20" s="65">
        <f t="shared" si="0"/>
        <v>7454</v>
      </c>
      <c r="J20" s="50">
        <v>7454</v>
      </c>
      <c r="K20" s="51">
        <v>3319</v>
      </c>
      <c r="L20" s="51">
        <v>4197</v>
      </c>
      <c r="M20" s="51">
        <v>3501</v>
      </c>
      <c r="N20" s="51">
        <v>3797</v>
      </c>
      <c r="O20" s="51">
        <v>0</v>
      </c>
      <c r="P20" s="51">
        <v>5193</v>
      </c>
      <c r="Q20" s="51">
        <v>4406</v>
      </c>
      <c r="R20" s="52">
        <f t="shared" si="1"/>
        <v>5193</v>
      </c>
      <c r="S20" s="52">
        <f t="shared" si="2"/>
        <v>7454</v>
      </c>
      <c r="T20" s="52">
        <f t="shared" si="3"/>
        <v>7454</v>
      </c>
      <c r="U20" s="52">
        <f t="shared" si="4"/>
        <v>7454</v>
      </c>
      <c r="V20" s="52">
        <f t="shared" si="5"/>
        <v>7454</v>
      </c>
      <c r="W20" s="52">
        <f t="shared" si="6"/>
        <v>7454</v>
      </c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</row>
    <row r="21" spans="1:46" hidden="1">
      <c r="A21" s="32"/>
      <c r="B21" s="13"/>
      <c r="C21" s="13"/>
      <c r="D21" s="47">
        <v>5</v>
      </c>
      <c r="E21" s="53">
        <v>0.3</v>
      </c>
      <c r="F21" s="13"/>
      <c r="G21" s="13"/>
      <c r="H21" s="55">
        <v>0.3</v>
      </c>
      <c r="I21" s="65">
        <f t="shared" si="0"/>
        <v>7954</v>
      </c>
      <c r="J21" s="50">
        <v>7954</v>
      </c>
      <c r="K21" s="51">
        <v>3532</v>
      </c>
      <c r="L21" s="51">
        <v>4197</v>
      </c>
      <c r="M21" s="51">
        <v>3501</v>
      </c>
      <c r="N21" s="51">
        <v>3797</v>
      </c>
      <c r="O21" s="51">
        <v>0</v>
      </c>
      <c r="P21" s="51">
        <v>7574</v>
      </c>
      <c r="Q21" s="51">
        <v>6340</v>
      </c>
      <c r="R21" s="52">
        <f t="shared" si="1"/>
        <v>7574</v>
      </c>
      <c r="S21" s="52">
        <f t="shared" si="2"/>
        <v>7954</v>
      </c>
      <c r="T21" s="52">
        <f t="shared" si="3"/>
        <v>7954</v>
      </c>
      <c r="U21" s="52">
        <f t="shared" si="4"/>
        <v>7954</v>
      </c>
      <c r="V21" s="52">
        <f t="shared" si="5"/>
        <v>7954</v>
      </c>
      <c r="W21" s="52">
        <f t="shared" si="6"/>
        <v>7954</v>
      </c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</row>
    <row r="22" spans="1:46" hidden="1">
      <c r="A22" s="32"/>
      <c r="B22" s="13"/>
      <c r="C22" s="13"/>
      <c r="D22" s="47">
        <v>7</v>
      </c>
      <c r="E22" s="53">
        <v>0.4</v>
      </c>
      <c r="F22" s="13"/>
      <c r="G22" s="13"/>
      <c r="H22" s="55">
        <v>0.4</v>
      </c>
      <c r="I22" s="65">
        <f t="shared" si="0"/>
        <v>7144</v>
      </c>
      <c r="J22" s="50">
        <v>7144</v>
      </c>
      <c r="K22" s="51">
        <v>3760</v>
      </c>
      <c r="L22" s="51">
        <v>4352</v>
      </c>
      <c r="M22" s="51">
        <v>3605</v>
      </c>
      <c r="N22" s="51">
        <v>3797</v>
      </c>
      <c r="O22" s="51">
        <v>3205</v>
      </c>
      <c r="P22" s="51">
        <v>8470</v>
      </c>
      <c r="Q22" s="51">
        <v>7087</v>
      </c>
      <c r="R22" s="52">
        <f t="shared" si="1"/>
        <v>8470</v>
      </c>
      <c r="S22" s="52">
        <f t="shared" si="2"/>
        <v>7144</v>
      </c>
      <c r="T22" s="52">
        <f t="shared" si="3"/>
        <v>7144</v>
      </c>
      <c r="U22" s="52">
        <f t="shared" si="4"/>
        <v>7144</v>
      </c>
      <c r="V22" s="52">
        <f t="shared" si="5"/>
        <v>7144</v>
      </c>
      <c r="W22" s="52">
        <f t="shared" si="6"/>
        <v>7144</v>
      </c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</row>
    <row r="23" spans="1:46" hidden="1">
      <c r="A23" s="32"/>
      <c r="B23" s="13"/>
      <c r="C23" s="13"/>
      <c r="D23" s="47">
        <v>10</v>
      </c>
      <c r="E23" s="53">
        <v>0.5</v>
      </c>
      <c r="F23" s="13"/>
      <c r="G23" s="13"/>
      <c r="H23" s="55">
        <v>0.5</v>
      </c>
      <c r="I23" s="65">
        <f t="shared" si="0"/>
        <v>6174</v>
      </c>
      <c r="J23" s="50">
        <v>6174</v>
      </c>
      <c r="K23" s="51">
        <v>4056</v>
      </c>
      <c r="L23" s="51">
        <v>4352</v>
      </c>
      <c r="M23" s="51">
        <v>3605</v>
      </c>
      <c r="N23" s="51">
        <v>3797</v>
      </c>
      <c r="O23" s="51">
        <v>3205</v>
      </c>
      <c r="P23" s="51">
        <v>8990</v>
      </c>
      <c r="Q23" s="51">
        <v>7601</v>
      </c>
      <c r="R23" s="52">
        <f t="shared" si="1"/>
        <v>8990</v>
      </c>
      <c r="S23" s="52">
        <f t="shared" si="2"/>
        <v>6174</v>
      </c>
      <c r="T23" s="52">
        <f t="shared" si="3"/>
        <v>6174</v>
      </c>
      <c r="U23" s="52">
        <f t="shared" si="4"/>
        <v>6174</v>
      </c>
      <c r="V23" s="52">
        <f t="shared" si="5"/>
        <v>6174</v>
      </c>
      <c r="W23" s="52">
        <f t="shared" si="6"/>
        <v>6174</v>
      </c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</row>
    <row r="24" spans="1:46" hidden="1">
      <c r="A24" s="32"/>
      <c r="B24" s="13"/>
      <c r="C24" s="13"/>
      <c r="D24" s="47">
        <v>12</v>
      </c>
      <c r="E24" s="53">
        <v>0.6</v>
      </c>
      <c r="F24" s="13"/>
      <c r="G24" s="13"/>
      <c r="H24" s="55">
        <v>0.6</v>
      </c>
      <c r="I24" s="65">
        <f t="shared" si="0"/>
        <v>6211</v>
      </c>
      <c r="J24" s="50">
        <v>6211</v>
      </c>
      <c r="K24" s="51">
        <v>4493</v>
      </c>
      <c r="L24" s="51">
        <v>4493</v>
      </c>
      <c r="M24" s="51">
        <v>3655</v>
      </c>
      <c r="N24" s="51">
        <v>3941</v>
      </c>
      <c r="O24" s="51">
        <v>3492</v>
      </c>
      <c r="P24" s="51">
        <v>9509</v>
      </c>
      <c r="Q24" s="51">
        <v>7830</v>
      </c>
      <c r="R24" s="52">
        <f t="shared" si="1"/>
        <v>9509</v>
      </c>
      <c r="S24" s="52">
        <f t="shared" si="2"/>
        <v>6211</v>
      </c>
      <c r="T24" s="52">
        <f t="shared" si="3"/>
        <v>6211</v>
      </c>
      <c r="U24" s="52">
        <f t="shared" si="4"/>
        <v>6211</v>
      </c>
      <c r="V24" s="52">
        <f t="shared" si="5"/>
        <v>6211</v>
      </c>
      <c r="W24" s="52">
        <f t="shared" si="6"/>
        <v>6211</v>
      </c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</row>
    <row r="25" spans="1:46" hidden="1">
      <c r="A25" s="32"/>
      <c r="B25" s="13"/>
      <c r="C25" s="13"/>
      <c r="D25" s="47">
        <v>15</v>
      </c>
      <c r="E25" s="53">
        <v>0.7</v>
      </c>
      <c r="F25" s="13"/>
      <c r="G25" s="13"/>
      <c r="H25" s="55">
        <v>0.7</v>
      </c>
      <c r="I25" s="65">
        <f t="shared" si="0"/>
        <v>5924</v>
      </c>
      <c r="J25" s="50">
        <v>5924</v>
      </c>
      <c r="K25" s="51">
        <v>4861</v>
      </c>
      <c r="L25" s="51">
        <v>6035</v>
      </c>
      <c r="M25" s="51">
        <v>4056</v>
      </c>
      <c r="N25" s="51">
        <v>3941</v>
      </c>
      <c r="O25" s="51">
        <v>3492</v>
      </c>
      <c r="P25" s="51">
        <v>9736</v>
      </c>
      <c r="Q25" s="51">
        <v>8057</v>
      </c>
      <c r="R25" s="52">
        <f t="shared" si="1"/>
        <v>9736</v>
      </c>
      <c r="S25" s="52">
        <f t="shared" si="2"/>
        <v>5924</v>
      </c>
      <c r="T25" s="52">
        <f t="shared" si="3"/>
        <v>5924</v>
      </c>
      <c r="U25" s="52">
        <f t="shared" si="4"/>
        <v>5924</v>
      </c>
      <c r="V25" s="52">
        <f t="shared" si="5"/>
        <v>5924</v>
      </c>
      <c r="W25" s="52">
        <f t="shared" si="6"/>
        <v>5924</v>
      </c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</row>
    <row r="26" spans="1:46" hidden="1">
      <c r="A26" s="32"/>
      <c r="B26" s="13"/>
      <c r="C26" s="13"/>
      <c r="D26" s="47">
        <v>17</v>
      </c>
      <c r="E26" s="53">
        <v>0.8</v>
      </c>
      <c r="F26" s="13"/>
      <c r="G26" s="13"/>
      <c r="H26" s="55">
        <v>0.8</v>
      </c>
      <c r="I26" s="65">
        <f t="shared" si="0"/>
        <v>7185</v>
      </c>
      <c r="J26" s="50">
        <v>7185</v>
      </c>
      <c r="K26" s="51">
        <v>5749</v>
      </c>
      <c r="L26" s="51">
        <v>6491</v>
      </c>
      <c r="M26" s="51">
        <v>5671</v>
      </c>
      <c r="N26" s="51">
        <v>5262</v>
      </c>
      <c r="O26" s="51">
        <v>3797</v>
      </c>
      <c r="P26" s="51">
        <v>10173</v>
      </c>
      <c r="Q26" s="51">
        <v>8203</v>
      </c>
      <c r="R26" s="52">
        <f t="shared" si="1"/>
        <v>10173</v>
      </c>
      <c r="S26" s="52">
        <f t="shared" si="2"/>
        <v>7185</v>
      </c>
      <c r="T26" s="52">
        <f t="shared" si="3"/>
        <v>7185</v>
      </c>
      <c r="U26" s="52">
        <f t="shared" si="4"/>
        <v>7185</v>
      </c>
      <c r="V26" s="52">
        <f t="shared" si="5"/>
        <v>7185</v>
      </c>
      <c r="W26" s="52">
        <f t="shared" si="6"/>
        <v>7185</v>
      </c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</row>
    <row r="27" spans="1:46" hidden="1">
      <c r="A27" s="32"/>
      <c r="B27" s="13"/>
      <c r="C27" s="13"/>
      <c r="D27" s="47">
        <v>20</v>
      </c>
      <c r="E27" s="53">
        <v>1</v>
      </c>
      <c r="F27" s="13"/>
      <c r="G27" s="13"/>
      <c r="H27" s="55">
        <v>1</v>
      </c>
      <c r="I27" s="65">
        <f t="shared" si="0"/>
        <v>9001</v>
      </c>
      <c r="J27" s="50">
        <v>9001</v>
      </c>
      <c r="K27" s="51">
        <v>7069</v>
      </c>
      <c r="L27" s="51">
        <v>6704</v>
      </c>
      <c r="M27" s="51">
        <v>5526</v>
      </c>
      <c r="N27" s="51">
        <v>5708</v>
      </c>
      <c r="O27" s="51">
        <v>3797</v>
      </c>
      <c r="P27" s="51">
        <v>10701</v>
      </c>
      <c r="Q27" s="51">
        <v>8421</v>
      </c>
      <c r="R27" s="52">
        <f t="shared" si="1"/>
        <v>10701</v>
      </c>
      <c r="S27" s="52">
        <f t="shared" si="2"/>
        <v>9001</v>
      </c>
      <c r="T27" s="52">
        <f t="shared" si="3"/>
        <v>9001</v>
      </c>
      <c r="U27" s="52">
        <f t="shared" si="4"/>
        <v>9001</v>
      </c>
      <c r="V27" s="52">
        <f t="shared" si="5"/>
        <v>9001</v>
      </c>
      <c r="W27" s="52">
        <f t="shared" si="6"/>
        <v>9001</v>
      </c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</row>
    <row r="28" spans="1:46" hidden="1">
      <c r="A28" s="32"/>
      <c r="B28" s="13"/>
      <c r="C28" s="13"/>
      <c r="D28" s="47">
        <v>22</v>
      </c>
      <c r="E28" s="53">
        <v>1.1000000000000001</v>
      </c>
      <c r="F28" s="13"/>
      <c r="G28" s="13"/>
      <c r="H28" s="55">
        <v>1.1000000000000001</v>
      </c>
      <c r="I28" s="65">
        <f t="shared" si="0"/>
        <v>10116</v>
      </c>
      <c r="J28" s="50">
        <v>10116</v>
      </c>
      <c r="K28" s="51">
        <v>7961</v>
      </c>
      <c r="L28" s="51">
        <v>7005</v>
      </c>
      <c r="M28" s="51">
        <v>5526</v>
      </c>
      <c r="N28" s="51">
        <v>5858</v>
      </c>
      <c r="O28" s="51">
        <v>3941</v>
      </c>
      <c r="P28" s="51">
        <v>11069</v>
      </c>
      <c r="Q28" s="51">
        <v>8643</v>
      </c>
      <c r="R28" s="52">
        <f t="shared" si="1"/>
        <v>11069</v>
      </c>
      <c r="S28" s="52">
        <f t="shared" si="2"/>
        <v>10116</v>
      </c>
      <c r="T28" s="52">
        <f t="shared" si="3"/>
        <v>10116</v>
      </c>
      <c r="U28" s="52">
        <f t="shared" si="4"/>
        <v>10116</v>
      </c>
      <c r="V28" s="52">
        <f t="shared" si="5"/>
        <v>10116</v>
      </c>
      <c r="W28" s="52">
        <f t="shared" si="6"/>
        <v>10116</v>
      </c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</row>
    <row r="29" spans="1:46" hidden="1">
      <c r="A29" s="32"/>
      <c r="B29" s="13"/>
      <c r="C29" s="13"/>
      <c r="D29" s="47">
        <v>24</v>
      </c>
      <c r="E29" s="53">
        <v>1.2</v>
      </c>
      <c r="F29" s="13"/>
      <c r="G29" s="13"/>
      <c r="H29" s="55">
        <v>1.2</v>
      </c>
      <c r="I29" s="65">
        <f t="shared" si="0"/>
        <v>10471</v>
      </c>
      <c r="J29" s="50">
        <v>10471</v>
      </c>
      <c r="K29" s="51">
        <v>8180</v>
      </c>
      <c r="L29" s="51">
        <v>7734</v>
      </c>
      <c r="M29" s="51">
        <v>5599</v>
      </c>
      <c r="N29" s="51">
        <v>6004</v>
      </c>
      <c r="O29" s="51">
        <v>3941</v>
      </c>
      <c r="P29" s="51">
        <v>11143</v>
      </c>
      <c r="Q29" s="51">
        <v>8726</v>
      </c>
      <c r="R29" s="52">
        <f t="shared" si="1"/>
        <v>11143</v>
      </c>
      <c r="S29" s="52">
        <f t="shared" si="2"/>
        <v>10471</v>
      </c>
      <c r="T29" s="52">
        <f t="shared" si="3"/>
        <v>10471</v>
      </c>
      <c r="U29" s="52">
        <f t="shared" si="4"/>
        <v>10471</v>
      </c>
      <c r="V29" s="52">
        <f t="shared" si="5"/>
        <v>10471</v>
      </c>
      <c r="W29" s="52">
        <f t="shared" si="6"/>
        <v>10471</v>
      </c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</row>
    <row r="30" spans="1:46" hidden="1">
      <c r="A30" s="32"/>
      <c r="B30" s="13"/>
      <c r="C30" s="13"/>
      <c r="D30" s="56"/>
      <c r="E30" s="56"/>
      <c r="F30" s="13"/>
      <c r="G30" s="13"/>
      <c r="H30" s="57"/>
      <c r="I30" s="58"/>
      <c r="J30" s="59"/>
      <c r="K30" s="59"/>
      <c r="L30" s="59"/>
      <c r="M30" s="59"/>
      <c r="N30" s="59"/>
      <c r="O30" s="59"/>
      <c r="P30" s="59"/>
      <c r="Q30" s="59"/>
      <c r="R30" s="31"/>
      <c r="S30" s="31"/>
      <c r="T30" s="31"/>
      <c r="U30" s="31"/>
      <c r="V30" s="31"/>
      <c r="W30" s="31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</row>
    <row r="31" spans="1:46" hidden="1">
      <c r="A31" s="32"/>
      <c r="B31" s="13"/>
      <c r="C31" s="13"/>
      <c r="D31" s="56"/>
      <c r="E31" s="56"/>
      <c r="F31" s="13"/>
      <c r="G31" s="13"/>
      <c r="H31" s="49">
        <v>0</v>
      </c>
      <c r="I31" s="58"/>
      <c r="J31" s="60">
        <v>5000</v>
      </c>
      <c r="K31" s="60">
        <v>5000</v>
      </c>
      <c r="L31" s="61">
        <v>0</v>
      </c>
      <c r="M31" s="61">
        <v>0</v>
      </c>
      <c r="N31" s="61">
        <v>0</v>
      </c>
      <c r="O31" s="61">
        <v>0</v>
      </c>
      <c r="P31" s="62">
        <v>4374</v>
      </c>
      <c r="Q31" s="62">
        <v>4375</v>
      </c>
      <c r="R31" s="31"/>
      <c r="S31" s="31"/>
      <c r="T31" s="31"/>
      <c r="U31" s="31"/>
      <c r="V31" s="31"/>
      <c r="W31" s="31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</row>
    <row r="32" spans="1:46" hidden="1">
      <c r="A32" s="32"/>
      <c r="B32" s="13"/>
      <c r="C32" s="13"/>
      <c r="D32" s="56"/>
      <c r="E32" s="56"/>
      <c r="F32" s="13"/>
      <c r="G32" s="13"/>
      <c r="H32" s="54">
        <v>0.1</v>
      </c>
      <c r="I32" s="58"/>
      <c r="J32" s="60">
        <v>5001</v>
      </c>
      <c r="K32" s="60">
        <v>5000</v>
      </c>
      <c r="L32" s="61">
        <v>0</v>
      </c>
      <c r="M32" s="61">
        <v>0</v>
      </c>
      <c r="N32" s="61">
        <v>0</v>
      </c>
      <c r="O32" s="61">
        <v>0</v>
      </c>
      <c r="P32" s="62">
        <v>4375</v>
      </c>
      <c r="Q32" s="62">
        <v>4376</v>
      </c>
      <c r="R32" s="31"/>
      <c r="S32" s="31"/>
      <c r="T32" s="31"/>
      <c r="U32" s="31"/>
      <c r="V32" s="31"/>
      <c r="W32" s="31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</row>
    <row r="33" spans="1:46" hidden="1">
      <c r="A33" s="32"/>
      <c r="B33" s="13"/>
      <c r="C33" s="13"/>
      <c r="D33" s="56"/>
      <c r="E33" s="56"/>
      <c r="F33" s="13"/>
      <c r="G33" s="13"/>
      <c r="H33" s="55">
        <v>0.15</v>
      </c>
      <c r="I33" s="58"/>
      <c r="J33" s="60">
        <v>5000</v>
      </c>
      <c r="K33" s="60">
        <v>5000</v>
      </c>
      <c r="L33" s="62">
        <v>5000</v>
      </c>
      <c r="M33" s="62">
        <v>4375</v>
      </c>
      <c r="N33" s="62">
        <v>4375</v>
      </c>
      <c r="O33" s="61">
        <v>0</v>
      </c>
      <c r="P33" s="62">
        <v>4376</v>
      </c>
      <c r="Q33" s="62">
        <v>4375</v>
      </c>
      <c r="R33" s="31"/>
      <c r="S33" s="31"/>
      <c r="T33" s="31"/>
      <c r="U33" s="31"/>
      <c r="V33" s="31"/>
      <c r="W33" s="31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</row>
    <row r="34" spans="1:46" hidden="1">
      <c r="A34" s="32"/>
      <c r="B34" s="13"/>
      <c r="C34" s="13"/>
      <c r="D34" s="56"/>
      <c r="E34" s="56"/>
      <c r="F34" s="13"/>
      <c r="G34" s="13"/>
      <c r="H34" s="55">
        <v>0.3</v>
      </c>
      <c r="I34" s="58"/>
      <c r="J34" s="60">
        <v>5000</v>
      </c>
      <c r="K34" s="60">
        <v>5000</v>
      </c>
      <c r="L34" s="62">
        <v>5000</v>
      </c>
      <c r="M34" s="62">
        <v>4375</v>
      </c>
      <c r="N34" s="62">
        <v>4375</v>
      </c>
      <c r="O34" s="61">
        <v>0</v>
      </c>
      <c r="P34" s="62">
        <v>4376</v>
      </c>
      <c r="Q34" s="62">
        <v>4376</v>
      </c>
      <c r="R34" s="31"/>
      <c r="S34" s="31"/>
      <c r="T34" s="31"/>
      <c r="U34" s="31"/>
      <c r="V34" s="31"/>
      <c r="W34" s="31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</row>
    <row r="35" spans="1:46" hidden="1">
      <c r="A35" s="32"/>
      <c r="B35" s="13"/>
      <c r="C35" s="13"/>
      <c r="D35" s="56"/>
      <c r="E35" s="56"/>
      <c r="F35" s="13"/>
      <c r="G35" s="13"/>
      <c r="H35" s="55">
        <v>0.4</v>
      </c>
      <c r="I35" s="58"/>
      <c r="J35" s="60">
        <v>5001</v>
      </c>
      <c r="K35" s="60">
        <v>4999</v>
      </c>
      <c r="L35" s="60">
        <v>4375</v>
      </c>
      <c r="M35" s="62">
        <v>4375</v>
      </c>
      <c r="N35" s="62">
        <v>4375</v>
      </c>
      <c r="O35" s="62">
        <v>4374</v>
      </c>
      <c r="P35" s="62">
        <v>4376</v>
      </c>
      <c r="Q35" s="61">
        <v>3751</v>
      </c>
      <c r="R35" s="31"/>
      <c r="S35" s="31"/>
      <c r="T35" s="31"/>
      <c r="U35" s="31"/>
      <c r="V35" s="31"/>
      <c r="W35" s="31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</row>
    <row r="36" spans="1:46" hidden="1">
      <c r="A36" s="32"/>
      <c r="B36" s="13"/>
      <c r="C36" s="13"/>
      <c r="D36" s="56"/>
      <c r="E36" s="56"/>
      <c r="F36" s="13"/>
      <c r="G36" s="13"/>
      <c r="H36" s="55">
        <v>0.5</v>
      </c>
      <c r="I36" s="58"/>
      <c r="J36" s="60">
        <v>5001</v>
      </c>
      <c r="K36" s="60">
        <v>4999</v>
      </c>
      <c r="L36" s="60">
        <v>4375</v>
      </c>
      <c r="M36" s="62">
        <v>4375</v>
      </c>
      <c r="N36" s="62">
        <v>4375</v>
      </c>
      <c r="O36" s="61">
        <v>3749</v>
      </c>
      <c r="P36" s="62">
        <v>4376</v>
      </c>
      <c r="Q36" s="61">
        <v>3751</v>
      </c>
      <c r="R36" s="31"/>
      <c r="S36" s="31"/>
      <c r="T36" s="31"/>
      <c r="U36" s="31"/>
      <c r="V36" s="31"/>
      <c r="W36" s="31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</row>
    <row r="37" spans="1:46" hidden="1">
      <c r="A37" s="32"/>
      <c r="B37" s="13"/>
      <c r="C37" s="13"/>
      <c r="D37" s="56"/>
      <c r="E37" s="56"/>
      <c r="F37" s="13"/>
      <c r="G37" s="13"/>
      <c r="H37" s="55">
        <v>0.6</v>
      </c>
      <c r="I37" s="58"/>
      <c r="J37" s="60">
        <v>4999</v>
      </c>
      <c r="K37" s="61">
        <v>4375</v>
      </c>
      <c r="L37" s="60">
        <v>4375</v>
      </c>
      <c r="M37" s="62">
        <v>4376</v>
      </c>
      <c r="N37" s="61">
        <v>3651</v>
      </c>
      <c r="O37" s="61">
        <v>3749</v>
      </c>
      <c r="P37" s="62">
        <v>4376</v>
      </c>
      <c r="Q37" s="61">
        <v>3750</v>
      </c>
      <c r="R37" s="31"/>
      <c r="S37" s="31"/>
      <c r="T37" s="31"/>
      <c r="U37" s="31"/>
      <c r="V37" s="31"/>
      <c r="W37" s="31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</row>
    <row r="38" spans="1:46" hidden="1">
      <c r="A38" s="32"/>
      <c r="B38" s="13"/>
      <c r="C38" s="13"/>
      <c r="D38" s="56"/>
      <c r="E38" s="56"/>
      <c r="F38" s="13"/>
      <c r="G38" s="13"/>
      <c r="H38" s="55">
        <v>0.7</v>
      </c>
      <c r="I38" s="58"/>
      <c r="J38" s="61">
        <v>4375</v>
      </c>
      <c r="K38" s="61">
        <v>4376</v>
      </c>
      <c r="L38" s="60">
        <v>4376</v>
      </c>
      <c r="M38" s="61">
        <v>3749</v>
      </c>
      <c r="N38" s="61">
        <v>3651</v>
      </c>
      <c r="O38" s="61">
        <v>3749</v>
      </c>
      <c r="P38" s="61">
        <v>3751</v>
      </c>
      <c r="Q38" s="61">
        <v>3750</v>
      </c>
      <c r="R38" s="31"/>
      <c r="S38" s="31"/>
      <c r="T38" s="31"/>
      <c r="U38" s="31"/>
      <c r="V38" s="31"/>
      <c r="W38" s="31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</row>
    <row r="39" spans="1:46" hidden="1">
      <c r="A39" s="32"/>
      <c r="B39" s="13"/>
      <c r="C39" s="13"/>
      <c r="D39" s="56"/>
      <c r="E39" s="56"/>
      <c r="F39" s="13"/>
      <c r="G39" s="13"/>
      <c r="H39" s="55">
        <v>0.8</v>
      </c>
      <c r="I39" s="58"/>
      <c r="J39" s="61">
        <v>4375</v>
      </c>
      <c r="K39" s="61">
        <v>4376</v>
      </c>
      <c r="L39" s="60">
        <v>4375</v>
      </c>
      <c r="M39" s="61">
        <v>3751</v>
      </c>
      <c r="N39" s="61">
        <v>3751</v>
      </c>
      <c r="O39" s="61">
        <v>3750</v>
      </c>
      <c r="P39" s="61">
        <v>3751</v>
      </c>
      <c r="Q39" s="61">
        <v>3750</v>
      </c>
      <c r="R39" s="31"/>
      <c r="S39" s="31"/>
      <c r="T39" s="31"/>
      <c r="U39" s="31"/>
      <c r="V39" s="31"/>
      <c r="W39" s="31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</row>
    <row r="40" spans="1:46" hidden="1">
      <c r="A40" s="32"/>
      <c r="B40" s="13"/>
      <c r="C40" s="13"/>
      <c r="D40" s="56"/>
      <c r="E40" s="56"/>
      <c r="F40" s="13"/>
      <c r="G40" s="13"/>
      <c r="H40" s="55">
        <v>1</v>
      </c>
      <c r="I40" s="58"/>
      <c r="J40" s="61">
        <v>4376</v>
      </c>
      <c r="K40" s="61">
        <v>4376</v>
      </c>
      <c r="L40" s="60">
        <v>4376</v>
      </c>
      <c r="M40" s="61">
        <v>3750</v>
      </c>
      <c r="N40" s="61">
        <v>3750</v>
      </c>
      <c r="O40" s="61">
        <v>3750</v>
      </c>
      <c r="P40" s="61">
        <v>3751</v>
      </c>
      <c r="Q40" s="61">
        <v>3751</v>
      </c>
      <c r="R40" s="31"/>
      <c r="S40" s="31"/>
      <c r="T40" s="31"/>
      <c r="U40" s="31"/>
      <c r="V40" s="31"/>
      <c r="W40" s="31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</row>
    <row r="41" spans="1:46" hidden="1">
      <c r="A41" s="32"/>
      <c r="B41" s="13"/>
      <c r="C41" s="13"/>
      <c r="D41" s="56"/>
      <c r="E41" s="56"/>
      <c r="F41" s="13"/>
      <c r="G41" s="13"/>
      <c r="H41" s="55">
        <v>1.1000000000000001</v>
      </c>
      <c r="I41" s="58"/>
      <c r="J41" s="61">
        <v>4375</v>
      </c>
      <c r="K41" s="61">
        <v>4375</v>
      </c>
      <c r="L41" s="61">
        <v>3751</v>
      </c>
      <c r="M41" s="61">
        <v>3750</v>
      </c>
      <c r="N41" s="61">
        <v>3750</v>
      </c>
      <c r="O41" s="61">
        <v>3751</v>
      </c>
      <c r="P41" s="61">
        <v>3751</v>
      </c>
      <c r="Q41" s="61">
        <v>3751</v>
      </c>
      <c r="R41" s="31"/>
      <c r="S41" s="31"/>
      <c r="T41" s="31"/>
      <c r="U41" s="31"/>
      <c r="V41" s="31"/>
      <c r="W41" s="31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</row>
    <row r="42" spans="1:46" hidden="1">
      <c r="A42" s="32"/>
      <c r="B42" s="13"/>
      <c r="C42" s="13"/>
      <c r="D42" s="32"/>
      <c r="E42" s="32"/>
      <c r="F42" s="13"/>
      <c r="G42" s="13"/>
      <c r="H42" s="55">
        <v>1.2</v>
      </c>
      <c r="I42" s="58"/>
      <c r="J42" s="61">
        <v>4375</v>
      </c>
      <c r="K42" s="61">
        <v>4375</v>
      </c>
      <c r="L42" s="61">
        <v>3750</v>
      </c>
      <c r="M42" s="61">
        <v>3751</v>
      </c>
      <c r="N42" s="61">
        <v>3750</v>
      </c>
      <c r="O42" s="61">
        <v>3751</v>
      </c>
      <c r="P42" s="61">
        <v>3750</v>
      </c>
      <c r="Q42" s="61">
        <v>3750</v>
      </c>
      <c r="R42" s="31"/>
      <c r="S42" s="31"/>
      <c r="T42" s="31"/>
      <c r="U42" s="31"/>
      <c r="V42" s="31"/>
      <c r="W42" s="31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</row>
    <row r="43" spans="1:46" hidden="1">
      <c r="A43" s="32"/>
      <c r="B43" s="13"/>
      <c r="C43" s="13"/>
      <c r="D43" s="32"/>
      <c r="E43" s="32"/>
      <c r="F43" s="13"/>
      <c r="G43" s="13"/>
      <c r="H43" s="63"/>
      <c r="I43" s="58"/>
      <c r="J43" s="13"/>
      <c r="K43" s="64"/>
      <c r="L43" s="64"/>
      <c r="M43" s="64"/>
      <c r="N43" s="64"/>
      <c r="O43" s="64"/>
      <c r="P43" s="64"/>
      <c r="Q43" s="64"/>
      <c r="R43" s="31"/>
      <c r="S43" s="31"/>
      <c r="T43" s="31"/>
      <c r="U43" s="31"/>
      <c r="V43" s="31"/>
      <c r="W43" s="31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</row>
    <row r="44" spans="1:46" hidden="1">
      <c r="A44" s="32"/>
      <c r="B44" s="13"/>
      <c r="C44" s="13"/>
      <c r="D44" s="32"/>
      <c r="E44" s="32"/>
      <c r="F44" s="13"/>
      <c r="G44" s="13"/>
      <c r="H44" s="63"/>
      <c r="I44" s="58"/>
      <c r="J44" s="64"/>
      <c r="K44" s="64"/>
      <c r="L44" s="64"/>
      <c r="M44" s="64"/>
      <c r="N44" s="64"/>
      <c r="O44" s="64"/>
      <c r="P44" s="64"/>
      <c r="Q44" s="64"/>
      <c r="R44" s="31"/>
      <c r="S44" s="31"/>
      <c r="T44" s="31"/>
      <c r="U44" s="31"/>
      <c r="V44" s="31"/>
      <c r="W44" s="31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</row>
    <row r="45" spans="1:46" ht="23.25" hidden="1">
      <c r="A45" s="32"/>
      <c r="B45" s="13"/>
      <c r="C45" s="13"/>
      <c r="D45" s="32"/>
      <c r="E45" s="32"/>
      <c r="F45" s="13"/>
      <c r="G45" s="13"/>
      <c r="H45" s="13"/>
      <c r="I45" s="38">
        <v>44613</v>
      </c>
      <c r="J45" s="32"/>
      <c r="K45" s="32"/>
      <c r="L45" s="38">
        <v>44613</v>
      </c>
      <c r="M45" s="33"/>
      <c r="N45" s="13"/>
      <c r="O45" s="13"/>
      <c r="P45" s="13"/>
      <c r="Q45" s="13"/>
      <c r="R45" s="13"/>
      <c r="S45" s="38">
        <v>44613</v>
      </c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</row>
    <row r="46" spans="1:46" hidden="1">
      <c r="A46" s="32"/>
      <c r="B46" s="13"/>
      <c r="C46" s="13"/>
      <c r="D46" s="32"/>
      <c r="E46" s="32"/>
      <c r="F46" s="13"/>
      <c r="G46" s="13"/>
      <c r="H46" s="13"/>
      <c r="I46" s="41" t="s">
        <v>9</v>
      </c>
      <c r="J46" s="42" t="s">
        <v>10</v>
      </c>
      <c r="K46" s="43" t="s">
        <v>11</v>
      </c>
      <c r="L46" s="44" t="s">
        <v>12</v>
      </c>
      <c r="M46" s="45" t="s">
        <v>13</v>
      </c>
      <c r="N46" s="44" t="s">
        <v>14</v>
      </c>
      <c r="O46" s="44" t="s">
        <v>15</v>
      </c>
      <c r="P46" s="44" t="s">
        <v>16</v>
      </c>
      <c r="Q46" s="44" t="s">
        <v>17</v>
      </c>
      <c r="R46" s="46" t="s">
        <v>18</v>
      </c>
      <c r="S46" s="46">
        <v>1</v>
      </c>
      <c r="T46" s="46">
        <v>2</v>
      </c>
      <c r="U46" s="46">
        <v>3</v>
      </c>
      <c r="V46" s="46">
        <v>4</v>
      </c>
      <c r="W46" s="46">
        <v>5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</row>
    <row r="47" spans="1:46" hidden="1">
      <c r="A47" s="32"/>
      <c r="B47" s="13"/>
      <c r="C47" s="13"/>
      <c r="D47" s="32"/>
      <c r="E47" s="32"/>
      <c r="F47" s="13"/>
      <c r="G47" s="13"/>
      <c r="H47" s="49">
        <v>0</v>
      </c>
      <c r="I47" s="65">
        <f t="shared" ref="I47:I58" si="7">IF(OR(puntosproljor&lt;620,nina=1),W47,R47)</f>
        <v>9954</v>
      </c>
      <c r="J47" s="50">
        <v>9954</v>
      </c>
      <c r="K47" s="51">
        <v>7110</v>
      </c>
      <c r="L47" s="51">
        <v>0</v>
      </c>
      <c r="M47" s="51">
        <v>0</v>
      </c>
      <c r="N47" s="51">
        <v>0</v>
      </c>
      <c r="O47" s="51">
        <v>0</v>
      </c>
      <c r="P47" s="51">
        <v>7950</v>
      </c>
      <c r="Q47" s="51">
        <v>7045</v>
      </c>
      <c r="R47" s="52">
        <f t="shared" ref="R47:R58" si="8">IF(PUNTOSbasicos&gt;971,Q47,P47)</f>
        <v>7950</v>
      </c>
      <c r="S47" s="52">
        <f t="shared" ref="S47:S58" si="9">IF(PUNTOSbasicos&lt;972,J47,K47)</f>
        <v>9954</v>
      </c>
      <c r="T47" s="52">
        <f t="shared" ref="T47:T58" si="10">IF(PUNTOSbasicos&lt;1170,S47,L47)</f>
        <v>9954</v>
      </c>
      <c r="U47" s="52">
        <f t="shared" ref="U47:U58" si="11">IF(PUNTOSbasicos&lt;1401,T47,M47)</f>
        <v>9954</v>
      </c>
      <c r="V47" s="52">
        <f t="shared" ref="V47:V58" si="12">IF(PUNTOSbasicos&lt;1943,U47,N47)</f>
        <v>9954</v>
      </c>
      <c r="W47" s="52">
        <f t="shared" ref="W47:W58" si="13">IF(PUNTOSbasicos&lt;=2220,V47,O47)</f>
        <v>9954</v>
      </c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</row>
    <row r="48" spans="1:46" hidden="1">
      <c r="A48" s="32"/>
      <c r="B48" s="13"/>
      <c r="C48" s="13"/>
      <c r="D48" s="32"/>
      <c r="E48" s="32"/>
      <c r="F48" s="13"/>
      <c r="G48" s="13"/>
      <c r="H48" s="54">
        <v>0.1</v>
      </c>
      <c r="I48" s="65">
        <f t="shared" si="7"/>
        <v>12179</v>
      </c>
      <c r="J48" s="50">
        <v>12179</v>
      </c>
      <c r="K48" s="51">
        <v>7282</v>
      </c>
      <c r="L48" s="51">
        <v>0</v>
      </c>
      <c r="M48" s="51">
        <v>0</v>
      </c>
      <c r="N48" s="51">
        <v>0</v>
      </c>
      <c r="O48" s="51">
        <v>0</v>
      </c>
      <c r="P48" s="51">
        <v>8123</v>
      </c>
      <c r="Q48" s="51">
        <v>7218</v>
      </c>
      <c r="R48" s="52">
        <f t="shared" si="8"/>
        <v>8123</v>
      </c>
      <c r="S48" s="52">
        <f t="shared" si="9"/>
        <v>12179</v>
      </c>
      <c r="T48" s="52">
        <f t="shared" si="10"/>
        <v>12179</v>
      </c>
      <c r="U48" s="52">
        <f t="shared" si="11"/>
        <v>12179</v>
      </c>
      <c r="V48" s="52">
        <f t="shared" si="12"/>
        <v>12179</v>
      </c>
      <c r="W48" s="52">
        <f t="shared" si="13"/>
        <v>12179</v>
      </c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</row>
    <row r="49" spans="1:46" hidden="1">
      <c r="A49" s="32"/>
      <c r="B49" s="13"/>
      <c r="C49" s="13"/>
      <c r="D49" s="32"/>
      <c r="E49" s="32"/>
      <c r="F49" s="13"/>
      <c r="G49" s="13"/>
      <c r="H49" s="55">
        <v>0.15</v>
      </c>
      <c r="I49" s="65">
        <f t="shared" si="7"/>
        <v>13572</v>
      </c>
      <c r="J49" s="50">
        <v>13572</v>
      </c>
      <c r="K49" s="51">
        <v>8816</v>
      </c>
      <c r="L49" s="51">
        <v>9827</v>
      </c>
      <c r="M49" s="51">
        <v>8401</v>
      </c>
      <c r="N49" s="51">
        <v>8741</v>
      </c>
      <c r="O49" s="51">
        <v>0</v>
      </c>
      <c r="P49" s="51">
        <v>10348</v>
      </c>
      <c r="Q49" s="51">
        <v>9442</v>
      </c>
      <c r="R49" s="52">
        <f t="shared" si="8"/>
        <v>10348</v>
      </c>
      <c r="S49" s="52">
        <f t="shared" si="9"/>
        <v>13572</v>
      </c>
      <c r="T49" s="52">
        <f t="shared" si="10"/>
        <v>13572</v>
      </c>
      <c r="U49" s="52">
        <f t="shared" si="11"/>
        <v>13572</v>
      </c>
      <c r="V49" s="52">
        <f t="shared" si="12"/>
        <v>13572</v>
      </c>
      <c r="W49" s="52">
        <f t="shared" si="13"/>
        <v>13572</v>
      </c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</row>
    <row r="50" spans="1:46" hidden="1">
      <c r="A50" s="32"/>
      <c r="B50" s="13"/>
      <c r="C50" s="13"/>
      <c r="D50" s="32"/>
      <c r="E50" s="32"/>
      <c r="F50" s="13"/>
      <c r="G50" s="13"/>
      <c r="H50" s="55">
        <v>0.3</v>
      </c>
      <c r="I50" s="65">
        <f t="shared" si="7"/>
        <v>14147</v>
      </c>
      <c r="J50" s="50">
        <v>14147</v>
      </c>
      <c r="K50" s="51">
        <v>9062</v>
      </c>
      <c r="L50" s="51">
        <v>9827</v>
      </c>
      <c r="M50" s="51">
        <v>8401</v>
      </c>
      <c r="N50" s="51">
        <v>8741</v>
      </c>
      <c r="O50" s="51">
        <v>0</v>
      </c>
      <c r="P50" s="51">
        <v>13086</v>
      </c>
      <c r="Q50" s="51">
        <v>11667</v>
      </c>
      <c r="R50" s="52">
        <f t="shared" si="8"/>
        <v>13086</v>
      </c>
      <c r="S50" s="52">
        <f t="shared" si="9"/>
        <v>14147</v>
      </c>
      <c r="T50" s="52">
        <f t="shared" si="10"/>
        <v>14147</v>
      </c>
      <c r="U50" s="52">
        <f t="shared" si="11"/>
        <v>14147</v>
      </c>
      <c r="V50" s="52">
        <f t="shared" si="12"/>
        <v>14147</v>
      </c>
      <c r="W50" s="52">
        <f t="shared" si="13"/>
        <v>14147</v>
      </c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</row>
    <row r="51" spans="1:46" hidden="1">
      <c r="A51" s="32"/>
      <c r="B51" s="13"/>
      <c r="C51" s="13"/>
      <c r="D51" s="32"/>
      <c r="E51" s="32"/>
      <c r="F51" s="13"/>
      <c r="G51" s="13"/>
      <c r="H51" s="55">
        <v>0.4</v>
      </c>
      <c r="I51" s="65">
        <f t="shared" si="7"/>
        <v>13216</v>
      </c>
      <c r="J51" s="50">
        <v>13216</v>
      </c>
      <c r="K51" s="51">
        <v>9324</v>
      </c>
      <c r="L51" s="51">
        <v>9380</v>
      </c>
      <c r="M51" s="51">
        <v>8521</v>
      </c>
      <c r="N51" s="51">
        <v>8741</v>
      </c>
      <c r="O51" s="51">
        <v>8060</v>
      </c>
      <c r="P51" s="51">
        <v>14117</v>
      </c>
      <c r="Q51" s="51">
        <v>11901</v>
      </c>
      <c r="R51" s="52">
        <f t="shared" si="8"/>
        <v>14117</v>
      </c>
      <c r="S51" s="52">
        <f t="shared" si="9"/>
        <v>13216</v>
      </c>
      <c r="T51" s="52">
        <f t="shared" si="10"/>
        <v>13216</v>
      </c>
      <c r="U51" s="52">
        <f t="shared" si="11"/>
        <v>13216</v>
      </c>
      <c r="V51" s="52">
        <f t="shared" si="12"/>
        <v>13216</v>
      </c>
      <c r="W51" s="52">
        <f t="shared" si="13"/>
        <v>13216</v>
      </c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</row>
    <row r="52" spans="1:46" hidden="1">
      <c r="A52" s="32"/>
      <c r="B52" s="13"/>
      <c r="C52" s="13"/>
      <c r="D52" s="32"/>
      <c r="E52" s="32"/>
      <c r="F52" s="13"/>
      <c r="G52" s="13"/>
      <c r="H52" s="55">
        <v>0.5</v>
      </c>
      <c r="I52" s="65">
        <f t="shared" si="7"/>
        <v>12101</v>
      </c>
      <c r="J52" s="50">
        <v>12101</v>
      </c>
      <c r="K52" s="51">
        <v>9664</v>
      </c>
      <c r="L52" s="51">
        <v>9380</v>
      </c>
      <c r="M52" s="51">
        <v>8521</v>
      </c>
      <c r="N52" s="51">
        <v>8741</v>
      </c>
      <c r="O52" s="51">
        <v>7435</v>
      </c>
      <c r="P52" s="51">
        <v>14714</v>
      </c>
      <c r="Q52" s="51">
        <v>12492</v>
      </c>
      <c r="R52" s="52">
        <f t="shared" si="8"/>
        <v>14714</v>
      </c>
      <c r="S52" s="52">
        <f t="shared" si="9"/>
        <v>12101</v>
      </c>
      <c r="T52" s="52">
        <f t="shared" si="10"/>
        <v>12101</v>
      </c>
      <c r="U52" s="52">
        <f t="shared" si="11"/>
        <v>12101</v>
      </c>
      <c r="V52" s="52">
        <f t="shared" si="12"/>
        <v>12101</v>
      </c>
      <c r="W52" s="52">
        <f t="shared" si="13"/>
        <v>12101</v>
      </c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</row>
    <row r="53" spans="1:46" hidden="1">
      <c r="A53" s="32"/>
      <c r="B53" s="13"/>
      <c r="C53" s="13"/>
      <c r="D53" s="32"/>
      <c r="E53" s="32"/>
      <c r="F53" s="13"/>
      <c r="G53" s="13"/>
      <c r="H53" s="55">
        <v>0.6</v>
      </c>
      <c r="I53" s="65">
        <f t="shared" si="7"/>
        <v>12142</v>
      </c>
      <c r="J53" s="50">
        <v>12142</v>
      </c>
      <c r="K53" s="51">
        <v>9542</v>
      </c>
      <c r="L53" s="51">
        <v>9542</v>
      </c>
      <c r="M53" s="51">
        <v>8579</v>
      </c>
      <c r="N53" s="51">
        <v>8183</v>
      </c>
      <c r="O53" s="51">
        <v>7765</v>
      </c>
      <c r="P53" s="51">
        <v>15311</v>
      </c>
      <c r="Q53" s="51">
        <v>12754</v>
      </c>
      <c r="R53" s="52">
        <f t="shared" si="8"/>
        <v>15311</v>
      </c>
      <c r="S53" s="52">
        <f t="shared" si="9"/>
        <v>12142</v>
      </c>
      <c r="T53" s="52">
        <f t="shared" si="10"/>
        <v>12142</v>
      </c>
      <c r="U53" s="52">
        <f t="shared" si="11"/>
        <v>12142</v>
      </c>
      <c r="V53" s="52">
        <f t="shared" si="12"/>
        <v>12142</v>
      </c>
      <c r="W53" s="52">
        <f t="shared" si="13"/>
        <v>12142</v>
      </c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</row>
    <row r="54" spans="1:46" hidden="1">
      <c r="A54" s="32"/>
      <c r="B54" s="13"/>
      <c r="C54" s="13"/>
      <c r="D54" s="32"/>
      <c r="E54" s="32"/>
      <c r="F54" s="13"/>
      <c r="G54" s="13"/>
      <c r="H54" s="55">
        <v>0.7</v>
      </c>
      <c r="I54" s="65">
        <f t="shared" si="7"/>
        <v>11188</v>
      </c>
      <c r="J54" s="50">
        <v>11188</v>
      </c>
      <c r="K54" s="51">
        <v>9966</v>
      </c>
      <c r="L54" s="51">
        <v>11317</v>
      </c>
      <c r="M54" s="51">
        <v>8414</v>
      </c>
      <c r="N54" s="51">
        <v>8183</v>
      </c>
      <c r="O54" s="51">
        <v>7765</v>
      </c>
      <c r="P54" s="51">
        <v>14948</v>
      </c>
      <c r="Q54" s="51">
        <v>13016</v>
      </c>
      <c r="R54" s="52">
        <f t="shared" si="8"/>
        <v>14948</v>
      </c>
      <c r="S54" s="52">
        <f t="shared" si="9"/>
        <v>11188</v>
      </c>
      <c r="T54" s="52">
        <f t="shared" si="10"/>
        <v>11188</v>
      </c>
      <c r="U54" s="52">
        <f t="shared" si="11"/>
        <v>11188</v>
      </c>
      <c r="V54" s="52">
        <f t="shared" si="12"/>
        <v>11188</v>
      </c>
      <c r="W54" s="52">
        <f t="shared" si="13"/>
        <v>11188</v>
      </c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</row>
    <row r="55" spans="1:46" hidden="1">
      <c r="A55" s="32"/>
      <c r="B55" s="13"/>
      <c r="C55" s="13"/>
      <c r="D55" s="32"/>
      <c r="E55" s="32"/>
      <c r="F55" s="13"/>
      <c r="G55" s="13"/>
      <c r="H55" s="55">
        <v>0.8</v>
      </c>
      <c r="I55" s="65">
        <f t="shared" si="7"/>
        <v>12638</v>
      </c>
      <c r="J55" s="50">
        <v>12638</v>
      </c>
      <c r="K55" s="51">
        <v>10987</v>
      </c>
      <c r="L55" s="51">
        <v>11840</v>
      </c>
      <c r="M55" s="51">
        <v>10273</v>
      </c>
      <c r="N55" s="51">
        <v>9802</v>
      </c>
      <c r="O55" s="51">
        <v>8116</v>
      </c>
      <c r="P55" s="51">
        <v>15450</v>
      </c>
      <c r="Q55" s="51">
        <v>13183</v>
      </c>
      <c r="R55" s="52">
        <f t="shared" si="8"/>
        <v>15450</v>
      </c>
      <c r="S55" s="52">
        <f t="shared" si="9"/>
        <v>12638</v>
      </c>
      <c r="T55" s="52">
        <f t="shared" si="10"/>
        <v>12638</v>
      </c>
      <c r="U55" s="52">
        <f t="shared" si="11"/>
        <v>12638</v>
      </c>
      <c r="V55" s="52">
        <f t="shared" si="12"/>
        <v>12638</v>
      </c>
      <c r="W55" s="52">
        <f t="shared" si="13"/>
        <v>12638</v>
      </c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</row>
    <row r="56" spans="1:46" hidden="1">
      <c r="A56" s="32"/>
      <c r="B56" s="13"/>
      <c r="C56" s="13"/>
      <c r="D56" s="32"/>
      <c r="E56" s="32"/>
      <c r="F56" s="13"/>
      <c r="G56" s="13"/>
      <c r="H56" s="55">
        <v>1</v>
      </c>
      <c r="I56" s="65">
        <f t="shared" si="7"/>
        <v>14727</v>
      </c>
      <c r="J56" s="50">
        <v>14727</v>
      </c>
      <c r="K56" s="51">
        <v>12505</v>
      </c>
      <c r="L56" s="51">
        <v>12086</v>
      </c>
      <c r="M56" s="51">
        <v>10105</v>
      </c>
      <c r="N56" s="51">
        <v>10315</v>
      </c>
      <c r="O56" s="51">
        <v>8116</v>
      </c>
      <c r="P56" s="51">
        <v>16057</v>
      </c>
      <c r="Q56" s="51">
        <v>13435</v>
      </c>
      <c r="R56" s="52">
        <f t="shared" si="8"/>
        <v>16057</v>
      </c>
      <c r="S56" s="52">
        <f t="shared" si="9"/>
        <v>14727</v>
      </c>
      <c r="T56" s="52">
        <f t="shared" si="10"/>
        <v>14727</v>
      </c>
      <c r="U56" s="52">
        <f t="shared" si="11"/>
        <v>14727</v>
      </c>
      <c r="V56" s="52">
        <f t="shared" si="12"/>
        <v>14727</v>
      </c>
      <c r="W56" s="52">
        <f t="shared" si="13"/>
        <v>14727</v>
      </c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</row>
    <row r="57" spans="1:46" hidden="1">
      <c r="A57" s="32"/>
      <c r="B57" s="13"/>
      <c r="C57" s="13"/>
      <c r="D57" s="32"/>
      <c r="E57" s="32"/>
      <c r="F57" s="13"/>
      <c r="G57" s="13"/>
      <c r="H57" s="55">
        <v>1.1000000000000001</v>
      </c>
      <c r="I57" s="65">
        <f t="shared" si="7"/>
        <v>16009</v>
      </c>
      <c r="J57" s="50">
        <v>16009</v>
      </c>
      <c r="K57" s="51">
        <v>13531</v>
      </c>
      <c r="L57" s="51">
        <v>11807</v>
      </c>
      <c r="M57" s="51">
        <v>10105</v>
      </c>
      <c r="N57" s="51">
        <v>10487</v>
      </c>
      <c r="O57" s="51">
        <v>8283</v>
      </c>
      <c r="P57" s="51">
        <v>16481</v>
      </c>
      <c r="Q57" s="51">
        <v>13691</v>
      </c>
      <c r="R57" s="52">
        <f t="shared" si="8"/>
        <v>16481</v>
      </c>
      <c r="S57" s="52">
        <f t="shared" si="9"/>
        <v>16009</v>
      </c>
      <c r="T57" s="52">
        <f t="shared" si="10"/>
        <v>16009</v>
      </c>
      <c r="U57" s="52">
        <f t="shared" si="11"/>
        <v>16009</v>
      </c>
      <c r="V57" s="52">
        <f t="shared" si="12"/>
        <v>16009</v>
      </c>
      <c r="W57" s="52">
        <f t="shared" si="13"/>
        <v>16009</v>
      </c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</row>
    <row r="58" spans="1:46" hidden="1">
      <c r="A58" s="32"/>
      <c r="B58" s="13"/>
      <c r="C58" s="13"/>
      <c r="D58" s="32"/>
      <c r="E58" s="32"/>
      <c r="F58" s="13"/>
      <c r="G58" s="13"/>
      <c r="H58" s="55">
        <v>1.2</v>
      </c>
      <c r="I58" s="65">
        <f t="shared" si="7"/>
        <v>16417</v>
      </c>
      <c r="J58" s="50">
        <v>16417</v>
      </c>
      <c r="K58" s="51">
        <v>13782</v>
      </c>
      <c r="L58" s="51">
        <v>12644</v>
      </c>
      <c r="M58" s="51">
        <v>10189</v>
      </c>
      <c r="N58" s="51">
        <v>10655</v>
      </c>
      <c r="O58" s="51">
        <v>8283</v>
      </c>
      <c r="P58" s="51">
        <v>16565</v>
      </c>
      <c r="Q58" s="51">
        <v>13785</v>
      </c>
      <c r="R58" s="52">
        <f t="shared" si="8"/>
        <v>16565</v>
      </c>
      <c r="S58" s="52">
        <f t="shared" si="9"/>
        <v>16417</v>
      </c>
      <c r="T58" s="52">
        <f t="shared" si="10"/>
        <v>16417</v>
      </c>
      <c r="U58" s="52">
        <f t="shared" si="11"/>
        <v>16417</v>
      </c>
      <c r="V58" s="52">
        <f t="shared" si="12"/>
        <v>16417</v>
      </c>
      <c r="W58" s="52">
        <f t="shared" si="13"/>
        <v>16417</v>
      </c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</row>
    <row r="59" spans="1:46" hidden="1">
      <c r="A59" s="32"/>
      <c r="B59" s="13"/>
      <c r="C59" s="13"/>
      <c r="D59" s="32"/>
      <c r="E59" s="32"/>
      <c r="F59" s="13"/>
      <c r="G59" s="13"/>
      <c r="H59" s="63"/>
      <c r="I59" s="58"/>
      <c r="J59" s="64"/>
      <c r="K59" s="64"/>
      <c r="L59" s="64"/>
      <c r="M59" s="64"/>
      <c r="N59" s="64"/>
      <c r="O59" s="64"/>
      <c r="P59" s="64"/>
      <c r="Q59" s="64"/>
      <c r="R59" s="31"/>
      <c r="S59" s="31"/>
      <c r="T59" s="31"/>
      <c r="U59" s="31"/>
      <c r="V59" s="31"/>
      <c r="W59" s="31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</row>
    <row r="60" spans="1:46" hidden="1">
      <c r="A60" s="484"/>
      <c r="B60" s="203"/>
      <c r="C60" s="203"/>
      <c r="D60" s="484"/>
      <c r="E60" s="484"/>
      <c r="F60" s="203"/>
      <c r="G60" s="203"/>
      <c r="H60" s="63"/>
      <c r="I60" s="173"/>
      <c r="J60" s="332"/>
      <c r="K60" s="332"/>
      <c r="L60" s="332"/>
      <c r="M60" s="332"/>
      <c r="N60" s="332"/>
      <c r="O60" s="332"/>
      <c r="P60" s="332"/>
      <c r="Q60" s="332"/>
      <c r="R60" s="335"/>
      <c r="S60" s="335"/>
      <c r="T60" s="335"/>
      <c r="U60" s="335"/>
      <c r="V60" s="335"/>
      <c r="W60" s="335"/>
      <c r="X60" s="203"/>
      <c r="Y60" s="203"/>
      <c r="Z60" s="203"/>
      <c r="AA60" s="203"/>
      <c r="AB60" s="203"/>
      <c r="AC60" s="203"/>
      <c r="AD60" s="203"/>
      <c r="AE60" s="203"/>
      <c r="AF60" s="203"/>
      <c r="AG60" s="203"/>
      <c r="AH60" s="203"/>
      <c r="AI60" s="203"/>
      <c r="AJ60" s="203"/>
      <c r="AK60" s="203"/>
      <c r="AL60" s="203"/>
      <c r="AM60" s="203"/>
      <c r="AN60" s="203"/>
      <c r="AO60" s="203"/>
      <c r="AP60" s="203"/>
      <c r="AQ60" s="203"/>
      <c r="AR60" s="203"/>
      <c r="AS60" s="203"/>
      <c r="AT60" s="203"/>
    </row>
    <row r="61" spans="1:46" hidden="1">
      <c r="A61" s="484"/>
      <c r="B61" s="203"/>
      <c r="C61" s="203"/>
      <c r="D61" s="484"/>
      <c r="E61" s="484"/>
      <c r="F61" s="203"/>
      <c r="G61" s="203"/>
      <c r="H61" s="63"/>
      <c r="I61" s="173"/>
      <c r="J61" s="332"/>
      <c r="K61" s="332"/>
      <c r="L61" s="332"/>
      <c r="M61" s="332"/>
      <c r="N61" s="332"/>
      <c r="O61" s="332"/>
      <c r="P61" s="332"/>
      <c r="Q61" s="332"/>
      <c r="R61" s="335"/>
      <c r="S61" s="335"/>
      <c r="T61" s="335"/>
      <c r="U61" s="335"/>
      <c r="V61" s="335"/>
      <c r="W61" s="335"/>
      <c r="X61" s="203"/>
      <c r="Y61" s="203"/>
      <c r="Z61" s="203"/>
      <c r="AA61" s="203"/>
      <c r="AB61" s="203"/>
      <c r="AC61" s="203"/>
      <c r="AD61" s="203"/>
      <c r="AE61" s="203"/>
      <c r="AF61" s="203"/>
      <c r="AG61" s="203"/>
      <c r="AH61" s="203"/>
      <c r="AI61" s="203"/>
      <c r="AJ61" s="203"/>
      <c r="AK61" s="203"/>
      <c r="AL61" s="203"/>
      <c r="AM61" s="203"/>
      <c r="AN61" s="203"/>
      <c r="AO61" s="203"/>
      <c r="AP61" s="203"/>
      <c r="AQ61" s="203"/>
      <c r="AR61" s="203"/>
      <c r="AS61" s="203"/>
      <c r="AT61" s="203"/>
    </row>
    <row r="62" spans="1:46" ht="23.25" hidden="1">
      <c r="A62" s="484"/>
      <c r="B62" s="203"/>
      <c r="C62" s="203"/>
      <c r="D62" s="484"/>
      <c r="E62" s="484"/>
      <c r="F62" s="203"/>
      <c r="G62" s="203"/>
      <c r="H62" s="203"/>
      <c r="I62" s="768">
        <v>44896</v>
      </c>
      <c r="J62" s="484"/>
      <c r="K62" s="484"/>
      <c r="L62" s="768">
        <v>44896</v>
      </c>
      <c r="M62" s="33"/>
      <c r="N62" s="203"/>
      <c r="O62" s="768">
        <v>44896</v>
      </c>
      <c r="P62" s="203"/>
      <c r="Q62" s="203"/>
      <c r="R62" s="203"/>
      <c r="S62" s="768">
        <v>44896</v>
      </c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3"/>
      <c r="AG62" s="203"/>
      <c r="AH62" s="203"/>
      <c r="AI62" s="203"/>
      <c r="AJ62" s="203"/>
      <c r="AK62" s="203"/>
      <c r="AL62" s="203"/>
      <c r="AM62" s="203"/>
      <c r="AN62" s="203"/>
      <c r="AO62" s="203"/>
      <c r="AP62" s="203"/>
      <c r="AQ62" s="203"/>
      <c r="AR62" s="203"/>
      <c r="AS62" s="203"/>
      <c r="AT62" s="203"/>
    </row>
    <row r="63" spans="1:46" ht="16.5" hidden="1" thickBot="1">
      <c r="A63" s="484"/>
      <c r="B63" s="203"/>
      <c r="C63" s="203"/>
      <c r="D63" s="484"/>
      <c r="E63" s="484"/>
      <c r="F63" s="203"/>
      <c r="G63" s="203"/>
      <c r="H63" s="203"/>
      <c r="I63" s="41" t="s">
        <v>9</v>
      </c>
      <c r="J63" s="140" t="s">
        <v>10</v>
      </c>
      <c r="K63" s="577" t="s">
        <v>11</v>
      </c>
      <c r="L63" s="44" t="s">
        <v>12</v>
      </c>
      <c r="M63" s="45" t="s">
        <v>13</v>
      </c>
      <c r="N63" s="44" t="s">
        <v>14</v>
      </c>
      <c r="O63" s="44" t="s">
        <v>15</v>
      </c>
      <c r="P63" s="44" t="s">
        <v>16</v>
      </c>
      <c r="Q63" s="44" t="s">
        <v>17</v>
      </c>
      <c r="R63" s="157" t="s">
        <v>18</v>
      </c>
      <c r="S63" s="157">
        <v>1</v>
      </c>
      <c r="T63" s="157">
        <v>2</v>
      </c>
      <c r="U63" s="157">
        <v>3</v>
      </c>
      <c r="V63" s="157">
        <v>4</v>
      </c>
      <c r="W63" s="157">
        <v>5</v>
      </c>
      <c r="X63" s="203"/>
      <c r="Y63" s="203"/>
      <c r="Z63" s="203"/>
      <c r="AA63" s="203"/>
      <c r="AB63" s="203"/>
      <c r="AC63" s="203"/>
      <c r="AD63" s="203"/>
      <c r="AE63" s="203"/>
      <c r="AF63" s="203"/>
      <c r="AG63" s="203"/>
      <c r="AH63" s="203"/>
      <c r="AI63" s="203"/>
      <c r="AJ63" s="203"/>
      <c r="AK63" s="203"/>
      <c r="AL63" s="203"/>
      <c r="AM63" s="203"/>
      <c r="AN63" s="203"/>
      <c r="AO63" s="203"/>
      <c r="AP63" s="203"/>
      <c r="AQ63" s="203"/>
      <c r="AR63" s="203"/>
      <c r="AS63" s="203"/>
      <c r="AT63" s="203"/>
    </row>
    <row r="64" spans="1:46" ht="16.5" hidden="1" thickBot="1">
      <c r="A64" s="484"/>
      <c r="B64" s="203"/>
      <c r="C64" s="203"/>
      <c r="D64" s="484"/>
      <c r="E64" s="484"/>
      <c r="F64" s="203"/>
      <c r="G64" s="203"/>
      <c r="H64" s="49">
        <v>0</v>
      </c>
      <c r="I64" s="65">
        <f t="shared" ref="I64:I75" si="14">IF(OR(puntosproljor&lt;620,nina=1),W64,R64)</f>
        <v>14135</v>
      </c>
      <c r="J64" s="769">
        <v>14135</v>
      </c>
      <c r="K64" s="769">
        <v>10096</v>
      </c>
      <c r="L64" s="769">
        <v>0</v>
      </c>
      <c r="M64" s="769">
        <v>0</v>
      </c>
      <c r="N64" s="769">
        <v>0</v>
      </c>
      <c r="O64" s="769">
        <v>0</v>
      </c>
      <c r="P64" s="769">
        <v>11290</v>
      </c>
      <c r="Q64" s="769">
        <v>10004</v>
      </c>
      <c r="R64" s="52">
        <f t="shared" ref="R64:R75" si="15">IF(PUNTOSbasicos&gt;971,Q64,P64)</f>
        <v>11290</v>
      </c>
      <c r="S64" s="52">
        <f t="shared" ref="S64:S75" si="16">IF(PUNTOSbasicos&lt;972,J64,K64)</f>
        <v>14135</v>
      </c>
      <c r="T64" s="52">
        <f t="shared" ref="T64:T75" si="17">IF(PUNTOSbasicos&lt;1170,S64,L64)</f>
        <v>14135</v>
      </c>
      <c r="U64" s="52">
        <f t="shared" ref="U64:U75" si="18">IF(PUNTOSbasicos&lt;1401,T64,M64)</f>
        <v>14135</v>
      </c>
      <c r="V64" s="52">
        <f t="shared" ref="V64:V75" si="19">IF(PUNTOSbasicos&lt;1943,U64,N64)</f>
        <v>14135</v>
      </c>
      <c r="W64" s="52">
        <f t="shared" ref="W64:W75" si="20">IF(PUNTOSbasicos&lt;=2220,V64,O64)</f>
        <v>14135</v>
      </c>
      <c r="X64" s="203"/>
      <c r="Y64" s="203"/>
      <c r="Z64" s="203"/>
      <c r="AA64" s="203"/>
      <c r="AB64" s="203"/>
      <c r="AC64" s="203"/>
      <c r="AD64" s="203"/>
      <c r="AE64" s="203"/>
      <c r="AF64" s="203"/>
      <c r="AG64" s="203"/>
      <c r="AH64" s="203"/>
      <c r="AI64" s="203"/>
      <c r="AJ64" s="203"/>
      <c r="AK64" s="203"/>
      <c r="AL64" s="203"/>
      <c r="AM64" s="203"/>
      <c r="AN64" s="203"/>
      <c r="AO64" s="203"/>
      <c r="AP64" s="203"/>
      <c r="AQ64" s="203"/>
      <c r="AR64" s="203"/>
      <c r="AS64" s="203"/>
      <c r="AT64" s="203"/>
    </row>
    <row r="65" spans="1:46" ht="16.5" hidden="1" thickBot="1">
      <c r="A65" s="484"/>
      <c r="B65" s="203"/>
      <c r="C65" s="203"/>
      <c r="D65" s="484"/>
      <c r="E65" s="484"/>
      <c r="F65" s="203"/>
      <c r="G65" s="203"/>
      <c r="H65" s="54">
        <v>0.1</v>
      </c>
      <c r="I65" s="65">
        <f t="shared" si="14"/>
        <v>17294</v>
      </c>
      <c r="J65" s="770">
        <v>17294</v>
      </c>
      <c r="K65" s="771">
        <v>10341</v>
      </c>
      <c r="L65" s="771">
        <v>0</v>
      </c>
      <c r="M65" s="771">
        <v>0</v>
      </c>
      <c r="N65" s="771">
        <v>0</v>
      </c>
      <c r="O65" s="771">
        <v>0</v>
      </c>
      <c r="P65" s="771">
        <v>11535</v>
      </c>
      <c r="Q65" s="771">
        <v>10249</v>
      </c>
      <c r="R65" s="52">
        <f t="shared" si="15"/>
        <v>11535</v>
      </c>
      <c r="S65" s="52">
        <f t="shared" si="16"/>
        <v>17294</v>
      </c>
      <c r="T65" s="52">
        <f t="shared" si="17"/>
        <v>17294</v>
      </c>
      <c r="U65" s="52">
        <f t="shared" si="18"/>
        <v>17294</v>
      </c>
      <c r="V65" s="52">
        <f t="shared" si="19"/>
        <v>17294</v>
      </c>
      <c r="W65" s="52">
        <f t="shared" si="20"/>
        <v>17294</v>
      </c>
      <c r="X65" s="203"/>
      <c r="Y65" s="203"/>
      <c r="Z65" s="203"/>
      <c r="AA65" s="203"/>
      <c r="AB65" s="203"/>
      <c r="AC65" s="203"/>
      <c r="AD65" s="203"/>
      <c r="AE65" s="203"/>
      <c r="AF65" s="203"/>
      <c r="AG65" s="203"/>
      <c r="AH65" s="203"/>
      <c r="AI65" s="203"/>
      <c r="AJ65" s="203"/>
      <c r="AK65" s="203"/>
      <c r="AL65" s="203"/>
      <c r="AM65" s="203"/>
      <c r="AN65" s="203"/>
      <c r="AO65" s="203"/>
      <c r="AP65" s="203"/>
      <c r="AQ65" s="203"/>
      <c r="AR65" s="203"/>
      <c r="AS65" s="203"/>
      <c r="AT65" s="203"/>
    </row>
    <row r="66" spans="1:46" ht="16.5" hidden="1" thickBot="1">
      <c r="A66" s="484"/>
      <c r="B66" s="203"/>
      <c r="C66" s="203"/>
      <c r="D66" s="484"/>
      <c r="E66" s="484"/>
      <c r="F66" s="203"/>
      <c r="G66" s="203"/>
      <c r="H66" s="55">
        <v>0.15</v>
      </c>
      <c r="I66" s="65">
        <f t="shared" si="14"/>
        <v>19272</v>
      </c>
      <c r="J66" s="770">
        <v>19272</v>
      </c>
      <c r="K66" s="771">
        <v>12519</v>
      </c>
      <c r="L66" s="771">
        <v>13954</v>
      </c>
      <c r="M66" s="771">
        <v>11929</v>
      </c>
      <c r="N66" s="771">
        <v>12412</v>
      </c>
      <c r="O66" s="771">
        <v>0</v>
      </c>
      <c r="P66" s="771">
        <v>14694</v>
      </c>
      <c r="Q66" s="771">
        <v>13408</v>
      </c>
      <c r="R66" s="52">
        <f t="shared" si="15"/>
        <v>14694</v>
      </c>
      <c r="S66" s="52">
        <f t="shared" si="16"/>
        <v>19272</v>
      </c>
      <c r="T66" s="52">
        <f t="shared" si="17"/>
        <v>19272</v>
      </c>
      <c r="U66" s="52">
        <f t="shared" si="18"/>
        <v>19272</v>
      </c>
      <c r="V66" s="52">
        <f t="shared" si="19"/>
        <v>19272</v>
      </c>
      <c r="W66" s="52">
        <f t="shared" si="20"/>
        <v>19272</v>
      </c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  <c r="AI66" s="203"/>
      <c r="AJ66" s="203"/>
      <c r="AK66" s="203"/>
      <c r="AL66" s="203"/>
      <c r="AM66" s="203"/>
      <c r="AN66" s="203"/>
      <c r="AO66" s="203"/>
      <c r="AP66" s="203"/>
      <c r="AQ66" s="203"/>
      <c r="AR66" s="203"/>
      <c r="AS66" s="203"/>
      <c r="AT66" s="203"/>
    </row>
    <row r="67" spans="1:46" ht="16.5" hidden="1" thickBot="1">
      <c r="A67" s="484"/>
      <c r="B67" s="203"/>
      <c r="C67" s="203"/>
      <c r="D67" s="484"/>
      <c r="E67" s="484"/>
      <c r="F67" s="203"/>
      <c r="G67" s="203"/>
      <c r="H67" s="55">
        <v>0.3</v>
      </c>
      <c r="I67" s="65">
        <f t="shared" si="14"/>
        <v>20089</v>
      </c>
      <c r="J67" s="770">
        <v>20089</v>
      </c>
      <c r="K67" s="771">
        <v>12868</v>
      </c>
      <c r="L67" s="771">
        <v>13954</v>
      </c>
      <c r="M67" s="771">
        <v>11929</v>
      </c>
      <c r="N67" s="771">
        <v>12412</v>
      </c>
      <c r="O67" s="771">
        <v>0</v>
      </c>
      <c r="P67" s="771">
        <v>18582</v>
      </c>
      <c r="Q67" s="771">
        <v>16568</v>
      </c>
      <c r="R67" s="52">
        <f t="shared" si="15"/>
        <v>18582</v>
      </c>
      <c r="S67" s="52">
        <f t="shared" si="16"/>
        <v>20089</v>
      </c>
      <c r="T67" s="52">
        <f t="shared" si="17"/>
        <v>20089</v>
      </c>
      <c r="U67" s="52">
        <f t="shared" si="18"/>
        <v>20089</v>
      </c>
      <c r="V67" s="52">
        <f t="shared" si="19"/>
        <v>20089</v>
      </c>
      <c r="W67" s="52">
        <f t="shared" si="20"/>
        <v>20089</v>
      </c>
      <c r="X67" s="203"/>
      <c r="Y67" s="203"/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3"/>
      <c r="AT67" s="203"/>
    </row>
    <row r="68" spans="1:46" ht="16.5" hidden="1" thickBot="1">
      <c r="A68" s="484"/>
      <c r="B68" s="203"/>
      <c r="C68" s="203"/>
      <c r="D68" s="484"/>
      <c r="E68" s="484"/>
      <c r="F68" s="203"/>
      <c r="G68" s="203"/>
      <c r="H68" s="55">
        <v>0.4</v>
      </c>
      <c r="I68" s="65">
        <f t="shared" si="14"/>
        <v>18766</v>
      </c>
      <c r="J68" s="770">
        <v>18766</v>
      </c>
      <c r="K68" s="771">
        <v>13240</v>
      </c>
      <c r="L68" s="771">
        <v>13319</v>
      </c>
      <c r="M68" s="771">
        <v>12100</v>
      </c>
      <c r="N68" s="771">
        <v>12412</v>
      </c>
      <c r="O68" s="771">
        <v>11446</v>
      </c>
      <c r="P68" s="771">
        <v>20046</v>
      </c>
      <c r="Q68" s="771">
        <v>16899</v>
      </c>
      <c r="R68" s="52">
        <f t="shared" si="15"/>
        <v>20046</v>
      </c>
      <c r="S68" s="52">
        <f t="shared" si="16"/>
        <v>18766</v>
      </c>
      <c r="T68" s="52">
        <f t="shared" si="17"/>
        <v>18766</v>
      </c>
      <c r="U68" s="52">
        <f t="shared" si="18"/>
        <v>18766</v>
      </c>
      <c r="V68" s="52">
        <f t="shared" si="19"/>
        <v>18766</v>
      </c>
      <c r="W68" s="52">
        <f t="shared" si="20"/>
        <v>18766</v>
      </c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3"/>
      <c r="AK68" s="203"/>
      <c r="AL68" s="203"/>
      <c r="AM68" s="203"/>
      <c r="AN68" s="203"/>
      <c r="AO68" s="203"/>
      <c r="AP68" s="203"/>
      <c r="AQ68" s="203"/>
      <c r="AR68" s="203"/>
      <c r="AS68" s="203"/>
      <c r="AT68" s="203"/>
    </row>
    <row r="69" spans="1:46" ht="16.5" hidden="1" thickBot="1">
      <c r="A69" s="32"/>
      <c r="B69" s="13"/>
      <c r="C69" s="13"/>
      <c r="D69" s="32"/>
      <c r="E69" s="32"/>
      <c r="F69" s="13"/>
      <c r="G69" s="13"/>
      <c r="H69" s="55">
        <v>0.5</v>
      </c>
      <c r="I69" s="65">
        <f t="shared" si="14"/>
        <v>17183</v>
      </c>
      <c r="J69" s="770">
        <v>17183</v>
      </c>
      <c r="K69" s="771">
        <v>13723</v>
      </c>
      <c r="L69" s="771">
        <v>13319</v>
      </c>
      <c r="M69" s="771">
        <v>12100</v>
      </c>
      <c r="N69" s="771">
        <v>12412</v>
      </c>
      <c r="O69" s="771">
        <v>10558</v>
      </c>
      <c r="P69" s="771">
        <v>20894</v>
      </c>
      <c r="Q69" s="771">
        <v>17739</v>
      </c>
      <c r="R69" s="52">
        <f t="shared" si="15"/>
        <v>20894</v>
      </c>
      <c r="S69" s="52">
        <f t="shared" si="16"/>
        <v>17183</v>
      </c>
      <c r="T69" s="52">
        <f t="shared" si="17"/>
        <v>17183</v>
      </c>
      <c r="U69" s="52">
        <f t="shared" si="18"/>
        <v>17183</v>
      </c>
      <c r="V69" s="52">
        <f t="shared" si="19"/>
        <v>17183</v>
      </c>
      <c r="W69" s="52">
        <f t="shared" si="20"/>
        <v>17183</v>
      </c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</row>
    <row r="70" spans="1:46" ht="16.5" hidden="1" thickBot="1">
      <c r="A70" s="32"/>
      <c r="B70" s="13"/>
      <c r="C70" s="13"/>
      <c r="D70" s="32"/>
      <c r="E70" s="32"/>
      <c r="F70" s="13"/>
      <c r="G70" s="13"/>
      <c r="H70" s="55">
        <v>0.6</v>
      </c>
      <c r="I70" s="65">
        <f t="shared" si="14"/>
        <v>17242</v>
      </c>
      <c r="J70" s="770">
        <v>17242</v>
      </c>
      <c r="K70" s="771">
        <v>13549</v>
      </c>
      <c r="L70" s="771">
        <v>13549</v>
      </c>
      <c r="M70" s="771">
        <v>12182</v>
      </c>
      <c r="N70" s="771">
        <v>11763</v>
      </c>
      <c r="O70" s="771">
        <v>11027</v>
      </c>
      <c r="P70" s="771">
        <v>21741</v>
      </c>
      <c r="Q70" s="771">
        <v>18111</v>
      </c>
      <c r="R70" s="52">
        <f t="shared" si="15"/>
        <v>21741</v>
      </c>
      <c r="S70" s="52">
        <f t="shared" si="16"/>
        <v>17242</v>
      </c>
      <c r="T70" s="52">
        <f t="shared" si="17"/>
        <v>17242</v>
      </c>
      <c r="U70" s="52">
        <f t="shared" si="18"/>
        <v>17242</v>
      </c>
      <c r="V70" s="52">
        <f t="shared" si="19"/>
        <v>17242</v>
      </c>
      <c r="W70" s="52">
        <f t="shared" si="20"/>
        <v>17242</v>
      </c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</row>
    <row r="71" spans="1:46" ht="16.5" hidden="1" thickBot="1">
      <c r="A71" s="32"/>
      <c r="B71" s="13"/>
      <c r="C71" s="13"/>
      <c r="D71" s="32"/>
      <c r="E71" s="32"/>
      <c r="F71" s="13"/>
      <c r="G71" s="13"/>
      <c r="H71" s="55">
        <v>0.7</v>
      </c>
      <c r="I71" s="65">
        <f t="shared" si="14"/>
        <v>15887</v>
      </c>
      <c r="J71" s="770">
        <v>15887</v>
      </c>
      <c r="K71" s="771">
        <v>14152</v>
      </c>
      <c r="L71" s="771">
        <v>16069</v>
      </c>
      <c r="M71" s="771">
        <v>11948</v>
      </c>
      <c r="N71" s="771">
        <v>11763</v>
      </c>
      <c r="O71" s="771">
        <v>11027</v>
      </c>
      <c r="P71" s="771">
        <v>21226</v>
      </c>
      <c r="Q71" s="771">
        <v>18483</v>
      </c>
      <c r="R71" s="52">
        <f t="shared" si="15"/>
        <v>21226</v>
      </c>
      <c r="S71" s="52">
        <f t="shared" si="16"/>
        <v>15887</v>
      </c>
      <c r="T71" s="52">
        <f t="shared" si="17"/>
        <v>15887</v>
      </c>
      <c r="U71" s="52">
        <f t="shared" si="18"/>
        <v>15887</v>
      </c>
      <c r="V71" s="52">
        <f t="shared" si="19"/>
        <v>15887</v>
      </c>
      <c r="W71" s="52">
        <f t="shared" si="20"/>
        <v>15887</v>
      </c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</row>
    <row r="72" spans="1:46" ht="16.5" hidden="1" thickBot="1">
      <c r="A72" s="32"/>
      <c r="B72" s="13"/>
      <c r="C72" s="13"/>
      <c r="D72" s="32"/>
      <c r="E72" s="32"/>
      <c r="F72" s="13"/>
      <c r="G72" s="13"/>
      <c r="H72" s="55">
        <v>0.8</v>
      </c>
      <c r="I72" s="65">
        <f t="shared" si="14"/>
        <v>17946</v>
      </c>
      <c r="J72" s="770">
        <v>17946</v>
      </c>
      <c r="K72" s="771">
        <v>15601</v>
      </c>
      <c r="L72" s="771">
        <v>16813</v>
      </c>
      <c r="M72" s="771">
        <v>14587</v>
      </c>
      <c r="N72" s="771">
        <v>13918</v>
      </c>
      <c r="O72" s="771">
        <v>11525</v>
      </c>
      <c r="P72" s="771">
        <v>21939</v>
      </c>
      <c r="Q72" s="771">
        <v>18720</v>
      </c>
      <c r="R72" s="52">
        <f t="shared" si="15"/>
        <v>21939</v>
      </c>
      <c r="S72" s="52">
        <f t="shared" si="16"/>
        <v>17946</v>
      </c>
      <c r="T72" s="52">
        <f t="shared" si="17"/>
        <v>17946</v>
      </c>
      <c r="U72" s="52">
        <f t="shared" si="18"/>
        <v>17946</v>
      </c>
      <c r="V72" s="52">
        <f t="shared" si="19"/>
        <v>17946</v>
      </c>
      <c r="W72" s="52">
        <f t="shared" si="20"/>
        <v>17946</v>
      </c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</row>
    <row r="73" spans="1:46" ht="16.5" hidden="1" thickBot="1">
      <c r="A73" s="32"/>
      <c r="B73" s="13"/>
      <c r="C73" s="13"/>
      <c r="D73" s="32"/>
      <c r="E73" s="32"/>
      <c r="F73" s="13"/>
      <c r="G73" s="13"/>
      <c r="H73" s="55">
        <v>1</v>
      </c>
      <c r="I73" s="65">
        <f t="shared" si="14"/>
        <v>20912</v>
      </c>
      <c r="J73" s="770">
        <v>20912</v>
      </c>
      <c r="K73" s="771">
        <v>17757</v>
      </c>
      <c r="L73" s="771">
        <v>17162</v>
      </c>
      <c r="M73" s="771">
        <v>14349</v>
      </c>
      <c r="N73" s="771">
        <v>14647</v>
      </c>
      <c r="O73" s="771">
        <v>11525</v>
      </c>
      <c r="P73" s="771">
        <v>22801</v>
      </c>
      <c r="Q73" s="771">
        <v>19077</v>
      </c>
      <c r="R73" s="52">
        <f t="shared" si="15"/>
        <v>22801</v>
      </c>
      <c r="S73" s="52">
        <f t="shared" si="16"/>
        <v>20912</v>
      </c>
      <c r="T73" s="52">
        <f t="shared" si="17"/>
        <v>20912</v>
      </c>
      <c r="U73" s="52">
        <f t="shared" si="18"/>
        <v>20912</v>
      </c>
      <c r="V73" s="52">
        <f t="shared" si="19"/>
        <v>20912</v>
      </c>
      <c r="W73" s="52">
        <f t="shared" si="20"/>
        <v>20912</v>
      </c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</row>
    <row r="74" spans="1:46" ht="16.5" hidden="1" thickBot="1">
      <c r="A74" s="32"/>
      <c r="B74" s="13"/>
      <c r="C74" s="13"/>
      <c r="D74" s="32"/>
      <c r="E74" s="32"/>
      <c r="F74" s="13"/>
      <c r="G74" s="13"/>
      <c r="H74" s="55">
        <v>1.1000000000000001</v>
      </c>
      <c r="I74" s="65">
        <f t="shared" si="14"/>
        <v>22733</v>
      </c>
      <c r="J74" s="770">
        <v>22733</v>
      </c>
      <c r="K74" s="771">
        <v>19214</v>
      </c>
      <c r="L74" s="771">
        <v>16765</v>
      </c>
      <c r="M74" s="771">
        <v>14349</v>
      </c>
      <c r="N74" s="771">
        <v>14892</v>
      </c>
      <c r="O74" s="771">
        <v>11763</v>
      </c>
      <c r="P74" s="771">
        <v>23404</v>
      </c>
      <c r="Q74" s="771">
        <v>19441</v>
      </c>
      <c r="R74" s="52">
        <f t="shared" si="15"/>
        <v>23404</v>
      </c>
      <c r="S74" s="52">
        <f t="shared" si="16"/>
        <v>22733</v>
      </c>
      <c r="T74" s="52">
        <f t="shared" si="17"/>
        <v>22733</v>
      </c>
      <c r="U74" s="52">
        <f t="shared" si="18"/>
        <v>22733</v>
      </c>
      <c r="V74" s="52">
        <f t="shared" si="19"/>
        <v>22733</v>
      </c>
      <c r="W74" s="52">
        <f t="shared" si="20"/>
        <v>22733</v>
      </c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</row>
    <row r="75" spans="1:46" ht="16.5" hidden="1" thickBot="1">
      <c r="A75" s="32"/>
      <c r="B75" s="13"/>
      <c r="C75" s="13"/>
      <c r="D75" s="32"/>
      <c r="E75" s="32"/>
      <c r="F75" s="13"/>
      <c r="G75" s="13"/>
      <c r="H75" s="55">
        <v>1.2</v>
      </c>
      <c r="I75" s="65">
        <f t="shared" si="14"/>
        <v>23313</v>
      </c>
      <c r="J75" s="770">
        <v>23313</v>
      </c>
      <c r="K75" s="771">
        <v>19751</v>
      </c>
      <c r="L75" s="771">
        <v>17955</v>
      </c>
      <c r="M75" s="771">
        <v>14468</v>
      </c>
      <c r="N75" s="771">
        <v>15130</v>
      </c>
      <c r="O75" s="771">
        <v>11763</v>
      </c>
      <c r="P75" s="771">
        <v>23523</v>
      </c>
      <c r="Q75" s="771">
        <v>19575</v>
      </c>
      <c r="R75" s="52">
        <f t="shared" si="15"/>
        <v>23523</v>
      </c>
      <c r="S75" s="52">
        <f t="shared" si="16"/>
        <v>23313</v>
      </c>
      <c r="T75" s="52">
        <f t="shared" si="17"/>
        <v>23313</v>
      </c>
      <c r="U75" s="52">
        <f t="shared" si="18"/>
        <v>23313</v>
      </c>
      <c r="V75" s="52">
        <f t="shared" si="19"/>
        <v>23313</v>
      </c>
      <c r="W75" s="52">
        <f t="shared" si="20"/>
        <v>23313</v>
      </c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</row>
    <row r="76" spans="1:46" hidden="1">
      <c r="A76" s="32"/>
      <c r="B76" s="32"/>
      <c r="C76" s="32"/>
      <c r="D76" s="32"/>
      <c r="E76" s="13"/>
      <c r="F76" s="13"/>
      <c r="G76" s="13"/>
      <c r="H76" s="32"/>
      <c r="I76" s="32"/>
      <c r="J76" s="13"/>
      <c r="K76" s="13"/>
      <c r="L76" s="63"/>
      <c r="M76" s="58"/>
      <c r="N76" s="64"/>
      <c r="O76" s="64"/>
      <c r="P76" s="64"/>
      <c r="Q76" s="64"/>
      <c r="R76" s="64"/>
      <c r="S76" s="64"/>
      <c r="T76" s="64"/>
      <c r="U76" s="64"/>
      <c r="V76" s="31"/>
      <c r="W76" s="31"/>
      <c r="X76" s="31"/>
      <c r="Y76" s="31"/>
      <c r="Z76" s="31"/>
      <c r="AA76" s="31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</row>
    <row r="77" spans="1:46" hidden="1">
      <c r="A77" s="32"/>
      <c r="B77" s="32"/>
      <c r="C77" s="32"/>
      <c r="D77" s="32"/>
      <c r="E77" s="13"/>
      <c r="F77" s="13"/>
      <c r="G77" s="13"/>
      <c r="H77" s="32"/>
      <c r="I77" s="32"/>
      <c r="J77" s="13"/>
      <c r="K77" s="13"/>
      <c r="L77" s="63"/>
      <c r="M77" s="58"/>
      <c r="N77" s="64"/>
      <c r="O77" s="64"/>
      <c r="P77" s="64"/>
      <c r="Q77" s="64"/>
      <c r="R77" s="64"/>
      <c r="S77" s="64"/>
      <c r="T77" s="64"/>
      <c r="U77" s="64"/>
      <c r="V77" s="31"/>
      <c r="W77" s="31"/>
      <c r="X77" s="31"/>
      <c r="Y77" s="31"/>
      <c r="Z77" s="31"/>
      <c r="AA77" s="31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</row>
    <row r="78" spans="1:46" hidden="1">
      <c r="A78" s="32"/>
      <c r="B78" s="32"/>
      <c r="C78" s="32"/>
      <c r="D78" s="32"/>
      <c r="E78" s="13"/>
      <c r="F78" s="13"/>
      <c r="G78" s="13"/>
      <c r="H78" s="32"/>
      <c r="I78" s="32"/>
      <c r="J78" s="13"/>
      <c r="K78" s="13"/>
      <c r="L78" s="63"/>
      <c r="M78" s="58"/>
      <c r="N78" s="64"/>
      <c r="O78" s="64"/>
      <c r="P78" s="64"/>
      <c r="Q78" s="64"/>
      <c r="R78" s="64"/>
      <c r="S78" s="64"/>
      <c r="T78" s="64"/>
      <c r="U78" s="64"/>
      <c r="V78" s="31"/>
      <c r="W78" s="31"/>
      <c r="X78" s="31"/>
      <c r="Y78" s="31"/>
      <c r="Z78" s="31"/>
      <c r="AA78" s="31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</row>
    <row r="79" spans="1:46" ht="23.25" hidden="1">
      <c r="A79" s="32"/>
      <c r="B79" s="32"/>
      <c r="C79" s="32"/>
      <c r="D79" s="32"/>
      <c r="E79" s="13"/>
      <c r="F79" s="66"/>
      <c r="G79" s="67"/>
      <c r="H79" s="68"/>
      <c r="I79" s="68"/>
      <c r="J79" s="67"/>
      <c r="K79" s="67"/>
      <c r="L79" s="69"/>
      <c r="M79" s="70"/>
      <c r="N79" s="70"/>
      <c r="O79" s="70"/>
      <c r="P79" s="70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</row>
    <row r="80" spans="1:46" ht="20.25" hidden="1">
      <c r="A80" s="31"/>
      <c r="B80" s="32"/>
      <c r="C80" s="32"/>
      <c r="D80" s="32"/>
      <c r="E80" s="13"/>
      <c r="F80" s="71"/>
      <c r="G80" s="72" t="s">
        <v>19</v>
      </c>
      <c r="H80" s="73" t="s">
        <v>20</v>
      </c>
      <c r="I80" s="72" t="s">
        <v>21</v>
      </c>
      <c r="J80" s="74" t="s">
        <v>22</v>
      </c>
      <c r="K80" s="70"/>
      <c r="L80" s="75"/>
      <c r="M80" s="76"/>
      <c r="N80" s="77" t="s">
        <v>23</v>
      </c>
      <c r="O80" s="78"/>
      <c r="P80" s="79">
        <v>0.24</v>
      </c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</row>
    <row r="81" spans="1:46" ht="20.25" hidden="1">
      <c r="A81" s="30" t="s">
        <v>24</v>
      </c>
      <c r="B81" s="30"/>
      <c r="C81" s="30"/>
      <c r="D81" s="30"/>
      <c r="E81" s="13"/>
      <c r="F81" s="80"/>
      <c r="G81" s="72" t="s">
        <v>25</v>
      </c>
      <c r="H81" s="73" t="s">
        <v>26</v>
      </c>
      <c r="I81" s="72" t="s">
        <v>27</v>
      </c>
      <c r="J81" s="74" t="s">
        <v>22</v>
      </c>
      <c r="K81" s="70"/>
      <c r="L81" s="81"/>
      <c r="M81" s="76"/>
      <c r="N81" s="82" t="s">
        <v>28</v>
      </c>
      <c r="O81" s="83"/>
      <c r="P81" s="79">
        <v>0.26</v>
      </c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</row>
    <row r="82" spans="1:46" ht="20.25" hidden="1">
      <c r="A82" s="13"/>
      <c r="B82" s="13"/>
      <c r="C82" s="13"/>
      <c r="D82" s="32"/>
      <c r="E82" s="13"/>
      <c r="F82" s="80"/>
      <c r="G82" s="84" t="s">
        <v>29</v>
      </c>
      <c r="H82" s="85" t="s">
        <v>30</v>
      </c>
      <c r="I82" s="86" t="s">
        <v>31</v>
      </c>
      <c r="J82" s="87" t="s">
        <v>32</v>
      </c>
      <c r="K82" s="24"/>
      <c r="L82" s="81"/>
      <c r="M82" s="76"/>
      <c r="N82" s="82" t="s">
        <v>33</v>
      </c>
      <c r="O82" s="83"/>
      <c r="P82" s="88" t="s">
        <v>34</v>
      </c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</row>
    <row r="83" spans="1:46" ht="20.25" hidden="1">
      <c r="A83" s="13"/>
      <c r="B83" s="89"/>
      <c r="C83" s="89"/>
      <c r="D83" s="13"/>
      <c r="E83" s="13"/>
      <c r="F83" s="90"/>
      <c r="G83" s="91"/>
      <c r="H83" s="92"/>
      <c r="I83" s="92"/>
      <c r="J83" s="91"/>
      <c r="K83" s="91"/>
      <c r="L83" s="93"/>
      <c r="M83" s="13"/>
      <c r="N83" s="13"/>
      <c r="O83" s="13"/>
      <c r="P83" s="13"/>
      <c r="Q83" s="13"/>
      <c r="R83" s="13"/>
      <c r="S83" s="13"/>
      <c r="T83" s="13"/>
      <c r="U83" s="94"/>
      <c r="V83" s="94"/>
      <c r="W83" s="94"/>
      <c r="X83" s="95"/>
      <c r="Y83" s="13"/>
      <c r="Z83" s="13"/>
      <c r="AA83" s="96" t="s">
        <v>35</v>
      </c>
      <c r="AB83" s="13"/>
      <c r="AC83" s="13"/>
      <c r="AD83" s="13"/>
      <c r="AE83" s="13"/>
      <c r="AF83" s="97"/>
      <c r="AG83" s="98"/>
      <c r="AH83" s="13"/>
      <c r="AI83" s="99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</row>
    <row r="84" spans="1:46" ht="20.25" hidden="1">
      <c r="A84" s="13"/>
      <c r="B84" s="100"/>
      <c r="C84" s="101"/>
      <c r="D84" s="101"/>
      <c r="E84" s="13"/>
      <c r="F84" s="969" t="s">
        <v>36</v>
      </c>
      <c r="G84" s="956"/>
      <c r="H84" s="956"/>
      <c r="I84" s="102"/>
      <c r="J84" s="103"/>
      <c r="K84" s="102"/>
      <c r="L84" s="13"/>
      <c r="M84" s="13"/>
      <c r="N84" s="13"/>
      <c r="O84" s="13"/>
      <c r="P84" s="13"/>
      <c r="Q84" s="13"/>
      <c r="R84" s="13"/>
      <c r="S84" s="13"/>
      <c r="T84" s="13"/>
      <c r="U84" s="104"/>
      <c r="V84" s="104"/>
      <c r="W84" s="104"/>
      <c r="X84" s="95"/>
      <c r="Y84" s="13"/>
      <c r="Z84" s="13"/>
      <c r="AA84" s="13"/>
      <c r="AB84" s="13"/>
      <c r="AC84" s="13"/>
      <c r="AD84" s="13"/>
      <c r="AE84" s="13"/>
      <c r="AF84" s="97"/>
      <c r="AG84" s="98"/>
      <c r="AH84" s="13"/>
      <c r="AI84" s="99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</row>
    <row r="85" spans="1:46" ht="20.25" hidden="1">
      <c r="A85" s="13"/>
      <c r="B85" s="105"/>
      <c r="C85" s="106"/>
      <c r="D85" s="13"/>
      <c r="E85" s="13"/>
      <c r="F85" s="970" t="s">
        <v>37</v>
      </c>
      <c r="G85" s="956"/>
      <c r="H85" s="13"/>
      <c r="I85" s="32"/>
      <c r="J85" s="107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97"/>
      <c r="AL85" s="13"/>
      <c r="AM85" s="13"/>
      <c r="AN85" s="13"/>
      <c r="AO85" s="13"/>
      <c r="AP85" s="13"/>
      <c r="AQ85" s="13"/>
      <c r="AR85" s="13"/>
      <c r="AS85" s="13"/>
      <c r="AT85" s="13"/>
    </row>
    <row r="86" spans="1:46" ht="26.25" hidden="1">
      <c r="A86" s="13"/>
      <c r="B86" s="13"/>
      <c r="C86" s="108"/>
      <c r="D86" s="13"/>
      <c r="E86" s="13"/>
      <c r="F86" s="971" t="s">
        <v>38</v>
      </c>
      <c r="G86" s="961"/>
      <c r="H86" s="109"/>
      <c r="I86" s="32"/>
      <c r="J86" s="107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10" t="s">
        <v>39</v>
      </c>
      <c r="X86" s="13"/>
      <c r="Y86" s="13"/>
      <c r="Z86" s="111"/>
      <c r="AA86" s="13"/>
      <c r="AB86" s="110" t="s">
        <v>39</v>
      </c>
      <c r="AC86" s="13"/>
      <c r="AD86" s="13"/>
      <c r="AE86" s="110" t="s">
        <v>39</v>
      </c>
      <c r="AF86" s="13"/>
      <c r="AG86" s="13"/>
      <c r="AH86" s="111"/>
      <c r="AI86" s="13"/>
      <c r="AJ86" s="13"/>
      <c r="AK86" s="112"/>
      <c r="AL86" s="13"/>
      <c r="AM86" s="113"/>
      <c r="AN86" s="13"/>
      <c r="AO86" s="13"/>
      <c r="AP86" s="13"/>
      <c r="AQ86" s="13"/>
      <c r="AR86" s="13"/>
      <c r="AS86" s="13"/>
      <c r="AT86" s="13"/>
    </row>
    <row r="87" spans="1:46" ht="16.5" hidden="1" thickBot="1">
      <c r="A87" s="13"/>
      <c r="B87" s="114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31"/>
      <c r="AE87" s="1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</row>
    <row r="88" spans="1:46" ht="13.5" hidden="1" thickBot="1">
      <c r="A88" s="13"/>
      <c r="B88" s="115" t="s">
        <v>40</v>
      </c>
      <c r="C88" s="116">
        <v>11.114000000000001</v>
      </c>
      <c r="D88" s="115" t="s">
        <v>41</v>
      </c>
      <c r="E88" s="116">
        <v>12.7811</v>
      </c>
      <c r="F88" s="115" t="s">
        <v>42</v>
      </c>
      <c r="G88" s="117">
        <v>1.08</v>
      </c>
      <c r="H88" s="115" t="s">
        <v>43</v>
      </c>
      <c r="I88" s="116">
        <v>18.1492</v>
      </c>
      <c r="J88" s="772" t="s">
        <v>549</v>
      </c>
      <c r="K88" s="775">
        <v>19.2867</v>
      </c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</row>
    <row r="89" spans="1:46" ht="13.5" hidden="1" thickBot="1">
      <c r="A89" s="13"/>
      <c r="B89" s="118" t="s">
        <v>44</v>
      </c>
      <c r="C89" s="116">
        <v>19.203199999999999</v>
      </c>
      <c r="D89" s="118" t="s">
        <v>45</v>
      </c>
      <c r="E89" s="116">
        <v>22.085100000000001</v>
      </c>
      <c r="F89" s="115" t="s">
        <v>46</v>
      </c>
      <c r="G89" s="119">
        <v>1.1499999999999999</v>
      </c>
      <c r="H89" s="118" t="s">
        <v>47</v>
      </c>
      <c r="I89" s="116">
        <v>31.360800000000001</v>
      </c>
      <c r="J89" s="774" t="s">
        <v>550</v>
      </c>
      <c r="K89" s="775">
        <v>33.3264</v>
      </c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</row>
    <row r="90" spans="1:46" ht="12.75" hidden="1">
      <c r="A90" s="13"/>
      <c r="B90" s="120"/>
      <c r="C90" s="13"/>
      <c r="D90" s="121" t="s">
        <v>48</v>
      </c>
      <c r="E90" s="119">
        <v>1.1499999999999999</v>
      </c>
      <c r="F90" s="115" t="s">
        <v>49</v>
      </c>
      <c r="G90" s="119">
        <v>1.25</v>
      </c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</row>
    <row r="91" spans="1:46" ht="12.75" hidden="1">
      <c r="A91" s="13"/>
      <c r="B91" s="120"/>
      <c r="C91" s="13"/>
      <c r="D91" s="13"/>
      <c r="E91" s="13"/>
      <c r="F91" s="115" t="s">
        <v>50</v>
      </c>
      <c r="G91" s="119">
        <v>1.35</v>
      </c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</row>
    <row r="92" spans="1:46" ht="12.75" hidden="1">
      <c r="A92" s="13"/>
      <c r="B92" s="120"/>
      <c r="C92" s="13"/>
      <c r="D92" s="122"/>
      <c r="E92" s="123"/>
      <c r="F92" s="115" t="s">
        <v>51</v>
      </c>
      <c r="G92" s="119">
        <v>1.42</v>
      </c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</row>
    <row r="93" spans="1:46" ht="12.75" hidden="1">
      <c r="A93" s="13"/>
      <c r="B93" s="120"/>
      <c r="C93" s="13"/>
      <c r="D93" s="122"/>
      <c r="E93" s="123"/>
      <c r="F93" s="772" t="s">
        <v>548</v>
      </c>
      <c r="G93" s="773">
        <v>1.5089999999999999</v>
      </c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</row>
    <row r="94" spans="1:46" ht="12.75" hidden="1">
      <c r="A94" s="13"/>
      <c r="B94" s="120"/>
      <c r="C94" s="13"/>
      <c r="D94" s="122"/>
      <c r="E94" s="12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</row>
    <row r="95" spans="1:46" ht="15" hidden="1">
      <c r="A95" s="13"/>
      <c r="B95" s="120"/>
      <c r="C95" s="13"/>
      <c r="D95" s="124">
        <v>124104481</v>
      </c>
      <c r="E95" s="123"/>
      <c r="F95" s="13"/>
      <c r="G95" s="13"/>
      <c r="H95" s="125"/>
      <c r="I95" s="125"/>
      <c r="J95" s="125"/>
      <c r="K95" s="125"/>
      <c r="L95" s="125"/>
      <c r="M95" s="125"/>
      <c r="N95" s="125"/>
      <c r="O95" s="125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</row>
    <row r="96" spans="1:46" ht="14.25" hidden="1">
      <c r="A96" s="13"/>
      <c r="B96" s="120"/>
      <c r="C96" s="13"/>
      <c r="D96" s="61" t="s">
        <v>52</v>
      </c>
      <c r="E96" s="126">
        <v>2900000847</v>
      </c>
      <c r="F96" s="13"/>
      <c r="G96" s="24"/>
      <c r="H96" s="127"/>
      <c r="I96" s="24"/>
      <c r="J96" s="24"/>
      <c r="K96" s="24"/>
      <c r="L96" s="24"/>
      <c r="M96" s="24"/>
      <c r="N96" s="24"/>
      <c r="O96" s="24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</row>
    <row r="97" spans="1:49" ht="14.25" hidden="1">
      <c r="A97" s="13"/>
      <c r="B97" s="120"/>
      <c r="C97" s="13"/>
      <c r="D97" s="13"/>
      <c r="E97" s="128"/>
      <c r="F97" s="13"/>
      <c r="G97" s="24"/>
      <c r="H97" s="127"/>
      <c r="I97" s="24"/>
      <c r="J97" s="24"/>
      <c r="K97" s="24"/>
      <c r="L97" s="24"/>
      <c r="M97" s="24"/>
      <c r="N97" s="24"/>
      <c r="O97" s="24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</row>
    <row r="98" spans="1:49" ht="16.5" thickBot="1">
      <c r="A98" s="129"/>
      <c r="B98" s="130" t="s">
        <v>53</v>
      </c>
      <c r="C98" s="13"/>
      <c r="D98" s="13"/>
      <c r="E98" s="13"/>
      <c r="F98" s="13"/>
      <c r="G98" s="13"/>
      <c r="H98" s="128"/>
      <c r="I98" s="13"/>
      <c r="J98" s="24"/>
      <c r="K98" s="127"/>
      <c r="L98" s="24"/>
      <c r="M98" s="24"/>
      <c r="N98" s="24"/>
      <c r="O98" s="24"/>
      <c r="P98" s="24"/>
      <c r="Q98" s="24"/>
      <c r="R98" s="24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</row>
    <row r="99" spans="1:49" ht="16.5" thickBot="1">
      <c r="A99" s="129"/>
      <c r="B99" s="914" t="s">
        <v>559</v>
      </c>
      <c r="C99" s="13"/>
      <c r="D99" s="13"/>
      <c r="E99" s="13"/>
      <c r="F99" s="13"/>
      <c r="G99" s="13"/>
      <c r="H99" s="128"/>
      <c r="I99" s="13"/>
      <c r="J99" s="24"/>
      <c r="K99" s="127"/>
      <c r="L99" s="24"/>
      <c r="M99" s="24"/>
      <c r="N99" s="24"/>
      <c r="O99" s="24"/>
      <c r="P99" s="24"/>
      <c r="Q99" s="24"/>
      <c r="R99" s="24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</row>
    <row r="100" spans="1:49" ht="16.5" thickBot="1">
      <c r="A100" s="131"/>
      <c r="B100" s="915" t="s">
        <v>560</v>
      </c>
      <c r="C100" s="13"/>
      <c r="D100" s="13"/>
      <c r="E100" s="13"/>
      <c r="F100" s="13"/>
      <c r="G100" s="13"/>
      <c r="H100" s="13"/>
      <c r="I100" s="13"/>
      <c r="J100" s="24"/>
      <c r="K100" s="127"/>
      <c r="L100" s="24"/>
      <c r="M100" s="24"/>
      <c r="N100" s="24"/>
      <c r="O100" s="24"/>
      <c r="P100" s="24"/>
      <c r="Q100" s="24"/>
      <c r="R100" s="24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</row>
    <row r="101" spans="1:49" ht="16.5" thickBot="1">
      <c r="A101" s="132"/>
      <c r="B101" s="915" t="s">
        <v>561</v>
      </c>
      <c r="C101" s="13"/>
      <c r="D101" s="13"/>
      <c r="E101" s="13"/>
      <c r="F101" s="13"/>
      <c r="G101" s="13"/>
      <c r="H101" s="13"/>
      <c r="I101" s="13"/>
      <c r="J101" s="24"/>
      <c r="K101" s="127"/>
      <c r="L101" s="24"/>
      <c r="M101" s="24"/>
      <c r="N101" s="24"/>
      <c r="O101" s="24"/>
      <c r="P101" s="24"/>
      <c r="Q101" s="24"/>
      <c r="R101" s="24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</row>
    <row r="102" spans="1:49" ht="14.25">
      <c r="A102" s="13"/>
      <c r="B102" s="13"/>
      <c r="C102" s="13"/>
      <c r="D102" s="13"/>
      <c r="E102" s="13"/>
      <c r="F102" s="13"/>
      <c r="G102" s="13"/>
      <c r="H102" s="13"/>
      <c r="I102" s="13"/>
      <c r="J102" s="24"/>
      <c r="K102" s="127"/>
      <c r="L102" s="24"/>
      <c r="M102" s="24"/>
      <c r="N102" s="24"/>
      <c r="O102" s="24"/>
      <c r="P102" s="24"/>
      <c r="Q102" s="24"/>
      <c r="R102" s="24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</row>
    <row r="103" spans="1:49" ht="26.25">
      <c r="A103" s="13"/>
      <c r="B103" s="13"/>
      <c r="C103" s="110" t="s">
        <v>39</v>
      </c>
      <c r="D103" s="13"/>
      <c r="E103" s="133"/>
      <c r="F103" s="13"/>
      <c r="G103" s="13"/>
      <c r="H103" s="13"/>
      <c r="I103" s="13"/>
      <c r="J103" s="24"/>
      <c r="K103" s="127"/>
      <c r="L103" s="134"/>
      <c r="M103" s="134"/>
      <c r="N103" s="134"/>
      <c r="O103" s="134"/>
      <c r="P103" s="134"/>
      <c r="Q103" s="134"/>
      <c r="R103" s="134"/>
      <c r="S103" s="135"/>
      <c r="T103" s="76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</row>
    <row r="104" spans="1:49" ht="18">
      <c r="A104" s="968" t="s">
        <v>54</v>
      </c>
      <c r="B104" s="956"/>
      <c r="C104" s="956"/>
      <c r="D104" s="956"/>
      <c r="E104" s="133"/>
      <c r="F104" s="13"/>
      <c r="G104" s="13"/>
      <c r="H104" s="13"/>
      <c r="I104" s="13"/>
      <c r="J104" s="24"/>
      <c r="K104" s="127"/>
      <c r="L104" s="24"/>
      <c r="M104" s="24"/>
      <c r="N104" s="24"/>
      <c r="O104" s="24"/>
      <c r="P104" s="24"/>
      <c r="Q104" s="24"/>
      <c r="R104" s="24"/>
      <c r="S104" s="136"/>
      <c r="T104" s="76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</row>
    <row r="105" spans="1:49" ht="18">
      <c r="A105" s="137" t="s">
        <v>55</v>
      </c>
      <c r="B105" s="138" t="s">
        <v>56</v>
      </c>
      <c r="C105" s="138" t="s">
        <v>57</v>
      </c>
      <c r="D105" s="139" t="s">
        <v>58</v>
      </c>
      <c r="E105" s="139" t="s">
        <v>59</v>
      </c>
      <c r="F105" s="140" t="s">
        <v>60</v>
      </c>
      <c r="G105" s="137" t="s">
        <v>61</v>
      </c>
      <c r="H105" s="138" t="s">
        <v>62</v>
      </c>
      <c r="I105" s="13"/>
      <c r="J105" s="24"/>
      <c r="K105" s="127"/>
      <c r="L105" s="24"/>
      <c r="M105" s="24"/>
      <c r="N105" s="24"/>
      <c r="O105" s="24"/>
      <c r="P105" s="24"/>
      <c r="Q105" s="24"/>
      <c r="R105" s="24"/>
      <c r="S105" s="95"/>
      <c r="T105" s="76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</row>
    <row r="106" spans="1:49" ht="18">
      <c r="A106" s="920">
        <v>749</v>
      </c>
      <c r="B106" s="141">
        <f>LOOKUP(A106,numcargo,punbascargo)</f>
        <v>971</v>
      </c>
      <c r="C106" s="142">
        <f>LOOKUP(A106,numcargo,puntardifcargo)</f>
        <v>0</v>
      </c>
      <c r="D106" s="143">
        <f>LOOKUP(A106,numcargo,punproljorcargo)</f>
        <v>0</v>
      </c>
      <c r="E106" s="144">
        <f>LOOKUP(A106,numcargo,punjorcomcargo)</f>
        <v>0</v>
      </c>
      <c r="F106" s="145" t="str">
        <f>LOOKUP(A106,numcargo,compbas16)</f>
        <v>414,7</v>
      </c>
      <c r="G106" s="146" t="str">
        <f>LOOKUP(A106,numcargo,adicdir2016)</f>
        <v>0,0</v>
      </c>
      <c r="H106" s="144">
        <f>IF(AND(D110=1,LOOKUP(A106,numcargo,adicnina)&gt;0),LOOKUP(A106,numcargo,adicnina),0)</f>
        <v>0</v>
      </c>
      <c r="I106" s="13"/>
      <c r="J106" s="24"/>
      <c r="K106" s="127"/>
      <c r="L106" s="24"/>
      <c r="M106" s="24"/>
      <c r="N106" s="24"/>
      <c r="O106" s="24"/>
      <c r="P106" s="24"/>
      <c r="Q106" s="24"/>
      <c r="R106" s="24"/>
      <c r="S106" s="104"/>
      <c r="T106" s="76"/>
      <c r="U106" s="32"/>
      <c r="V106" s="32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</row>
    <row r="107" spans="1:49" ht="18">
      <c r="A107" s="147" t="s">
        <v>63</v>
      </c>
      <c r="B107" s="148"/>
      <c r="C107" s="149" t="str">
        <f>LOOKUP(A106,numcargo,nombrecargo)</f>
        <v>MAESTRO DE GRADO</v>
      </c>
      <c r="D107" s="148"/>
      <c r="E107" s="150"/>
      <c r="H107" s="13"/>
      <c r="I107" s="13"/>
      <c r="J107" s="13"/>
      <c r="K107" s="13"/>
      <c r="L107" s="104"/>
      <c r="M107" s="104"/>
      <c r="N107" s="104"/>
      <c r="O107" s="104"/>
      <c r="P107" s="104"/>
      <c r="Q107" s="76"/>
      <c r="R107" s="32"/>
      <c r="S107" s="32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</row>
    <row r="108" spans="1:49">
      <c r="A108" s="151" t="s">
        <v>64</v>
      </c>
      <c r="B108" s="151"/>
      <c r="C108" s="151"/>
      <c r="D108" s="151"/>
      <c r="E108" s="13"/>
      <c r="H108" s="13"/>
      <c r="I108" s="13"/>
      <c r="J108" s="13"/>
      <c r="K108" s="13"/>
      <c r="L108" s="13"/>
      <c r="M108" s="104"/>
      <c r="N108" s="104"/>
      <c r="O108" s="104"/>
      <c r="P108" s="104"/>
      <c r="Q108" s="95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</row>
    <row r="109" spans="1:49" ht="20.25">
      <c r="A109" s="946"/>
      <c r="B109" s="13"/>
      <c r="C109" s="13"/>
      <c r="D109" s="99"/>
      <c r="E109" s="13"/>
      <c r="F109" s="13"/>
      <c r="G109" s="13"/>
      <c r="H109" s="13"/>
      <c r="I109" s="13"/>
      <c r="J109" s="13"/>
      <c r="K109" s="13"/>
      <c r="L109" s="104"/>
      <c r="M109" s="104"/>
      <c r="N109" s="104"/>
      <c r="O109" s="104"/>
      <c r="P109" s="104"/>
      <c r="Q109" s="95"/>
      <c r="R109" s="13"/>
      <c r="S109" s="13"/>
      <c r="T109" s="95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</row>
    <row r="110" spans="1:49">
      <c r="A110" s="13"/>
      <c r="B110" s="977" t="s">
        <v>65</v>
      </c>
      <c r="C110" s="956"/>
      <c r="D110" s="921"/>
      <c r="E110" s="152" t="s">
        <v>66</v>
      </c>
      <c r="F110" s="61" t="s">
        <v>67</v>
      </c>
      <c r="G110" s="13"/>
      <c r="H110" s="13"/>
      <c r="I110" s="13"/>
      <c r="J110" s="13"/>
      <c r="K110" s="13"/>
      <c r="L110" s="13"/>
      <c r="M110" s="13"/>
      <c r="N110" s="13"/>
      <c r="O110" s="13"/>
      <c r="P110" s="13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53"/>
      <c r="AO110" s="13"/>
      <c r="AP110" s="13"/>
      <c r="AQ110" s="13"/>
      <c r="AR110" s="13"/>
      <c r="AS110" s="13"/>
      <c r="AT110" s="13"/>
    </row>
    <row r="111" spans="1:49" ht="16.5" thickBot="1">
      <c r="A111" s="13"/>
      <c r="B111" s="960" t="s">
        <v>68</v>
      </c>
      <c r="C111" s="961"/>
      <c r="D111" s="922">
        <v>0</v>
      </c>
      <c r="E111" s="13"/>
      <c r="F111" s="111"/>
      <c r="G111" s="111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54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</row>
    <row r="112" spans="1:49" ht="16.5" thickTop="1">
      <c r="A112" s="13"/>
      <c r="B112" s="13"/>
      <c r="C112" s="13"/>
      <c r="D112" s="155">
        <f>LOOKUP(D111,escalaañosantig,escalaporcantig)</f>
        <v>0</v>
      </c>
      <c r="E112" s="156" t="s">
        <v>69</v>
      </c>
      <c r="F112" s="155"/>
      <c r="G112" s="731"/>
      <c r="H112" s="156" t="s">
        <v>69</v>
      </c>
      <c r="I112" s="157"/>
      <c r="J112" s="157"/>
      <c r="K112" s="156" t="s">
        <v>69</v>
      </c>
      <c r="L112" s="13"/>
      <c r="M112" s="13"/>
      <c r="N112" s="156" t="s">
        <v>69</v>
      </c>
      <c r="O112" s="13"/>
      <c r="P112" s="13"/>
      <c r="Q112" s="156" t="s">
        <v>69</v>
      </c>
      <c r="R112" s="13"/>
      <c r="S112" s="13"/>
      <c r="T112" s="156" t="s">
        <v>69</v>
      </c>
      <c r="U112" s="13"/>
      <c r="V112" s="13"/>
      <c r="W112" s="156" t="s">
        <v>69</v>
      </c>
      <c r="X112" s="13"/>
      <c r="Y112" s="13"/>
      <c r="Z112" s="156" t="s">
        <v>69</v>
      </c>
      <c r="AA112" s="13"/>
      <c r="AB112" s="13"/>
      <c r="AC112" s="156" t="s">
        <v>69</v>
      </c>
      <c r="AD112" s="13"/>
      <c r="AE112" s="13"/>
      <c r="AF112" s="157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</row>
    <row r="113" spans="1:49" ht="16.5" thickBot="1">
      <c r="A113" s="13"/>
      <c r="B113" s="978" t="s">
        <v>70</v>
      </c>
      <c r="C113" s="956"/>
      <c r="D113" s="919">
        <v>0</v>
      </c>
      <c r="E113" s="158">
        <f>F214</f>
        <v>50439.999999999993</v>
      </c>
      <c r="F113" s="159"/>
      <c r="G113" s="811"/>
      <c r="H113" s="158">
        <f>I214</f>
        <v>47764.999999999993</v>
      </c>
      <c r="I113" s="159"/>
      <c r="J113" s="159"/>
      <c r="K113" s="158">
        <f>L214</f>
        <v>44410.999999999993</v>
      </c>
      <c r="L113" s="13"/>
      <c r="M113" s="13"/>
      <c r="N113" s="158">
        <f>O214</f>
        <v>41404</v>
      </c>
      <c r="O113" s="13"/>
      <c r="P113" s="13"/>
      <c r="Q113" s="158">
        <f>R214</f>
        <v>37699.999999999993</v>
      </c>
      <c r="R113" s="13"/>
      <c r="S113" s="13"/>
      <c r="T113" s="158">
        <f>U214</f>
        <v>35595</v>
      </c>
      <c r="U113" s="13"/>
      <c r="V113" s="13"/>
      <c r="W113" s="158">
        <f>X214</f>
        <v>33189.999999999993</v>
      </c>
      <c r="X113" s="13"/>
      <c r="Y113" s="13"/>
      <c r="Z113" s="158">
        <f>AA214</f>
        <v>32689.999999999993</v>
      </c>
      <c r="AA113" s="13"/>
      <c r="AB113" s="13"/>
      <c r="AC113" s="158">
        <f>AD214</f>
        <v>24864.999999999996</v>
      </c>
      <c r="AD113" s="13"/>
      <c r="AE113" s="13"/>
      <c r="AF113" s="13"/>
      <c r="AG113" s="13"/>
      <c r="AH113" s="13"/>
      <c r="AI113" s="13"/>
      <c r="AJ113" s="13"/>
      <c r="AK113" s="13"/>
      <c r="AL113" s="13"/>
      <c r="AM113" s="157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</row>
    <row r="114" spans="1:49" ht="18.75" thickTop="1">
      <c r="A114" s="13"/>
      <c r="B114" s="964" t="s">
        <v>71</v>
      </c>
      <c r="C114" s="956"/>
      <c r="D114" s="160">
        <f>PUNTOSbasicos</f>
        <v>971</v>
      </c>
      <c r="E114" s="173"/>
      <c r="F114" s="173"/>
      <c r="G114" s="733"/>
      <c r="H114" s="58"/>
      <c r="I114" s="58"/>
      <c r="J114" s="58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57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</row>
    <row r="115" spans="1:49" ht="18">
      <c r="A115" s="13"/>
      <c r="B115" s="979" t="s">
        <v>72</v>
      </c>
      <c r="C115" s="980"/>
      <c r="D115" s="162">
        <f>E106+D106</f>
        <v>0</v>
      </c>
      <c r="E115" s="806">
        <v>44562</v>
      </c>
      <c r="F115" s="807">
        <v>8.8999999999999996E-2</v>
      </c>
      <c r="G115" s="812"/>
      <c r="H115" s="809">
        <v>44916</v>
      </c>
      <c r="I115" s="810">
        <v>7.0000000000000007E-2</v>
      </c>
      <c r="J115" s="161"/>
      <c r="K115" s="178">
        <v>44855</v>
      </c>
      <c r="L115" s="179">
        <v>0.1</v>
      </c>
      <c r="M115" s="459"/>
      <c r="N115" s="181" t="s">
        <v>0</v>
      </c>
      <c r="O115" s="179">
        <v>0.1</v>
      </c>
      <c r="P115" s="13"/>
      <c r="Q115" s="178">
        <v>44763</v>
      </c>
      <c r="R115" s="179">
        <v>7.0000000000000007E-2</v>
      </c>
      <c r="S115" s="459"/>
      <c r="T115" s="178">
        <v>44702</v>
      </c>
      <c r="U115" s="179">
        <v>0.08</v>
      </c>
      <c r="V115" s="459"/>
      <c r="W115" s="182">
        <v>44641</v>
      </c>
      <c r="X115" s="266"/>
      <c r="Y115" s="459"/>
      <c r="Z115" s="183">
        <v>44228</v>
      </c>
      <c r="AA115" s="266"/>
      <c r="AB115" s="459"/>
      <c r="AC115" s="183">
        <v>43891</v>
      </c>
      <c r="AD115" s="266"/>
      <c r="AE115" s="13"/>
      <c r="AF115" s="13"/>
      <c r="AG115" s="13"/>
      <c r="AH115" s="13"/>
      <c r="AI115" s="13"/>
      <c r="AJ115" s="13"/>
      <c r="AK115" s="13"/>
      <c r="AL115" s="13"/>
      <c r="AM115" s="161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</row>
    <row r="116" spans="1:49">
      <c r="A116" s="89"/>
      <c r="B116" s="163"/>
      <c r="C116" s="163"/>
      <c r="D116" s="944"/>
      <c r="E116" s="163"/>
      <c r="F116" s="163"/>
      <c r="G116" s="755"/>
      <c r="H116" s="163"/>
      <c r="I116" s="163"/>
      <c r="J116" s="163"/>
      <c r="K116" s="164"/>
      <c r="L116" s="89"/>
      <c r="M116" s="165"/>
      <c r="N116" s="89"/>
      <c r="O116" s="89"/>
      <c r="P116" s="166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31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</row>
    <row r="117" spans="1:49">
      <c r="A117" s="167"/>
      <c r="B117" s="167"/>
      <c r="C117" s="167"/>
      <c r="D117" s="945"/>
      <c r="E117" s="167"/>
      <c r="F117" s="167"/>
      <c r="G117" s="725"/>
      <c r="H117" s="168"/>
      <c r="I117" s="169"/>
      <c r="J117" s="170"/>
      <c r="K117" s="168"/>
      <c r="L117" s="169"/>
      <c r="M117" s="171"/>
      <c r="N117" s="172"/>
      <c r="O117" s="169"/>
      <c r="P117" s="171"/>
      <c r="Q117" s="168"/>
      <c r="R117" s="169"/>
      <c r="S117" s="171"/>
      <c r="T117" s="168"/>
      <c r="U117" s="169"/>
      <c r="V117" s="171"/>
      <c r="W117" s="38"/>
      <c r="X117" s="173"/>
      <c r="Y117" s="171"/>
      <c r="Z117" s="174"/>
      <c r="AA117" s="173"/>
      <c r="AB117" s="171"/>
      <c r="AC117" s="174"/>
      <c r="AD117" s="173"/>
      <c r="AE117" s="171"/>
      <c r="AF117" s="31"/>
      <c r="AG117" s="31"/>
      <c r="AH117" s="175"/>
      <c r="AI117" s="176"/>
      <c r="AJ117" s="89"/>
      <c r="AK117" s="89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</row>
    <row r="118" spans="1:49" ht="18">
      <c r="A118" s="167"/>
      <c r="B118" s="177"/>
      <c r="C118" s="177"/>
      <c r="D118" s="177"/>
      <c r="E118" s="806">
        <v>44562</v>
      </c>
      <c r="F118" s="807">
        <v>8.8999999999999996E-2</v>
      </c>
      <c r="G118" s="813"/>
      <c r="H118" s="178">
        <v>44916</v>
      </c>
      <c r="I118" s="179">
        <v>7.0000000000000007E-2</v>
      </c>
      <c r="J118" s="180"/>
      <c r="K118" s="178">
        <v>44855</v>
      </c>
      <c r="L118" s="179">
        <v>0.1</v>
      </c>
      <c r="M118" s="180"/>
      <c r="N118" s="181" t="s">
        <v>0</v>
      </c>
      <c r="O118" s="179">
        <v>0.1</v>
      </c>
      <c r="P118" s="180"/>
      <c r="Q118" s="178">
        <v>44763</v>
      </c>
      <c r="R118" s="179">
        <v>7.0000000000000007E-2</v>
      </c>
      <c r="S118" s="180"/>
      <c r="T118" s="178">
        <v>44702</v>
      </c>
      <c r="U118" s="179">
        <v>0.08</v>
      </c>
      <c r="V118" s="180"/>
      <c r="W118" s="182">
        <v>44641</v>
      </c>
      <c r="X118" s="177"/>
      <c r="Y118" s="180"/>
      <c r="Z118" s="183">
        <v>44228</v>
      </c>
      <c r="AA118" s="177"/>
      <c r="AB118" s="180"/>
      <c r="AC118" s="183">
        <v>43891</v>
      </c>
      <c r="AD118" s="177"/>
      <c r="AE118" s="180"/>
      <c r="AF118" s="31"/>
      <c r="AG118" s="31"/>
      <c r="AH118" s="175"/>
      <c r="AI118" s="176"/>
      <c r="AJ118" s="89"/>
      <c r="AK118" s="89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</row>
    <row r="119" spans="1:49">
      <c r="A119" s="167"/>
      <c r="B119" s="184" t="s">
        <v>73</v>
      </c>
      <c r="C119" s="185" t="s">
        <v>74</v>
      </c>
      <c r="D119" s="186" t="s">
        <v>75</v>
      </c>
      <c r="E119" s="187" t="s">
        <v>76</v>
      </c>
      <c r="F119" s="188" t="s">
        <v>77</v>
      </c>
      <c r="G119" s="722"/>
      <c r="H119" s="187" t="s">
        <v>76</v>
      </c>
      <c r="I119" s="188" t="s">
        <v>77</v>
      </c>
      <c r="J119" s="189"/>
      <c r="K119" s="187" t="s">
        <v>76</v>
      </c>
      <c r="L119" s="188" t="s">
        <v>77</v>
      </c>
      <c r="M119" s="189"/>
      <c r="N119" s="190" t="s">
        <v>76</v>
      </c>
      <c r="O119" s="188" t="s">
        <v>77</v>
      </c>
      <c r="P119" s="189"/>
      <c r="Q119" s="187" t="s">
        <v>76</v>
      </c>
      <c r="R119" s="188" t="s">
        <v>77</v>
      </c>
      <c r="S119" s="189"/>
      <c r="T119" s="187" t="s">
        <v>76</v>
      </c>
      <c r="U119" s="188" t="s">
        <v>77</v>
      </c>
      <c r="V119" s="189"/>
      <c r="W119" s="187" t="s">
        <v>76</v>
      </c>
      <c r="X119" s="186" t="s">
        <v>77</v>
      </c>
      <c r="Y119" s="189"/>
      <c r="Z119" s="191" t="s">
        <v>76</v>
      </c>
      <c r="AA119" s="186" t="s">
        <v>77</v>
      </c>
      <c r="AB119" s="189"/>
      <c r="AC119" s="191" t="s">
        <v>76</v>
      </c>
      <c r="AD119" s="186" t="s">
        <v>77</v>
      </c>
      <c r="AE119" s="180"/>
      <c r="AF119" s="31"/>
      <c r="AG119" s="31"/>
      <c r="AH119" s="175"/>
      <c r="AI119" s="176"/>
      <c r="AJ119" s="89"/>
      <c r="AK119" s="89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</row>
    <row r="120" spans="1:49">
      <c r="A120" s="167"/>
      <c r="B120" s="192">
        <v>1</v>
      </c>
      <c r="C120" s="193"/>
      <c r="D120" s="193" t="s">
        <v>78</v>
      </c>
      <c r="E120" s="823">
        <f>E184</f>
        <v>18727.385699999999</v>
      </c>
      <c r="F120" s="193"/>
      <c r="G120" s="815"/>
      <c r="H120" s="194">
        <f t="shared" ref="H120:H133" si="21">H184</f>
        <v>17622.873200000002</v>
      </c>
      <c r="I120" s="194"/>
      <c r="J120" s="195"/>
      <c r="K120" s="194">
        <f t="shared" ref="K120:K141" si="22">K184</f>
        <v>16754.104934999999</v>
      </c>
      <c r="L120" s="194"/>
      <c r="M120" s="195"/>
      <c r="N120" s="194">
        <f t="shared" ref="N120:N141" si="23">N184</f>
        <v>15513.060125</v>
      </c>
      <c r="O120" s="194"/>
      <c r="P120" s="195"/>
      <c r="Q120" s="194">
        <f t="shared" ref="Q120:Q156" si="24">Q184</f>
        <v>14272.015314999999</v>
      </c>
      <c r="R120" s="194"/>
      <c r="S120" s="195"/>
      <c r="T120" s="194">
        <f t="shared" ref="T120:T156" si="25">T184</f>
        <v>13403.283948</v>
      </c>
      <c r="U120" s="194"/>
      <c r="V120" s="195"/>
      <c r="W120" s="194">
        <f t="shared" ref="W120:W156" si="26">W184</f>
        <v>12410.4481</v>
      </c>
      <c r="X120" s="194"/>
      <c r="Y120" s="195"/>
      <c r="Z120" s="194">
        <f t="shared" ref="Z120:Z156" si="27">Z184</f>
        <v>12410.4481</v>
      </c>
      <c r="AA120" s="194"/>
      <c r="AB120" s="195"/>
      <c r="AC120" s="194">
        <f t="shared" ref="AC120:AC154" si="28">AC184</f>
        <v>10791.694000000001</v>
      </c>
      <c r="AD120" s="194"/>
      <c r="AE120" s="196"/>
      <c r="AF120" s="31"/>
      <c r="AG120" s="31"/>
      <c r="AH120" s="175"/>
      <c r="AI120" s="176"/>
      <c r="AJ120" s="89"/>
      <c r="AK120" s="89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</row>
    <row r="121" spans="1:49">
      <c r="A121" s="167"/>
      <c r="B121" s="197">
        <v>2</v>
      </c>
      <c r="C121" s="193"/>
      <c r="D121" s="193" t="s">
        <v>79</v>
      </c>
      <c r="E121" s="823">
        <f t="shared" ref="D121:E148" si="29">E185</f>
        <v>7998.1944899999999</v>
      </c>
      <c r="F121" s="193"/>
      <c r="G121" s="815"/>
      <c r="H121" s="194">
        <f t="shared" si="21"/>
        <v>7526.4732400000003</v>
      </c>
      <c r="I121" s="194"/>
      <c r="J121" s="195"/>
      <c r="K121" s="194">
        <f t="shared" si="22"/>
        <v>7155.4349295000011</v>
      </c>
      <c r="L121" s="194"/>
      <c r="M121" s="195"/>
      <c r="N121" s="194">
        <f t="shared" si="23"/>
        <v>6625.4027125000002</v>
      </c>
      <c r="O121" s="194"/>
      <c r="P121" s="195"/>
      <c r="Q121" s="194">
        <f t="shared" si="24"/>
        <v>6095.3704955000003</v>
      </c>
      <c r="R121" s="194"/>
      <c r="S121" s="195"/>
      <c r="T121" s="194">
        <f t="shared" si="25"/>
        <v>5724.3479436000007</v>
      </c>
      <c r="U121" s="194"/>
      <c r="V121" s="195"/>
      <c r="W121" s="194">
        <f t="shared" si="26"/>
        <v>5300.3221700000004</v>
      </c>
      <c r="X121" s="194"/>
      <c r="Y121" s="195"/>
      <c r="Z121" s="194">
        <f t="shared" si="27"/>
        <v>5300.3221700000004</v>
      </c>
      <c r="AA121" s="194"/>
      <c r="AB121" s="195"/>
      <c r="AC121" s="194">
        <f t="shared" si="28"/>
        <v>4608.9758000000002</v>
      </c>
      <c r="AD121" s="194"/>
      <c r="AE121" s="196"/>
      <c r="AF121" s="31"/>
      <c r="AG121" s="31"/>
      <c r="AH121" s="175"/>
      <c r="AI121" s="176"/>
      <c r="AJ121" s="89"/>
      <c r="AK121" s="89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</row>
    <row r="122" spans="1:49">
      <c r="A122" s="167"/>
      <c r="B122" s="197" t="s">
        <v>80</v>
      </c>
      <c r="C122" s="193"/>
      <c r="D122" s="193" t="s">
        <v>81</v>
      </c>
      <c r="E122" s="823">
        <f t="shared" si="29"/>
        <v>0</v>
      </c>
      <c r="F122" s="193"/>
      <c r="G122" s="815"/>
      <c r="H122" s="194">
        <f t="shared" si="21"/>
        <v>0</v>
      </c>
      <c r="I122" s="194"/>
      <c r="J122" s="195"/>
      <c r="K122" s="194">
        <f t="shared" si="22"/>
        <v>0</v>
      </c>
      <c r="L122" s="194"/>
      <c r="M122" s="195"/>
      <c r="N122" s="194">
        <f t="shared" si="23"/>
        <v>0</v>
      </c>
      <c r="O122" s="194"/>
      <c r="P122" s="195"/>
      <c r="Q122" s="194">
        <f t="shared" si="24"/>
        <v>0</v>
      </c>
      <c r="R122" s="194"/>
      <c r="S122" s="195"/>
      <c r="T122" s="194">
        <f t="shared" si="25"/>
        <v>0</v>
      </c>
      <c r="U122" s="194"/>
      <c r="V122" s="195"/>
      <c r="W122" s="194">
        <f t="shared" si="26"/>
        <v>0</v>
      </c>
      <c r="X122" s="194"/>
      <c r="Y122" s="195"/>
      <c r="Z122" s="194">
        <f t="shared" si="27"/>
        <v>0</v>
      </c>
      <c r="AA122" s="194"/>
      <c r="AB122" s="195"/>
      <c r="AC122" s="194">
        <f t="shared" si="28"/>
        <v>0</v>
      </c>
      <c r="AD122" s="194"/>
      <c r="AE122" s="196"/>
      <c r="AF122" s="31"/>
      <c r="AG122" s="31"/>
      <c r="AH122" s="175"/>
      <c r="AI122" s="176"/>
      <c r="AJ122" s="89"/>
      <c r="AK122" s="89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</row>
    <row r="123" spans="1:49">
      <c r="A123" s="167"/>
      <c r="B123" s="197">
        <v>5</v>
      </c>
      <c r="C123" s="193"/>
      <c r="D123" s="193" t="s">
        <v>82</v>
      </c>
      <c r="E123" s="823">
        <f t="shared" si="29"/>
        <v>0</v>
      </c>
      <c r="F123" s="193"/>
      <c r="G123" s="815"/>
      <c r="H123" s="194">
        <f t="shared" si="21"/>
        <v>0</v>
      </c>
      <c r="I123" s="194"/>
      <c r="J123" s="195"/>
      <c r="K123" s="194">
        <f t="shared" si="22"/>
        <v>0</v>
      </c>
      <c r="L123" s="194"/>
      <c r="M123" s="195"/>
      <c r="N123" s="194">
        <f t="shared" si="23"/>
        <v>0</v>
      </c>
      <c r="O123" s="194"/>
      <c r="P123" s="195"/>
      <c r="Q123" s="194">
        <f t="shared" si="24"/>
        <v>0</v>
      </c>
      <c r="R123" s="194"/>
      <c r="S123" s="195"/>
      <c r="T123" s="194">
        <f t="shared" si="25"/>
        <v>0</v>
      </c>
      <c r="U123" s="194"/>
      <c r="V123" s="195"/>
      <c r="W123" s="194">
        <f t="shared" si="26"/>
        <v>0</v>
      </c>
      <c r="X123" s="194"/>
      <c r="Y123" s="195"/>
      <c r="Z123" s="194">
        <f t="shared" si="27"/>
        <v>0</v>
      </c>
      <c r="AA123" s="194"/>
      <c r="AB123" s="195"/>
      <c r="AC123" s="194">
        <f t="shared" si="28"/>
        <v>0</v>
      </c>
      <c r="AD123" s="194"/>
      <c r="AE123" s="196"/>
      <c r="AF123" s="31"/>
      <c r="AG123" s="31"/>
      <c r="AH123" s="175"/>
      <c r="AI123" s="176"/>
      <c r="AJ123" s="89"/>
      <c r="AK123" s="89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</row>
    <row r="124" spans="1:49">
      <c r="A124" s="167"/>
      <c r="B124" s="197">
        <v>6</v>
      </c>
      <c r="C124" s="193"/>
      <c r="D124" s="193" t="s">
        <v>83</v>
      </c>
      <c r="E124" s="823">
        <f t="shared" si="29"/>
        <v>15020.926056338029</v>
      </c>
      <c r="F124" s="193"/>
      <c r="G124" s="815"/>
      <c r="H124" s="194">
        <f t="shared" si="21"/>
        <v>14135</v>
      </c>
      <c r="I124" s="194"/>
      <c r="J124" s="195"/>
      <c r="K124" s="194">
        <f t="shared" si="22"/>
        <v>13437.900000000001</v>
      </c>
      <c r="L124" s="194"/>
      <c r="M124" s="195"/>
      <c r="N124" s="194">
        <f t="shared" si="23"/>
        <v>12442.5</v>
      </c>
      <c r="O124" s="194"/>
      <c r="P124" s="195"/>
      <c r="Q124" s="194">
        <f t="shared" si="24"/>
        <v>11447.099999999999</v>
      </c>
      <c r="R124" s="194"/>
      <c r="S124" s="195"/>
      <c r="T124" s="194">
        <f t="shared" si="25"/>
        <v>10750.320000000002</v>
      </c>
      <c r="U124" s="194"/>
      <c r="V124" s="195"/>
      <c r="W124" s="194">
        <f t="shared" si="26"/>
        <v>9954</v>
      </c>
      <c r="X124" s="194"/>
      <c r="Y124" s="195"/>
      <c r="Z124" s="194">
        <f t="shared" si="27"/>
        <v>9954</v>
      </c>
      <c r="AA124" s="194"/>
      <c r="AB124" s="195"/>
      <c r="AC124" s="194">
        <f t="shared" si="28"/>
        <v>4308</v>
      </c>
      <c r="AD124" s="194"/>
      <c r="AE124" s="196"/>
      <c r="AF124" s="31"/>
      <c r="AG124" s="31"/>
      <c r="AH124" s="175"/>
      <c r="AI124" s="176"/>
      <c r="AJ124" s="89"/>
      <c r="AK124" s="89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</row>
    <row r="125" spans="1:49">
      <c r="A125" s="167"/>
      <c r="B125" s="197">
        <v>10</v>
      </c>
      <c r="C125" s="198">
        <f>C189</f>
        <v>0</v>
      </c>
      <c r="D125" s="193" t="s">
        <v>84</v>
      </c>
      <c r="E125" s="823">
        <f t="shared" si="29"/>
        <v>0</v>
      </c>
      <c r="F125" s="193"/>
      <c r="G125" s="815"/>
      <c r="H125" s="194">
        <f t="shared" si="21"/>
        <v>0</v>
      </c>
      <c r="I125" s="194"/>
      <c r="J125" s="195"/>
      <c r="K125" s="194">
        <f t="shared" si="22"/>
        <v>0</v>
      </c>
      <c r="L125" s="194"/>
      <c r="M125" s="195"/>
      <c r="N125" s="194">
        <f t="shared" si="23"/>
        <v>0</v>
      </c>
      <c r="O125" s="194"/>
      <c r="P125" s="195"/>
      <c r="Q125" s="194">
        <f t="shared" si="24"/>
        <v>0</v>
      </c>
      <c r="R125" s="194"/>
      <c r="S125" s="195"/>
      <c r="T125" s="194">
        <f t="shared" si="25"/>
        <v>0</v>
      </c>
      <c r="U125" s="194"/>
      <c r="V125" s="195"/>
      <c r="W125" s="194">
        <f t="shared" si="26"/>
        <v>0</v>
      </c>
      <c r="X125" s="194"/>
      <c r="Y125" s="195"/>
      <c r="Z125" s="194">
        <f t="shared" si="27"/>
        <v>0</v>
      </c>
      <c r="AA125" s="194"/>
      <c r="AB125" s="195"/>
      <c r="AC125" s="194">
        <f t="shared" si="28"/>
        <v>0</v>
      </c>
      <c r="AD125" s="194"/>
      <c r="AE125" s="196"/>
      <c r="AF125" s="31"/>
      <c r="AG125" s="31"/>
      <c r="AH125" s="175"/>
      <c r="AI125" s="176"/>
      <c r="AJ125" s="89"/>
      <c r="AK125" s="89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</row>
    <row r="126" spans="1:49">
      <c r="A126" s="167"/>
      <c r="B126" s="197">
        <v>14</v>
      </c>
      <c r="C126" s="193"/>
      <c r="D126" s="193" t="s">
        <v>85</v>
      </c>
      <c r="E126" s="823">
        <f t="shared" si="29"/>
        <v>1051.4648239436622</v>
      </c>
      <c r="F126" s="193"/>
      <c r="G126" s="816">
        <f t="shared" ref="G126:G134" si="30">G190</f>
        <v>9010.3513317928046</v>
      </c>
      <c r="H126" s="194">
        <f t="shared" si="21"/>
        <v>989.45</v>
      </c>
      <c r="I126" s="194"/>
      <c r="J126" s="816">
        <f t="shared" ref="J126:J134" si="31">J190</f>
        <v>8846.792333738771</v>
      </c>
      <c r="K126" s="194">
        <f t="shared" si="22"/>
        <v>940.65300000000025</v>
      </c>
      <c r="L126" s="194"/>
      <c r="M126" s="816">
        <f t="shared" ref="M126:M134" si="32">M190</f>
        <v>8411.258160747584</v>
      </c>
      <c r="N126" s="194">
        <f t="shared" si="23"/>
        <v>870.97500000000014</v>
      </c>
      <c r="O126" s="194"/>
      <c r="P126" s="816">
        <f t="shared" ref="P126:P134" si="33">P190</f>
        <v>7787.0395884543368</v>
      </c>
      <c r="Q126" s="194">
        <f t="shared" si="24"/>
        <v>801.29700000000003</v>
      </c>
      <c r="R126" s="194"/>
      <c r="S126" s="816">
        <f t="shared" ref="S126:S134" si="34">S190</f>
        <v>7166.3082528747118</v>
      </c>
      <c r="T126" s="194">
        <f t="shared" si="25"/>
        <v>752.52240000000018</v>
      </c>
      <c r="U126" s="194"/>
      <c r="V126" s="943">
        <f t="shared" ref="V126:V134" si="35">V190</f>
        <v>6729.2390110456408</v>
      </c>
      <c r="W126" s="194">
        <f t="shared" si="26"/>
        <v>696.78000000000009</v>
      </c>
      <c r="X126" s="194"/>
      <c r="Y126" s="943">
        <f t="shared" ref="Y126:Y134" si="36">Y190</f>
        <v>6230.5616005537704</v>
      </c>
      <c r="Z126" s="194">
        <f t="shared" si="27"/>
        <v>696.78000000000009</v>
      </c>
      <c r="AA126" s="194"/>
      <c r="AB126" s="943">
        <f t="shared" ref="AB126:AB134" si="37">AB190</f>
        <v>6230.5616005537704</v>
      </c>
      <c r="AC126" s="194">
        <f t="shared" si="28"/>
        <v>301.56</v>
      </c>
      <c r="AD126" s="194"/>
      <c r="AE126" s="942">
        <f t="shared" ref="AE126:AE134" si="38">AE190</f>
        <v>5227.3663091737508</v>
      </c>
      <c r="AF126" s="31"/>
      <c r="AG126" s="31"/>
      <c r="AH126" s="175"/>
      <c r="AI126" s="176"/>
      <c r="AJ126" s="89"/>
      <c r="AK126" s="89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</row>
    <row r="127" spans="1:49">
      <c r="A127" s="167"/>
      <c r="B127" s="197">
        <v>188</v>
      </c>
      <c r="C127" s="198">
        <v>7.0000000000000007E-2</v>
      </c>
      <c r="D127" s="193" t="s">
        <v>86</v>
      </c>
      <c r="E127" s="823">
        <f t="shared" si="29"/>
        <v>2612.0865779254968</v>
      </c>
      <c r="F127" s="193"/>
      <c r="G127" s="817"/>
      <c r="H127" s="194">
        <f t="shared" si="21"/>
        <v>2483.7796461617145</v>
      </c>
      <c r="I127" s="194"/>
      <c r="J127" s="816">
        <f t="shared" si="31"/>
        <v>0</v>
      </c>
      <c r="K127" s="194">
        <f t="shared" si="22"/>
        <v>2361.3765717673314</v>
      </c>
      <c r="L127" s="194"/>
      <c r="M127" s="816">
        <f t="shared" si="32"/>
        <v>0</v>
      </c>
      <c r="N127" s="194">
        <f t="shared" si="23"/>
        <v>2186.3784198168037</v>
      </c>
      <c r="O127" s="194"/>
      <c r="P127" s="816">
        <f t="shared" si="33"/>
        <v>0</v>
      </c>
      <c r="Q127" s="194">
        <f t="shared" si="24"/>
        <v>2011.6243744362298</v>
      </c>
      <c r="R127" s="194"/>
      <c r="S127" s="816">
        <f t="shared" si="34"/>
        <v>0</v>
      </c>
      <c r="T127" s="194">
        <f t="shared" si="25"/>
        <v>1889.1175311851953</v>
      </c>
      <c r="U127" s="194"/>
      <c r="V127" s="943">
        <f t="shared" si="35"/>
        <v>0</v>
      </c>
      <c r="W127" s="194">
        <f t="shared" si="26"/>
        <v>1749.1678309387642</v>
      </c>
      <c r="X127" s="194"/>
      <c r="Y127" s="943">
        <f t="shared" si="36"/>
        <v>0</v>
      </c>
      <c r="Z127" s="194">
        <f t="shared" si="27"/>
        <v>1749.1678309387642</v>
      </c>
      <c r="AA127" s="194"/>
      <c r="AB127" s="943">
        <f t="shared" si="37"/>
        <v>0</v>
      </c>
      <c r="AC127" s="194">
        <f t="shared" si="28"/>
        <v>1507.6765276421627</v>
      </c>
      <c r="AD127" s="194"/>
      <c r="AE127" s="942">
        <f t="shared" si="38"/>
        <v>0</v>
      </c>
      <c r="AF127" s="31"/>
      <c r="AG127" s="31"/>
      <c r="AH127" s="175"/>
      <c r="AI127" s="176"/>
      <c r="AJ127" s="89"/>
      <c r="AK127" s="89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</row>
    <row r="128" spans="1:49">
      <c r="A128" s="167"/>
      <c r="B128" s="197">
        <v>52</v>
      </c>
      <c r="C128" s="193"/>
      <c r="D128" s="193" t="s">
        <v>87</v>
      </c>
      <c r="E128" s="823">
        <f t="shared" si="29"/>
        <v>0</v>
      </c>
      <c r="F128" s="193"/>
      <c r="G128" s="817">
        <f t="shared" si="30"/>
        <v>44260</v>
      </c>
      <c r="H128" s="194">
        <f t="shared" si="21"/>
        <v>0</v>
      </c>
      <c r="I128" s="194"/>
      <c r="J128" s="816">
        <f t="shared" si="31"/>
        <v>41949</v>
      </c>
      <c r="K128" s="194">
        <f t="shared" si="22"/>
        <v>0</v>
      </c>
      <c r="L128" s="194"/>
      <c r="M128" s="816">
        <f t="shared" si="32"/>
        <v>38882</v>
      </c>
      <c r="N128" s="194">
        <f t="shared" si="23"/>
        <v>0</v>
      </c>
      <c r="O128" s="194"/>
      <c r="P128" s="816">
        <f t="shared" si="33"/>
        <v>36285</v>
      </c>
      <c r="Q128" s="194">
        <f t="shared" si="24"/>
        <v>0</v>
      </c>
      <c r="R128" s="194"/>
      <c r="S128" s="816">
        <f t="shared" si="34"/>
        <v>32989</v>
      </c>
      <c r="T128" s="194">
        <f t="shared" si="25"/>
        <v>0</v>
      </c>
      <c r="U128" s="194"/>
      <c r="V128" s="943">
        <f t="shared" si="35"/>
        <v>31171</v>
      </c>
      <c r="W128" s="194">
        <f t="shared" si="26"/>
        <v>0</v>
      </c>
      <c r="X128" s="194"/>
      <c r="Y128" s="943">
        <f t="shared" si="36"/>
        <v>29094.17</v>
      </c>
      <c r="Z128" s="194">
        <f t="shared" si="27"/>
        <v>0</v>
      </c>
      <c r="AA128" s="194"/>
      <c r="AB128" s="943">
        <f t="shared" si="37"/>
        <v>28594.17</v>
      </c>
      <c r="AC128" s="194">
        <f t="shared" si="28"/>
        <v>0</v>
      </c>
      <c r="AD128" s="194"/>
      <c r="AE128" s="942">
        <f t="shared" si="38"/>
        <v>20708</v>
      </c>
      <c r="AF128" s="31"/>
      <c r="AG128" s="31"/>
      <c r="AH128" s="175"/>
      <c r="AI128" s="176"/>
      <c r="AJ128" s="89"/>
      <c r="AK128" s="89"/>
      <c r="AL128" s="167"/>
      <c r="AM128" s="167"/>
      <c r="AN128" s="167"/>
      <c r="AO128" s="167"/>
      <c r="AP128" s="167"/>
      <c r="AQ128" s="167"/>
      <c r="AR128" s="167"/>
      <c r="AS128" s="167"/>
      <c r="AT128" s="167"/>
      <c r="AU128" s="167"/>
      <c r="AV128" s="167"/>
      <c r="AW128" s="167"/>
    </row>
    <row r="129" spans="1:49">
      <c r="A129" s="167"/>
      <c r="B129" s="197">
        <v>16</v>
      </c>
      <c r="C129" s="193"/>
      <c r="D129" s="193" t="s">
        <v>88</v>
      </c>
      <c r="E129" s="823">
        <f t="shared" si="29"/>
        <v>0</v>
      </c>
      <c r="F129" s="193"/>
      <c r="G129" s="817">
        <f t="shared" si="30"/>
        <v>1879.8563508305353</v>
      </c>
      <c r="H129" s="194">
        <f t="shared" si="21"/>
        <v>0</v>
      </c>
      <c r="I129" s="194"/>
      <c r="J129" s="816">
        <f t="shared" si="31"/>
        <v>2086.2027582517212</v>
      </c>
      <c r="K129" s="194">
        <f t="shared" si="22"/>
        <v>0</v>
      </c>
      <c r="L129" s="194"/>
      <c r="M129" s="816">
        <f t="shared" si="32"/>
        <v>1984.2808975309576</v>
      </c>
      <c r="N129" s="194">
        <f t="shared" si="23"/>
        <v>0</v>
      </c>
      <c r="O129" s="194"/>
      <c r="P129" s="816">
        <f t="shared" si="33"/>
        <v>1836.6513427668863</v>
      </c>
      <c r="Q129" s="194">
        <f t="shared" si="24"/>
        <v>0</v>
      </c>
      <c r="R129" s="194"/>
      <c r="S129" s="816">
        <f t="shared" si="34"/>
        <v>1690.184200240687</v>
      </c>
      <c r="T129" s="194">
        <f t="shared" si="25"/>
        <v>0</v>
      </c>
      <c r="U129" s="194"/>
      <c r="V129" s="943">
        <f t="shared" si="35"/>
        <v>1586.7272706820386</v>
      </c>
      <c r="W129" s="194">
        <f t="shared" si="26"/>
        <v>0</v>
      </c>
      <c r="X129" s="194"/>
      <c r="Y129" s="943">
        <f t="shared" si="36"/>
        <v>1469.5186842939468</v>
      </c>
      <c r="Z129" s="194">
        <f t="shared" si="27"/>
        <v>0</v>
      </c>
      <c r="AA129" s="194"/>
      <c r="AB129" s="943">
        <f t="shared" si="37"/>
        <v>1469.5186842939468</v>
      </c>
      <c r="AC129" s="194">
        <f t="shared" si="28"/>
        <v>0</v>
      </c>
      <c r="AD129" s="194"/>
      <c r="AE129" s="942">
        <f t="shared" si="38"/>
        <v>1801.7374441530601</v>
      </c>
      <c r="AF129" s="31"/>
      <c r="AG129" s="31"/>
      <c r="AH129" s="175"/>
      <c r="AI129" s="176"/>
      <c r="AJ129" s="89"/>
      <c r="AK129" s="89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</row>
    <row r="130" spans="1:49">
      <c r="A130" s="167"/>
      <c r="B130" s="197">
        <v>78</v>
      </c>
      <c r="C130" s="924">
        <v>0</v>
      </c>
      <c r="D130" s="193" t="s">
        <v>89</v>
      </c>
      <c r="E130" s="823">
        <f t="shared" si="29"/>
        <v>0</v>
      </c>
      <c r="F130" s="193"/>
      <c r="G130" s="817">
        <f t="shared" si="30"/>
        <v>50440</v>
      </c>
      <c r="H130" s="194">
        <f t="shared" si="21"/>
        <v>0</v>
      </c>
      <c r="I130" s="194"/>
      <c r="J130" s="816">
        <f t="shared" si="31"/>
        <v>47765</v>
      </c>
      <c r="K130" s="194">
        <f t="shared" si="22"/>
        <v>0</v>
      </c>
      <c r="L130" s="194"/>
      <c r="M130" s="816">
        <f t="shared" si="32"/>
        <v>44411</v>
      </c>
      <c r="N130" s="194">
        <f t="shared" si="23"/>
        <v>0</v>
      </c>
      <c r="O130" s="194"/>
      <c r="P130" s="816">
        <f t="shared" si="33"/>
        <v>41404</v>
      </c>
      <c r="Q130" s="194">
        <f t="shared" si="24"/>
        <v>0</v>
      </c>
      <c r="R130" s="194"/>
      <c r="S130" s="816">
        <f t="shared" si="34"/>
        <v>37700</v>
      </c>
      <c r="T130" s="194">
        <f t="shared" si="25"/>
        <v>0</v>
      </c>
      <c r="U130" s="194"/>
      <c r="V130" s="943">
        <f t="shared" si="35"/>
        <v>35595</v>
      </c>
      <c r="W130" s="194">
        <f t="shared" si="26"/>
        <v>0</v>
      </c>
      <c r="X130" s="194"/>
      <c r="Y130" s="943">
        <f t="shared" si="36"/>
        <v>33190</v>
      </c>
      <c r="Z130" s="194">
        <f t="shared" si="27"/>
        <v>0</v>
      </c>
      <c r="AA130" s="194"/>
      <c r="AB130" s="943">
        <f t="shared" si="37"/>
        <v>32690</v>
      </c>
      <c r="AC130" s="194">
        <f t="shared" si="28"/>
        <v>0</v>
      </c>
      <c r="AD130" s="194"/>
      <c r="AE130" s="942">
        <f t="shared" si="38"/>
        <v>24865</v>
      </c>
      <c r="AF130" s="31"/>
      <c r="AG130" s="31"/>
      <c r="AH130" s="175"/>
      <c r="AI130" s="176"/>
      <c r="AJ130" s="89"/>
      <c r="AK130" s="89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</row>
    <row r="131" spans="1:49">
      <c r="A131" s="167"/>
      <c r="B131" s="197">
        <v>185</v>
      </c>
      <c r="C131" s="193"/>
      <c r="D131" s="193" t="s">
        <v>90</v>
      </c>
      <c r="E131" s="823">
        <f t="shared" si="29"/>
        <v>9010.3513317928046</v>
      </c>
      <c r="F131" s="193"/>
      <c r="G131" s="817">
        <f t="shared" si="30"/>
        <v>9010.3513317928046</v>
      </c>
      <c r="H131" s="194">
        <f t="shared" si="21"/>
        <v>8846.792333738771</v>
      </c>
      <c r="I131" s="194"/>
      <c r="J131" s="816">
        <f t="shared" si="31"/>
        <v>8846.792333738771</v>
      </c>
      <c r="K131" s="194">
        <f t="shared" si="22"/>
        <v>8411.258160747584</v>
      </c>
      <c r="L131" s="194"/>
      <c r="M131" s="816">
        <f t="shared" si="32"/>
        <v>8411.258160747584</v>
      </c>
      <c r="N131" s="194">
        <f t="shared" si="23"/>
        <v>7787.0395884543368</v>
      </c>
      <c r="O131" s="194"/>
      <c r="P131" s="816">
        <f t="shared" si="33"/>
        <v>7787.0395884543368</v>
      </c>
      <c r="Q131" s="194">
        <f t="shared" si="24"/>
        <v>7166.3082528747118</v>
      </c>
      <c r="R131" s="194"/>
      <c r="S131" s="816">
        <f t="shared" si="34"/>
        <v>7166.3082528747118</v>
      </c>
      <c r="T131" s="194">
        <f t="shared" si="25"/>
        <v>6729.2390110456408</v>
      </c>
      <c r="U131" s="194"/>
      <c r="V131" s="943">
        <f t="shared" si="35"/>
        <v>6729.2390110456408</v>
      </c>
      <c r="W131" s="194">
        <f t="shared" si="26"/>
        <v>6230.5616005537704</v>
      </c>
      <c r="X131" s="194"/>
      <c r="Y131" s="943">
        <f t="shared" si="36"/>
        <v>6230.5616005537704</v>
      </c>
      <c r="Z131" s="194">
        <f t="shared" si="27"/>
        <v>6230.5616005537704</v>
      </c>
      <c r="AA131" s="194"/>
      <c r="AB131" s="943">
        <f t="shared" si="37"/>
        <v>6230.5616005537704</v>
      </c>
      <c r="AC131" s="194">
        <f t="shared" si="28"/>
        <v>5227.3663091737508</v>
      </c>
      <c r="AD131" s="194"/>
      <c r="AE131" s="942">
        <f t="shared" si="38"/>
        <v>5227.3663091737508</v>
      </c>
      <c r="AF131" s="31"/>
      <c r="AG131" s="31"/>
      <c r="AH131" s="175"/>
      <c r="AI131" s="176"/>
      <c r="AJ131" s="89"/>
      <c r="AK131" s="89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</row>
    <row r="132" spans="1:49">
      <c r="A132" s="167"/>
      <c r="B132" s="197" t="s">
        <v>91</v>
      </c>
      <c r="C132" s="923">
        <v>1</v>
      </c>
      <c r="D132" s="193" t="s">
        <v>92</v>
      </c>
      <c r="E132" s="823">
        <f t="shared" si="29"/>
        <v>1579.5910199999998</v>
      </c>
      <c r="F132" s="193"/>
      <c r="G132" s="817"/>
      <c r="H132" s="194">
        <f t="shared" si="21"/>
        <v>1486.4276</v>
      </c>
      <c r="I132" s="194"/>
      <c r="J132" s="816">
        <f t="shared" si="31"/>
        <v>0</v>
      </c>
      <c r="K132" s="194">
        <f t="shared" si="22"/>
        <v>1413.153</v>
      </c>
      <c r="L132" s="194"/>
      <c r="M132" s="816">
        <f t="shared" si="32"/>
        <v>0</v>
      </c>
      <c r="N132" s="194">
        <f t="shared" si="23"/>
        <v>1308.4749999999999</v>
      </c>
      <c r="O132" s="194"/>
      <c r="P132" s="816">
        <f t="shared" si="33"/>
        <v>0</v>
      </c>
      <c r="Q132" s="194">
        <f t="shared" si="24"/>
        <v>1203.7969999999998</v>
      </c>
      <c r="R132" s="194"/>
      <c r="S132" s="816">
        <f t="shared" si="34"/>
        <v>0</v>
      </c>
      <c r="T132" s="194">
        <f t="shared" si="25"/>
        <v>1130.5224000000001</v>
      </c>
      <c r="U132" s="194"/>
      <c r="V132" s="943">
        <f t="shared" si="35"/>
        <v>0</v>
      </c>
      <c r="W132" s="194">
        <f t="shared" si="26"/>
        <v>1046.78</v>
      </c>
      <c r="X132" s="194"/>
      <c r="Y132" s="943">
        <f t="shared" si="36"/>
        <v>0</v>
      </c>
      <c r="Z132" s="194">
        <f t="shared" si="27"/>
        <v>1046.78</v>
      </c>
      <c r="AA132" s="194"/>
      <c r="AB132" s="943">
        <f t="shared" si="37"/>
        <v>0</v>
      </c>
      <c r="AC132" s="194">
        <f t="shared" si="28"/>
        <v>910.2</v>
      </c>
      <c r="AD132" s="194"/>
      <c r="AE132" s="942">
        <f t="shared" si="38"/>
        <v>0</v>
      </c>
      <c r="AF132" s="31"/>
      <c r="AG132" s="31"/>
      <c r="AH132" s="175"/>
      <c r="AI132" s="176"/>
      <c r="AJ132" s="89"/>
      <c r="AK132" s="89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</row>
    <row r="133" spans="1:49">
      <c r="A133" s="167"/>
      <c r="B133" s="197">
        <v>29</v>
      </c>
      <c r="C133" s="193">
        <f>cantkm</f>
        <v>0</v>
      </c>
      <c r="D133" s="193" t="s">
        <v>93</v>
      </c>
      <c r="E133" s="823">
        <f t="shared" si="29"/>
        <v>0</v>
      </c>
      <c r="F133" s="193"/>
      <c r="G133" s="817">
        <f t="shared" si="30"/>
        <v>68732</v>
      </c>
      <c r="H133" s="194">
        <f t="shared" si="21"/>
        <v>0</v>
      </c>
      <c r="I133" s="194" t="str">
        <f>I197</f>
        <v>aumenta 7%</v>
      </c>
      <c r="J133" s="816">
        <f t="shared" si="31"/>
        <v>65277</v>
      </c>
      <c r="K133" s="194">
        <f t="shared" si="22"/>
        <v>0</v>
      </c>
      <c r="L133" s="194" t="str">
        <f>L197</f>
        <v>aumenta 10%</v>
      </c>
      <c r="M133" s="816">
        <f t="shared" si="32"/>
        <v>60060</v>
      </c>
      <c r="N133" s="194">
        <f t="shared" si="23"/>
        <v>0</v>
      </c>
      <c r="O133" s="194" t="str">
        <f>O197</f>
        <v>aumenta 10%</v>
      </c>
      <c r="P133" s="816">
        <f t="shared" si="33"/>
        <v>56179</v>
      </c>
      <c r="Q133" s="194">
        <f t="shared" si="24"/>
        <v>0</v>
      </c>
      <c r="R133" s="194" t="str">
        <f>R197</f>
        <v>aumenta 10%</v>
      </c>
      <c r="S133" s="816">
        <f t="shared" si="34"/>
        <v>50897</v>
      </c>
      <c r="T133" s="194">
        <f t="shared" si="25"/>
        <v>0</v>
      </c>
      <c r="U133" s="194" t="str">
        <f>U197</f>
        <v>aumenta 20%</v>
      </c>
      <c r="V133" s="943">
        <f t="shared" si="35"/>
        <v>48140</v>
      </c>
      <c r="W133" s="194">
        <f t="shared" si="26"/>
        <v>0</v>
      </c>
      <c r="X133" s="194">
        <f>X197</f>
        <v>0</v>
      </c>
      <c r="Y133" s="943">
        <f t="shared" si="36"/>
        <v>45074.5</v>
      </c>
      <c r="Z133" s="194">
        <f t="shared" si="27"/>
        <v>0</v>
      </c>
      <c r="AA133" s="194" t="str">
        <f>AA197</f>
        <v>aumenta 15%</v>
      </c>
      <c r="AB133" s="943">
        <f t="shared" si="37"/>
        <v>44074.5</v>
      </c>
      <c r="AC133" s="194">
        <f t="shared" si="28"/>
        <v>0</v>
      </c>
      <c r="AD133" s="194" t="str">
        <f>AD197</f>
        <v>aumenta 10%</v>
      </c>
      <c r="AE133" s="942">
        <f t="shared" si="38"/>
        <v>33798</v>
      </c>
      <c r="AF133" s="31"/>
      <c r="AG133" s="31"/>
      <c r="AH133" s="175"/>
      <c r="AI133" s="176"/>
      <c r="AJ133" s="89"/>
      <c r="AK133" s="89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</row>
    <row r="134" spans="1:49">
      <c r="A134" s="167"/>
      <c r="B134" s="197" t="s">
        <v>94</v>
      </c>
      <c r="C134" s="193" t="s">
        <v>95</v>
      </c>
      <c r="D134" s="193"/>
      <c r="E134" s="925">
        <v>0</v>
      </c>
      <c r="F134" s="193"/>
      <c r="G134" s="817">
        <f t="shared" si="30"/>
        <v>30663.76649894768</v>
      </c>
      <c r="H134" s="950">
        <v>0</v>
      </c>
      <c r="I134" s="194"/>
      <c r="J134" s="816">
        <f t="shared" si="31"/>
        <v>29202.955443423987</v>
      </c>
      <c r="K134" s="194">
        <f t="shared" si="22"/>
        <v>0</v>
      </c>
      <c r="L134" s="194"/>
      <c r="M134" s="816">
        <f t="shared" si="32"/>
        <v>26601.847271269737</v>
      </c>
      <c r="N134" s="194">
        <f t="shared" si="23"/>
        <v>0</v>
      </c>
      <c r="O134" s="194"/>
      <c r="P134" s="816">
        <f t="shared" si="33"/>
        <v>24961.680403072831</v>
      </c>
      <c r="Q134" s="194">
        <f t="shared" si="24"/>
        <v>0</v>
      </c>
      <c r="R134" s="194"/>
      <c r="S134" s="816">
        <f t="shared" si="34"/>
        <v>22506.662556124818</v>
      </c>
      <c r="T134" s="194">
        <f t="shared" si="25"/>
        <v>0</v>
      </c>
      <c r="U134" s="194"/>
      <c r="V134" s="943">
        <f t="shared" si="35"/>
        <v>21311.700535200565</v>
      </c>
      <c r="W134" s="194">
        <f t="shared" si="26"/>
        <v>0</v>
      </c>
      <c r="X134" s="194"/>
      <c r="Y134" s="943">
        <f t="shared" si="36"/>
        <v>20045.249841591572</v>
      </c>
      <c r="Z134" s="194">
        <f t="shared" si="27"/>
        <v>0</v>
      </c>
      <c r="AA134" s="194"/>
      <c r="AB134" s="943">
        <f t="shared" si="37"/>
        <v>19464.043722653551</v>
      </c>
      <c r="AC134" s="194">
        <f t="shared" si="28"/>
        <v>0</v>
      </c>
      <c r="AD134" s="194"/>
      <c r="AE134" s="942">
        <f t="shared" si="38"/>
        <v>15611.194830120417</v>
      </c>
      <c r="AF134" s="31"/>
      <c r="AG134" s="31"/>
      <c r="AH134" s="175"/>
      <c r="AI134" s="176"/>
      <c r="AJ134" s="89"/>
      <c r="AK134" s="89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</row>
    <row r="135" spans="1:49">
      <c r="A135" s="167"/>
      <c r="B135" s="197"/>
      <c r="C135" s="193"/>
      <c r="D135" s="200" t="s">
        <v>96</v>
      </c>
      <c r="E135" s="824">
        <f t="shared" si="29"/>
        <v>55999.999999999993</v>
      </c>
      <c r="F135" s="200"/>
      <c r="G135" s="723"/>
      <c r="H135" s="200">
        <f>H199</f>
        <v>53090.796019900488</v>
      </c>
      <c r="I135" s="194"/>
      <c r="J135" s="195"/>
      <c r="K135" s="200">
        <f t="shared" si="22"/>
        <v>50473.880597014919</v>
      </c>
      <c r="L135" s="194"/>
      <c r="M135" s="195"/>
      <c r="N135" s="200">
        <f t="shared" si="23"/>
        <v>46733.830845771146</v>
      </c>
      <c r="O135" s="194"/>
      <c r="P135" s="195"/>
      <c r="Q135" s="200">
        <f t="shared" si="24"/>
        <v>42997.512437810939</v>
      </c>
      <c r="R135" s="194"/>
      <c r="S135" s="195"/>
      <c r="T135" s="200">
        <f t="shared" si="25"/>
        <v>40379.353233830843</v>
      </c>
      <c r="U135" s="194"/>
      <c r="V135" s="195"/>
      <c r="W135" s="200">
        <f t="shared" si="26"/>
        <v>37388.05970149253</v>
      </c>
      <c r="X135" s="194"/>
      <c r="Y135" s="195"/>
      <c r="Z135" s="200">
        <f t="shared" si="27"/>
        <v>37388.05970149253</v>
      </c>
      <c r="AA135" s="194"/>
      <c r="AB135" s="195"/>
      <c r="AC135" s="200">
        <f t="shared" si="28"/>
        <v>27655.472636815917</v>
      </c>
      <c r="AD135" s="194"/>
      <c r="AE135" s="196"/>
      <c r="AF135" s="31"/>
      <c r="AG135" s="31"/>
      <c r="AH135" s="175"/>
      <c r="AI135" s="176"/>
      <c r="AJ135" s="89"/>
      <c r="AK135" s="89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</row>
    <row r="136" spans="1:49">
      <c r="A136" s="167"/>
      <c r="B136" s="197">
        <v>84</v>
      </c>
      <c r="C136" s="923">
        <v>1</v>
      </c>
      <c r="D136" s="193" t="s">
        <v>97</v>
      </c>
      <c r="E136" s="823">
        <f t="shared" si="29"/>
        <v>2830</v>
      </c>
      <c r="F136" s="193"/>
      <c r="G136" s="815"/>
      <c r="H136" s="194">
        <f>H200</f>
        <v>2830</v>
      </c>
      <c r="I136" s="194"/>
      <c r="J136" s="195"/>
      <c r="K136" s="194">
        <f t="shared" si="22"/>
        <v>2830</v>
      </c>
      <c r="L136" s="194"/>
      <c r="M136" s="195"/>
      <c r="N136" s="194">
        <f t="shared" si="23"/>
        <v>2830</v>
      </c>
      <c r="O136" s="194"/>
      <c r="P136" s="195"/>
      <c r="Q136" s="194">
        <f t="shared" si="24"/>
        <v>2420</v>
      </c>
      <c r="R136" s="194"/>
      <c r="S136" s="195"/>
      <c r="T136" s="194">
        <f t="shared" si="25"/>
        <v>2420</v>
      </c>
      <c r="U136" s="194"/>
      <c r="V136" s="195"/>
      <c r="W136" s="194">
        <f t="shared" si="26"/>
        <v>2420</v>
      </c>
      <c r="X136" s="194"/>
      <c r="Y136" s="195"/>
      <c r="Z136" s="194">
        <f t="shared" si="27"/>
        <v>1210</v>
      </c>
      <c r="AA136" s="194"/>
      <c r="AB136" s="195"/>
      <c r="AC136" s="194">
        <f t="shared" si="28"/>
        <v>1210</v>
      </c>
      <c r="AD136" s="194"/>
      <c r="AE136" s="196"/>
      <c r="AF136" s="31"/>
      <c r="AG136" s="31"/>
      <c r="AH136" s="175"/>
      <c r="AI136" s="176"/>
      <c r="AJ136" s="89"/>
      <c r="AK136" s="89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</row>
    <row r="137" spans="1:49">
      <c r="A137" s="167"/>
      <c r="B137" s="197">
        <v>113</v>
      </c>
      <c r="C137" s="193">
        <v>1</v>
      </c>
      <c r="D137" s="826" t="s">
        <v>147</v>
      </c>
      <c r="E137" s="193">
        <f t="shared" si="29"/>
        <v>0</v>
      </c>
      <c r="F137" s="193"/>
      <c r="G137" s="815"/>
      <c r="H137" s="194">
        <f>H201</f>
        <v>0</v>
      </c>
      <c r="I137" s="194"/>
      <c r="J137" s="195"/>
      <c r="K137" s="194">
        <f t="shared" si="22"/>
        <v>0</v>
      </c>
      <c r="L137" s="194"/>
      <c r="M137" s="195"/>
      <c r="N137" s="194">
        <f t="shared" si="23"/>
        <v>0</v>
      </c>
      <c r="O137" s="194"/>
      <c r="P137" s="195"/>
      <c r="Q137" s="194">
        <f t="shared" si="24"/>
        <v>0</v>
      </c>
      <c r="R137" s="194"/>
      <c r="S137" s="195"/>
      <c r="T137" s="194">
        <f t="shared" si="25"/>
        <v>0</v>
      </c>
      <c r="U137" s="194"/>
      <c r="V137" s="195"/>
      <c r="W137" s="194">
        <f t="shared" si="26"/>
        <v>0</v>
      </c>
      <c r="X137" s="194"/>
      <c r="Y137" s="195"/>
      <c r="Z137" s="194">
        <f t="shared" si="27"/>
        <v>1210</v>
      </c>
      <c r="AA137" s="194"/>
      <c r="AB137" s="195"/>
      <c r="AC137" s="194">
        <f t="shared" si="28"/>
        <v>1210</v>
      </c>
      <c r="AD137" s="194"/>
      <c r="AE137" s="196"/>
      <c r="AF137" s="31"/>
      <c r="AG137" s="31"/>
      <c r="AH137" s="175"/>
      <c r="AI137" s="176"/>
      <c r="AJ137" s="89"/>
      <c r="AK137" s="89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</row>
    <row r="138" spans="1:49">
      <c r="A138" s="167"/>
      <c r="B138" s="197">
        <v>99</v>
      </c>
      <c r="C138" s="193"/>
      <c r="D138" s="193" t="s">
        <v>99</v>
      </c>
      <c r="E138" s="925">
        <v>0</v>
      </c>
      <c r="F138" s="193"/>
      <c r="G138" s="815"/>
      <c r="H138" s="199">
        <v>0</v>
      </c>
      <c r="I138" s="194"/>
      <c r="J138" s="195"/>
      <c r="K138" s="194">
        <f t="shared" si="22"/>
        <v>0</v>
      </c>
      <c r="L138" s="194"/>
      <c r="M138" s="195"/>
      <c r="N138" s="194">
        <f t="shared" si="23"/>
        <v>0</v>
      </c>
      <c r="O138" s="194"/>
      <c r="P138" s="195"/>
      <c r="Q138" s="194">
        <f t="shared" si="24"/>
        <v>0</v>
      </c>
      <c r="R138" s="194"/>
      <c r="S138" s="195"/>
      <c r="T138" s="194">
        <f t="shared" si="25"/>
        <v>0</v>
      </c>
      <c r="U138" s="194"/>
      <c r="V138" s="195"/>
      <c r="W138" s="194">
        <f t="shared" si="26"/>
        <v>0</v>
      </c>
      <c r="X138" s="194"/>
      <c r="Y138" s="195"/>
      <c r="Z138" s="194">
        <f t="shared" si="27"/>
        <v>0</v>
      </c>
      <c r="AA138" s="194"/>
      <c r="AB138" s="195"/>
      <c r="AC138" s="194">
        <f t="shared" si="28"/>
        <v>0</v>
      </c>
      <c r="AD138" s="194"/>
      <c r="AE138" s="196"/>
      <c r="AF138" s="31"/>
      <c r="AG138" s="31"/>
      <c r="AH138" s="175"/>
      <c r="AI138" s="176"/>
      <c r="AJ138" s="89"/>
      <c r="AK138" s="89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</row>
    <row r="139" spans="1:49">
      <c r="A139" s="167"/>
      <c r="B139" s="197">
        <v>54</v>
      </c>
      <c r="C139" s="923">
        <v>1</v>
      </c>
      <c r="D139" s="193" t="s">
        <v>100</v>
      </c>
      <c r="E139" s="823">
        <f t="shared" si="29"/>
        <v>2250</v>
      </c>
      <c r="F139" s="193"/>
      <c r="G139" s="815"/>
      <c r="H139" s="194">
        <f>H203</f>
        <v>2250</v>
      </c>
      <c r="I139" s="194"/>
      <c r="J139" s="195"/>
      <c r="K139" s="194">
        <f t="shared" si="22"/>
        <v>1000</v>
      </c>
      <c r="L139" s="194"/>
      <c r="M139" s="195"/>
      <c r="N139" s="194">
        <f t="shared" si="23"/>
        <v>1000</v>
      </c>
      <c r="O139" s="194"/>
      <c r="P139" s="195"/>
      <c r="Q139" s="194">
        <f t="shared" si="24"/>
        <v>710</v>
      </c>
      <c r="R139" s="194"/>
      <c r="S139" s="195"/>
      <c r="T139" s="194">
        <f t="shared" si="25"/>
        <v>710</v>
      </c>
      <c r="U139" s="194"/>
      <c r="V139" s="195"/>
      <c r="W139" s="194">
        <f t="shared" si="26"/>
        <v>710</v>
      </c>
      <c r="X139" s="194"/>
      <c r="Y139" s="195"/>
      <c r="Z139" s="194">
        <f t="shared" si="27"/>
        <v>210</v>
      </c>
      <c r="AA139" s="194"/>
      <c r="AB139" s="195"/>
      <c r="AC139" s="194">
        <f t="shared" si="28"/>
        <v>210</v>
      </c>
      <c r="AD139" s="194"/>
      <c r="AE139" s="196"/>
      <c r="AF139" s="31"/>
      <c r="AG139" s="31"/>
      <c r="AH139" s="175"/>
      <c r="AI139" s="176"/>
      <c r="AJ139" s="89"/>
      <c r="AK139" s="89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</row>
    <row r="140" spans="1:49">
      <c r="A140" s="167"/>
      <c r="B140" s="197"/>
      <c r="C140" s="193"/>
      <c r="D140" s="200" t="s">
        <v>101</v>
      </c>
      <c r="E140" s="824">
        <f t="shared" si="29"/>
        <v>61079.999999999993</v>
      </c>
      <c r="F140" s="200"/>
      <c r="G140" s="723"/>
      <c r="H140" s="200">
        <f>H204</f>
        <v>58170.796019900488</v>
      </c>
      <c r="I140" s="194"/>
      <c r="J140" s="195"/>
      <c r="K140" s="200">
        <f t="shared" si="22"/>
        <v>54303.880597014919</v>
      </c>
      <c r="L140" s="194"/>
      <c r="M140" s="195"/>
      <c r="N140" s="200">
        <f t="shared" si="23"/>
        <v>50563.830845771146</v>
      </c>
      <c r="O140" s="194"/>
      <c r="P140" s="195"/>
      <c r="Q140" s="200">
        <f t="shared" si="24"/>
        <v>46127.512437810939</v>
      </c>
      <c r="R140" s="194"/>
      <c r="S140" s="195"/>
      <c r="T140" s="200">
        <f t="shared" si="25"/>
        <v>43509.353233830843</v>
      </c>
      <c r="U140" s="194"/>
      <c r="V140" s="195"/>
      <c r="W140" s="200">
        <f t="shared" si="26"/>
        <v>40518.05970149253</v>
      </c>
      <c r="X140" s="194"/>
      <c r="Y140" s="195"/>
      <c r="Z140" s="200">
        <f t="shared" si="27"/>
        <v>40018.05970149253</v>
      </c>
      <c r="AA140" s="194"/>
      <c r="AB140" s="195"/>
      <c r="AC140" s="200">
        <f t="shared" si="28"/>
        <v>30285.472636815917</v>
      </c>
      <c r="AD140" s="194"/>
      <c r="AE140" s="196"/>
      <c r="AF140" s="31"/>
      <c r="AG140" s="31"/>
      <c r="AH140" s="175"/>
      <c r="AI140" s="176"/>
      <c r="AJ140" s="89"/>
      <c r="AK140" s="89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</row>
    <row r="141" spans="1:49">
      <c r="A141" s="167"/>
      <c r="B141" s="197">
        <v>440</v>
      </c>
      <c r="C141" s="193"/>
      <c r="D141" s="193" t="s">
        <v>102</v>
      </c>
      <c r="E141" s="925">
        <v>0</v>
      </c>
      <c r="F141" s="193">
        <f t="shared" ref="F141:F148" si="39">F205</f>
        <v>0</v>
      </c>
      <c r="G141" s="815"/>
      <c r="H141" s="950">
        <v>0</v>
      </c>
      <c r="I141" s="194">
        <f t="shared" ref="I141:I148" si="40">I205</f>
        <v>0</v>
      </c>
      <c r="J141" s="195"/>
      <c r="K141" s="194">
        <f t="shared" si="22"/>
        <v>0</v>
      </c>
      <c r="L141" s="194">
        <f t="shared" ref="L141:L148" si="41">L205</f>
        <v>0</v>
      </c>
      <c r="M141" s="195"/>
      <c r="N141" s="194">
        <f t="shared" si="23"/>
        <v>0</v>
      </c>
      <c r="O141" s="194">
        <f t="shared" ref="O141:O156" si="42">O205</f>
        <v>0</v>
      </c>
      <c r="P141" s="195"/>
      <c r="Q141" s="194">
        <f t="shared" si="24"/>
        <v>0</v>
      </c>
      <c r="R141" s="194">
        <f t="shared" ref="R141:R156" si="43">R205</f>
        <v>0</v>
      </c>
      <c r="S141" s="195"/>
      <c r="T141" s="194">
        <f t="shared" si="25"/>
        <v>0</v>
      </c>
      <c r="U141" s="194">
        <f t="shared" ref="U141:U156" si="44">U205</f>
        <v>0</v>
      </c>
      <c r="V141" s="195"/>
      <c r="W141" s="194">
        <f t="shared" si="26"/>
        <v>0</v>
      </c>
      <c r="X141" s="194">
        <f t="shared" ref="X141:X156" si="45">X205</f>
        <v>0</v>
      </c>
      <c r="Y141" s="195"/>
      <c r="Z141" s="194">
        <f t="shared" si="27"/>
        <v>0</v>
      </c>
      <c r="AA141" s="194">
        <f t="shared" ref="AA141:AA156" si="46">AA205</f>
        <v>0</v>
      </c>
      <c r="AB141" s="195"/>
      <c r="AC141" s="194">
        <f t="shared" si="28"/>
        <v>0</v>
      </c>
      <c r="AD141" s="194">
        <f t="shared" ref="AD141:AD154" si="47">AD205</f>
        <v>0</v>
      </c>
      <c r="AE141" s="196"/>
      <c r="AF141" s="31"/>
      <c r="AG141" s="31"/>
      <c r="AH141" s="175"/>
      <c r="AI141" s="176"/>
      <c r="AJ141" s="89"/>
      <c r="AK141" s="89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</row>
    <row r="142" spans="1:49">
      <c r="A142" s="167"/>
      <c r="B142" s="197">
        <v>502</v>
      </c>
      <c r="C142" s="201" t="s">
        <v>103</v>
      </c>
      <c r="D142" s="193" t="s">
        <v>104</v>
      </c>
      <c r="E142" s="193">
        <f t="shared" si="29"/>
        <v>0</v>
      </c>
      <c r="F142" s="823">
        <f t="shared" si="39"/>
        <v>-8960</v>
      </c>
      <c r="G142" s="815"/>
      <c r="H142" s="194"/>
      <c r="I142" s="194">
        <f t="shared" si="40"/>
        <v>-8494.5273631840791</v>
      </c>
      <c r="J142" s="195"/>
      <c r="K142" s="194"/>
      <c r="L142" s="194">
        <f t="shared" si="41"/>
        <v>-8075.8208955223872</v>
      </c>
      <c r="M142" s="195"/>
      <c r="N142" s="194"/>
      <c r="O142" s="194">
        <f t="shared" si="42"/>
        <v>-7477.412935323383</v>
      </c>
      <c r="P142" s="195"/>
      <c r="Q142" s="194"/>
      <c r="R142" s="194">
        <f t="shared" si="43"/>
        <v>-6879.6019900497504</v>
      </c>
      <c r="S142" s="195"/>
      <c r="T142" s="194"/>
      <c r="U142" s="194">
        <f t="shared" si="44"/>
        <v>-6460.6965174129346</v>
      </c>
      <c r="V142" s="195"/>
      <c r="W142" s="194"/>
      <c r="X142" s="194">
        <f t="shared" si="45"/>
        <v>-5982.0895522388055</v>
      </c>
      <c r="Y142" s="195"/>
      <c r="Z142" s="194"/>
      <c r="AA142" s="194">
        <f t="shared" si="46"/>
        <v>-5982.0895522388055</v>
      </c>
      <c r="AB142" s="195"/>
      <c r="AC142" s="194"/>
      <c r="AD142" s="194">
        <f t="shared" si="47"/>
        <v>-4424.8756218905473</v>
      </c>
      <c r="AE142" s="196"/>
      <c r="AF142" s="31"/>
      <c r="AG142" s="31"/>
      <c r="AH142" s="175"/>
      <c r="AI142" s="176"/>
      <c r="AJ142" s="89"/>
      <c r="AK142" s="89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</row>
    <row r="143" spans="1:49">
      <c r="A143" s="167"/>
      <c r="B143" s="197">
        <v>504</v>
      </c>
      <c r="C143" s="201" t="s">
        <v>105</v>
      </c>
      <c r="D143" s="822" t="str">
        <f t="shared" si="29"/>
        <v>Ley 4035 (no se aplica más desde enero 22)</v>
      </c>
      <c r="E143" s="193"/>
      <c r="F143" s="823"/>
      <c r="G143" s="815"/>
      <c r="H143" s="194"/>
      <c r="I143" s="194">
        <f t="shared" si="40"/>
        <v>-318.54477611940291</v>
      </c>
      <c r="J143" s="195"/>
      <c r="K143" s="194"/>
      <c r="L143" s="194">
        <f t="shared" si="41"/>
        <v>-302.84328358208955</v>
      </c>
      <c r="M143" s="195"/>
      <c r="N143" s="194"/>
      <c r="O143" s="194">
        <f t="shared" si="42"/>
        <v>-280.40298507462688</v>
      </c>
      <c r="P143" s="195"/>
      <c r="Q143" s="194"/>
      <c r="R143" s="194">
        <f t="shared" si="43"/>
        <v>-257.98507462686564</v>
      </c>
      <c r="S143" s="195"/>
      <c r="T143" s="194"/>
      <c r="U143" s="194">
        <f t="shared" si="44"/>
        <v>-242.27611940298507</v>
      </c>
      <c r="V143" s="195"/>
      <c r="W143" s="194"/>
      <c r="X143" s="194">
        <f t="shared" si="45"/>
        <v>-224.32835820895519</v>
      </c>
      <c r="Y143" s="195"/>
      <c r="Z143" s="194"/>
      <c r="AA143" s="194">
        <f t="shared" si="46"/>
        <v>-224.32835820895519</v>
      </c>
      <c r="AB143" s="195"/>
      <c r="AC143" s="194"/>
      <c r="AD143" s="194">
        <f t="shared" si="47"/>
        <v>-165.93283582089555</v>
      </c>
      <c r="AE143" s="196"/>
      <c r="AF143" s="31"/>
      <c r="AG143" s="31"/>
      <c r="AH143" s="175"/>
      <c r="AI143" s="176"/>
      <c r="AJ143" s="89"/>
      <c r="AK143" s="89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</row>
    <row r="144" spans="1:49">
      <c r="A144" s="167"/>
      <c r="B144" s="197">
        <v>505</v>
      </c>
      <c r="C144" s="201" t="s">
        <v>107</v>
      </c>
      <c r="D144" s="193" t="s">
        <v>108</v>
      </c>
      <c r="E144" s="193">
        <f t="shared" si="29"/>
        <v>0</v>
      </c>
      <c r="F144" s="823">
        <f t="shared" si="39"/>
        <v>-1679.9999999999998</v>
      </c>
      <c r="G144" s="815"/>
      <c r="H144" s="194"/>
      <c r="I144" s="194">
        <f t="shared" si="40"/>
        <v>-1592.7238805970146</v>
      </c>
      <c r="J144" s="195"/>
      <c r="K144" s="194"/>
      <c r="L144" s="194">
        <f t="shared" si="41"/>
        <v>-1514.2164179104477</v>
      </c>
      <c r="M144" s="195"/>
      <c r="N144" s="194"/>
      <c r="O144" s="194">
        <f t="shared" si="42"/>
        <v>-1402.0149253731342</v>
      </c>
      <c r="P144" s="195"/>
      <c r="Q144" s="194"/>
      <c r="R144" s="194">
        <f t="shared" si="43"/>
        <v>-1289.9253731343283</v>
      </c>
      <c r="S144" s="195"/>
      <c r="T144" s="194"/>
      <c r="U144" s="194">
        <f t="shared" si="44"/>
        <v>-1211.3805970149253</v>
      </c>
      <c r="V144" s="195"/>
      <c r="W144" s="194"/>
      <c r="X144" s="194">
        <f t="shared" si="45"/>
        <v>-1121.641791044776</v>
      </c>
      <c r="Y144" s="195"/>
      <c r="Z144" s="194"/>
      <c r="AA144" s="194">
        <f t="shared" si="46"/>
        <v>-1121.641791044776</v>
      </c>
      <c r="AB144" s="195"/>
      <c r="AC144" s="194"/>
      <c r="AD144" s="194">
        <f t="shared" si="47"/>
        <v>-829.66417910447751</v>
      </c>
      <c r="AE144" s="196"/>
      <c r="AF144" s="31"/>
      <c r="AG144" s="31"/>
      <c r="AH144" s="175"/>
      <c r="AI144" s="176"/>
      <c r="AJ144" s="89"/>
      <c r="AK144" s="89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</row>
    <row r="145" spans="1:49">
      <c r="A145" s="167"/>
      <c r="B145" s="197">
        <v>510</v>
      </c>
      <c r="C145" s="193"/>
      <c r="D145" s="193" t="s">
        <v>109</v>
      </c>
      <c r="E145" s="925">
        <v>0</v>
      </c>
      <c r="F145" s="823">
        <f t="shared" si="39"/>
        <v>0</v>
      </c>
      <c r="G145" s="815"/>
      <c r="H145" s="194"/>
      <c r="I145" s="194">
        <f t="shared" si="40"/>
        <v>0</v>
      </c>
      <c r="J145" s="195"/>
      <c r="K145" s="194"/>
      <c r="L145" s="194">
        <f t="shared" si="41"/>
        <v>0</v>
      </c>
      <c r="M145" s="195"/>
      <c r="N145" s="194"/>
      <c r="O145" s="194">
        <f t="shared" si="42"/>
        <v>0</v>
      </c>
      <c r="P145" s="195"/>
      <c r="Q145" s="194"/>
      <c r="R145" s="194">
        <f t="shared" si="43"/>
        <v>0</v>
      </c>
      <c r="S145" s="195"/>
      <c r="T145" s="194"/>
      <c r="U145" s="194">
        <f t="shared" si="44"/>
        <v>0</v>
      </c>
      <c r="V145" s="195"/>
      <c r="W145" s="194"/>
      <c r="X145" s="194">
        <f t="shared" si="45"/>
        <v>0</v>
      </c>
      <c r="Y145" s="195"/>
      <c r="Z145" s="194"/>
      <c r="AA145" s="194">
        <f t="shared" si="46"/>
        <v>0</v>
      </c>
      <c r="AB145" s="195"/>
      <c r="AC145" s="194"/>
      <c r="AD145" s="194">
        <f t="shared" si="47"/>
        <v>0</v>
      </c>
      <c r="AE145" s="196"/>
      <c r="AF145" s="31"/>
      <c r="AG145" s="31"/>
      <c r="AH145" s="175"/>
      <c r="AI145" s="176"/>
      <c r="AJ145" s="89"/>
      <c r="AK145" s="89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</row>
    <row r="146" spans="1:49">
      <c r="A146" s="167"/>
      <c r="B146" s="197">
        <v>332</v>
      </c>
      <c r="C146" s="924">
        <v>0</v>
      </c>
      <c r="D146" s="193" t="s">
        <v>110</v>
      </c>
      <c r="E146" s="193">
        <f t="shared" si="29"/>
        <v>0</v>
      </c>
      <c r="F146" s="823">
        <f t="shared" si="39"/>
        <v>0</v>
      </c>
      <c r="G146" s="815"/>
      <c r="H146" s="194"/>
      <c r="I146" s="194">
        <f t="shared" si="40"/>
        <v>0</v>
      </c>
      <c r="J146" s="195"/>
      <c r="K146" s="194"/>
      <c r="L146" s="194">
        <f t="shared" si="41"/>
        <v>0</v>
      </c>
      <c r="M146" s="195"/>
      <c r="N146" s="194"/>
      <c r="O146" s="194">
        <f t="shared" si="42"/>
        <v>0</v>
      </c>
      <c r="P146" s="195"/>
      <c r="Q146" s="194"/>
      <c r="R146" s="194">
        <f t="shared" si="43"/>
        <v>0</v>
      </c>
      <c r="S146" s="195"/>
      <c r="T146" s="194"/>
      <c r="U146" s="194">
        <f t="shared" si="44"/>
        <v>0</v>
      </c>
      <c r="V146" s="195"/>
      <c r="W146" s="194"/>
      <c r="X146" s="194">
        <f t="shared" si="45"/>
        <v>0</v>
      </c>
      <c r="Y146" s="195"/>
      <c r="Z146" s="194"/>
      <c r="AA146" s="194">
        <f t="shared" si="46"/>
        <v>0</v>
      </c>
      <c r="AB146" s="195"/>
      <c r="AC146" s="194"/>
      <c r="AD146" s="194">
        <f t="shared" si="47"/>
        <v>0</v>
      </c>
      <c r="AE146" s="196"/>
      <c r="AF146" s="31"/>
      <c r="AG146" s="31"/>
      <c r="AH146" s="175"/>
      <c r="AI146" s="176"/>
      <c r="AJ146" s="89"/>
      <c r="AK146" s="89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</row>
    <row r="147" spans="1:49">
      <c r="A147" s="167"/>
      <c r="B147" s="197"/>
      <c r="C147" s="193"/>
      <c r="D147" s="193" t="s">
        <v>111</v>
      </c>
      <c r="E147" s="925">
        <v>0</v>
      </c>
      <c r="F147" s="823">
        <f t="shared" si="39"/>
        <v>0</v>
      </c>
      <c r="G147" s="815"/>
      <c r="H147" s="194"/>
      <c r="I147" s="194">
        <f t="shared" si="40"/>
        <v>0</v>
      </c>
      <c r="J147" s="195"/>
      <c r="K147" s="194"/>
      <c r="L147" s="194">
        <f t="shared" si="41"/>
        <v>0</v>
      </c>
      <c r="M147" s="195"/>
      <c r="N147" s="194"/>
      <c r="O147" s="194">
        <f t="shared" si="42"/>
        <v>0</v>
      </c>
      <c r="P147" s="195"/>
      <c r="Q147" s="194"/>
      <c r="R147" s="194">
        <f t="shared" si="43"/>
        <v>0</v>
      </c>
      <c r="S147" s="195"/>
      <c r="T147" s="194"/>
      <c r="U147" s="194">
        <f t="shared" si="44"/>
        <v>0</v>
      </c>
      <c r="V147" s="195"/>
      <c r="W147" s="194"/>
      <c r="X147" s="194">
        <f t="shared" si="45"/>
        <v>0</v>
      </c>
      <c r="Y147" s="195"/>
      <c r="Z147" s="194"/>
      <c r="AA147" s="194">
        <f t="shared" si="46"/>
        <v>0</v>
      </c>
      <c r="AB147" s="195"/>
      <c r="AC147" s="194"/>
      <c r="AD147" s="194">
        <f t="shared" si="47"/>
        <v>0</v>
      </c>
      <c r="AE147" s="196"/>
      <c r="AF147" s="31"/>
      <c r="AG147" s="31"/>
      <c r="AH147" s="175"/>
      <c r="AI147" s="176"/>
      <c r="AJ147" s="89"/>
      <c r="AK147" s="89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</row>
    <row r="148" spans="1:49">
      <c r="A148" s="167"/>
      <c r="B148" s="197"/>
      <c r="C148" s="193"/>
      <c r="D148" s="200" t="s">
        <v>112</v>
      </c>
      <c r="E148" s="200">
        <f t="shared" si="29"/>
        <v>0</v>
      </c>
      <c r="F148" s="200">
        <f t="shared" si="39"/>
        <v>-10640</v>
      </c>
      <c r="G148" s="723"/>
      <c r="H148" s="194"/>
      <c r="I148" s="200">
        <f t="shared" si="40"/>
        <v>-10405.796019900496</v>
      </c>
      <c r="J148" s="195"/>
      <c r="K148" s="194"/>
      <c r="L148" s="200">
        <f t="shared" si="41"/>
        <v>-9892.8805970149242</v>
      </c>
      <c r="M148" s="195"/>
      <c r="N148" s="194"/>
      <c r="O148" s="200">
        <f t="shared" si="42"/>
        <v>-9159.8308457711428</v>
      </c>
      <c r="P148" s="195"/>
      <c r="Q148" s="194"/>
      <c r="R148" s="200">
        <f t="shared" si="43"/>
        <v>-8427.5124378109449</v>
      </c>
      <c r="S148" s="195"/>
      <c r="T148" s="194"/>
      <c r="U148" s="200">
        <f t="shared" si="44"/>
        <v>-7914.3532338308451</v>
      </c>
      <c r="V148" s="195"/>
      <c r="W148" s="194"/>
      <c r="X148" s="200">
        <f t="shared" si="45"/>
        <v>-7328.059701492537</v>
      </c>
      <c r="Y148" s="195"/>
      <c r="Z148" s="194"/>
      <c r="AA148" s="200">
        <f t="shared" si="46"/>
        <v>-7328.059701492537</v>
      </c>
      <c r="AB148" s="195"/>
      <c r="AC148" s="194"/>
      <c r="AD148" s="200">
        <f t="shared" si="47"/>
        <v>-5420.4726368159209</v>
      </c>
      <c r="AE148" s="196"/>
      <c r="AF148" s="31"/>
      <c r="AG148" s="31"/>
      <c r="AH148" s="175"/>
      <c r="AI148" s="176"/>
      <c r="AJ148" s="89"/>
      <c r="AK148" s="89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</row>
    <row r="149" spans="1:49">
      <c r="A149" s="167"/>
      <c r="B149" s="202"/>
      <c r="C149" s="203"/>
      <c r="D149" s="203"/>
      <c r="E149" s="203"/>
      <c r="F149" s="203"/>
      <c r="G149" s="724"/>
      <c r="H149" s="204"/>
      <c r="I149" s="204"/>
      <c r="J149" s="196"/>
      <c r="K149" s="204"/>
      <c r="L149" s="204"/>
      <c r="M149" s="196"/>
      <c r="N149" s="204"/>
      <c r="O149" s="204">
        <f t="shared" si="42"/>
        <v>0</v>
      </c>
      <c r="P149" s="196"/>
      <c r="Q149" s="204"/>
      <c r="R149" s="204">
        <f t="shared" si="43"/>
        <v>0</v>
      </c>
      <c r="S149" s="196"/>
      <c r="T149" s="204"/>
      <c r="U149" s="204">
        <f t="shared" si="44"/>
        <v>0</v>
      </c>
      <c r="V149" s="196"/>
      <c r="W149" s="204"/>
      <c r="X149" s="204">
        <f t="shared" si="45"/>
        <v>0</v>
      </c>
      <c r="Y149" s="196"/>
      <c r="Z149" s="204"/>
      <c r="AA149" s="204">
        <f t="shared" si="46"/>
        <v>0</v>
      </c>
      <c r="AB149" s="196"/>
      <c r="AC149" s="204"/>
      <c r="AD149" s="204">
        <f t="shared" si="47"/>
        <v>0</v>
      </c>
      <c r="AE149" s="196"/>
      <c r="AF149" s="31"/>
      <c r="AG149" s="31"/>
      <c r="AH149" s="175"/>
      <c r="AI149" s="176"/>
      <c r="AJ149" s="89"/>
      <c r="AK149" s="89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</row>
    <row r="150" spans="1:49">
      <c r="A150" s="167"/>
      <c r="B150" s="203"/>
      <c r="C150" s="203"/>
      <c r="D150" s="947"/>
      <c r="E150" s="200" t="str">
        <f>E214</f>
        <v>Sueldo líquido</v>
      </c>
      <c r="F150" s="205">
        <f>F214</f>
        <v>50439.999999999993</v>
      </c>
      <c r="G150" s="724"/>
      <c r="H150" s="200" t="str">
        <f>H214</f>
        <v>Sueldo líquido</v>
      </c>
      <c r="I150" s="205">
        <f>I214</f>
        <v>47764.999999999993</v>
      </c>
      <c r="J150" s="196"/>
      <c r="K150" s="200" t="str">
        <f>K214</f>
        <v>Sueldo líquido</v>
      </c>
      <c r="L150" s="205">
        <f>L214</f>
        <v>44410.999999999993</v>
      </c>
      <c r="M150" s="196"/>
      <c r="N150" s="200" t="str">
        <f>N214</f>
        <v>Sueldo líquido</v>
      </c>
      <c r="O150" s="205">
        <f t="shared" si="42"/>
        <v>41404</v>
      </c>
      <c r="P150" s="196"/>
      <c r="Q150" s="200" t="str">
        <f t="shared" si="24"/>
        <v>Sueldo líquido</v>
      </c>
      <c r="R150" s="205">
        <f t="shared" si="43"/>
        <v>37699.999999999993</v>
      </c>
      <c r="S150" s="196"/>
      <c r="T150" s="200" t="str">
        <f t="shared" si="25"/>
        <v>Sueldo líquido</v>
      </c>
      <c r="U150" s="205">
        <f t="shared" si="44"/>
        <v>35595</v>
      </c>
      <c r="V150" s="196"/>
      <c r="W150" s="200" t="str">
        <f t="shared" si="26"/>
        <v>Sueldo líquido</v>
      </c>
      <c r="X150" s="205">
        <f t="shared" si="45"/>
        <v>33189.999999999993</v>
      </c>
      <c r="Y150" s="196"/>
      <c r="Z150" s="200" t="str">
        <f t="shared" si="27"/>
        <v>Sueldo líquido</v>
      </c>
      <c r="AA150" s="205">
        <f t="shared" si="46"/>
        <v>32689.999999999993</v>
      </c>
      <c r="AB150" s="196"/>
      <c r="AC150" s="200" t="str">
        <f t="shared" si="28"/>
        <v>Sueldo líquido</v>
      </c>
      <c r="AD150" s="205">
        <f t="shared" si="47"/>
        <v>24864.999999999996</v>
      </c>
      <c r="AE150" s="196"/>
      <c r="AF150" s="31"/>
      <c r="AG150" s="31"/>
      <c r="AH150" s="175"/>
      <c r="AI150" s="176"/>
      <c r="AJ150" s="89"/>
      <c r="AK150" s="89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</row>
    <row r="151" spans="1:49">
      <c r="A151" s="167"/>
      <c r="B151" s="203"/>
      <c r="C151" s="203"/>
      <c r="D151" s="947"/>
      <c r="E151" s="458"/>
      <c r="F151" s="458"/>
      <c r="G151" s="724"/>
      <c r="H151" s="204"/>
      <c r="I151" s="204"/>
      <c r="J151" s="196"/>
      <c r="K151" s="204"/>
      <c r="L151" s="204"/>
      <c r="M151" s="196"/>
      <c r="N151" s="204"/>
      <c r="O151" s="204"/>
      <c r="P151" s="196"/>
      <c r="Q151" s="204"/>
      <c r="R151" s="204"/>
      <c r="S151" s="196"/>
      <c r="T151" s="204"/>
      <c r="U151" s="204"/>
      <c r="V151" s="196"/>
      <c r="W151" s="204"/>
      <c r="X151" s="204"/>
      <c r="Y151" s="196"/>
      <c r="Z151" s="204"/>
      <c r="AA151" s="204"/>
      <c r="AB151" s="196"/>
      <c r="AC151" s="204"/>
      <c r="AD151" s="204"/>
      <c r="AE151" s="196"/>
      <c r="AF151" s="31"/>
      <c r="AG151" s="31"/>
      <c r="AH151" s="175"/>
      <c r="AI151" s="176"/>
      <c r="AJ151" s="89"/>
      <c r="AK151" s="89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</row>
    <row r="152" spans="1:49">
      <c r="A152" s="167"/>
      <c r="B152" s="203"/>
      <c r="C152" s="203"/>
      <c r="D152" s="203"/>
      <c r="E152" s="458" t="str">
        <f t="shared" ref="E152" si="48">E216</f>
        <v>Total remunerativos</v>
      </c>
      <c r="F152" s="458"/>
      <c r="G152" s="724"/>
      <c r="H152" s="204" t="str">
        <f>H216</f>
        <v>Total remunerativos</v>
      </c>
      <c r="I152" s="204"/>
      <c r="J152" s="196"/>
      <c r="K152" s="204" t="str">
        <f>K216</f>
        <v>Total remunerativos</v>
      </c>
      <c r="L152" s="204"/>
      <c r="M152" s="196"/>
      <c r="N152" s="204" t="str">
        <f>N216</f>
        <v>Total remunerativos</v>
      </c>
      <c r="O152" s="204"/>
      <c r="P152" s="196"/>
      <c r="Q152" s="204" t="str">
        <f t="shared" si="24"/>
        <v>Total remunerativos</v>
      </c>
      <c r="R152" s="204"/>
      <c r="S152" s="196"/>
      <c r="T152" s="204" t="str">
        <f t="shared" si="25"/>
        <v>Total remunerativos</v>
      </c>
      <c r="U152" s="204"/>
      <c r="V152" s="196"/>
      <c r="W152" s="204" t="str">
        <f t="shared" si="26"/>
        <v>Total remunerativos</v>
      </c>
      <c r="X152" s="204"/>
      <c r="Y152" s="196"/>
      <c r="Z152" s="204" t="str">
        <f t="shared" si="27"/>
        <v>Total remunerativos</v>
      </c>
      <c r="AA152" s="204"/>
      <c r="AB152" s="196"/>
      <c r="AC152" s="204" t="str">
        <f t="shared" si="28"/>
        <v>Total remunerativos</v>
      </c>
      <c r="AD152" s="204"/>
      <c r="AE152" s="196"/>
      <c r="AF152" s="31"/>
      <c r="AG152" s="31"/>
      <c r="AH152" s="175"/>
      <c r="AI152" s="176"/>
      <c r="AJ152" s="89"/>
      <c r="AK152" s="89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</row>
    <row r="153" spans="1:49">
      <c r="A153" s="167"/>
      <c r="B153" s="203"/>
      <c r="C153" s="203"/>
      <c r="D153" s="203"/>
      <c r="E153" s="458">
        <f t="shared" ref="E153:F153" si="49">E217</f>
        <v>46358.924074981696</v>
      </c>
      <c r="F153" s="458" t="str">
        <f t="shared" si="49"/>
        <v>sin 188 y 14</v>
      </c>
      <c r="G153" s="724"/>
      <c r="H153" s="204">
        <f>H217</f>
        <v>43624.728222800004</v>
      </c>
      <c r="I153" s="204" t="str">
        <f>I217</f>
        <v>sin 188 y 14</v>
      </c>
      <c r="J153" s="196"/>
      <c r="K153" s="204">
        <f>K217</f>
        <v>41473.834365015005</v>
      </c>
      <c r="L153" s="204" t="str">
        <f>L217</f>
        <v>sin 188 y 14</v>
      </c>
      <c r="M153" s="196"/>
      <c r="N153" s="204">
        <f>N217</f>
        <v>38401.698486125002</v>
      </c>
      <c r="O153" s="204" t="str">
        <f t="shared" si="42"/>
        <v>sin 188 y 14</v>
      </c>
      <c r="P153" s="196"/>
      <c r="Q153" s="204">
        <f t="shared" si="24"/>
        <v>35329.562607234999</v>
      </c>
      <c r="R153" s="204" t="str">
        <f t="shared" si="43"/>
        <v>sin 188 y 14</v>
      </c>
      <c r="S153" s="196"/>
      <c r="T153" s="204">
        <f t="shared" si="25"/>
        <v>33179.067492012007</v>
      </c>
      <c r="U153" s="204" t="str">
        <f t="shared" si="44"/>
        <v>sin 188 y 14</v>
      </c>
      <c r="V153" s="196"/>
      <c r="W153" s="204">
        <f t="shared" si="26"/>
        <v>30721.358788900001</v>
      </c>
      <c r="X153" s="204" t="str">
        <f t="shared" si="45"/>
        <v>sin 188 y 14</v>
      </c>
      <c r="Y153" s="196"/>
      <c r="Z153" s="204">
        <f t="shared" si="27"/>
        <v>30721.358788900001</v>
      </c>
      <c r="AA153" s="204" t="str">
        <f t="shared" si="46"/>
        <v>sin 188 y 14</v>
      </c>
      <c r="AB153" s="196"/>
      <c r="AC153" s="204">
        <f t="shared" si="28"/>
        <v>22062.190686000005</v>
      </c>
      <c r="AD153" s="204" t="str">
        <f t="shared" si="47"/>
        <v>sin 188 y 14</v>
      </c>
      <c r="AE153" s="196"/>
      <c r="AF153" s="31"/>
      <c r="AG153" s="31"/>
      <c r="AH153" s="175"/>
      <c r="AI153" s="176"/>
      <c r="AJ153" s="89"/>
      <c r="AK153" s="89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</row>
    <row r="154" spans="1:49" ht="16.5" thickBot="1">
      <c r="A154" s="167"/>
      <c r="B154" s="203"/>
      <c r="C154" s="203"/>
      <c r="D154" s="203"/>
      <c r="E154" s="206">
        <f t="shared" ref="E154:F154" si="50">E218</f>
        <v>49604.04876023042</v>
      </c>
      <c r="F154" s="206" t="str">
        <f t="shared" si="50"/>
        <v>con 188 y 14</v>
      </c>
      <c r="G154" s="724"/>
      <c r="H154" s="206">
        <f>H218</f>
        <v>46678.459198396005</v>
      </c>
      <c r="I154" s="206" t="str">
        <f>I218</f>
        <v>con 188 y 14</v>
      </c>
      <c r="J154" s="196"/>
      <c r="K154" s="206">
        <f>K218</f>
        <v>44377.002770566061</v>
      </c>
      <c r="L154" s="206" t="str">
        <f>L218</f>
        <v>con 188 y 14</v>
      </c>
      <c r="M154" s="196"/>
      <c r="N154" s="206">
        <f>N218</f>
        <v>41089.817380153756</v>
      </c>
      <c r="O154" s="206" t="str">
        <f t="shared" si="42"/>
        <v>con 188 y 14</v>
      </c>
      <c r="P154" s="196"/>
      <c r="Q154" s="206">
        <f t="shared" si="24"/>
        <v>37802.631989741451</v>
      </c>
      <c r="R154" s="206" t="str">
        <f t="shared" si="43"/>
        <v>con 188 y 14</v>
      </c>
      <c r="S154" s="196"/>
      <c r="T154" s="206">
        <f t="shared" si="25"/>
        <v>35501.602216452848</v>
      </c>
      <c r="U154" s="206" t="str">
        <f t="shared" si="44"/>
        <v>con 188 y 14</v>
      </c>
      <c r="V154" s="196"/>
      <c r="W154" s="206">
        <f t="shared" si="26"/>
        <v>44377.002770566061</v>
      </c>
      <c r="X154" s="206" t="str">
        <f t="shared" si="45"/>
        <v>con 188 y 14</v>
      </c>
      <c r="Y154" s="196"/>
      <c r="Z154" s="206">
        <f t="shared" si="27"/>
        <v>32871.853904123003</v>
      </c>
      <c r="AA154" s="206" t="str">
        <f t="shared" si="46"/>
        <v>con 188 y 14</v>
      </c>
      <c r="AB154" s="196"/>
      <c r="AC154" s="204">
        <f t="shared" si="28"/>
        <v>44377.002770566061</v>
      </c>
      <c r="AD154" s="204" t="str">
        <f t="shared" si="47"/>
        <v>con 188 y 14</v>
      </c>
      <c r="AE154" s="196"/>
      <c r="AF154" s="31"/>
      <c r="AG154" s="31"/>
      <c r="AH154" s="175"/>
      <c r="AI154" s="176"/>
      <c r="AJ154" s="89"/>
      <c r="AK154" s="89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</row>
    <row r="155" spans="1:49">
      <c r="A155" s="167"/>
      <c r="B155" s="203"/>
      <c r="C155" s="203"/>
      <c r="D155" s="203"/>
      <c r="E155" s="207" t="str">
        <f t="shared" ref="E155:F155" si="51">E219</f>
        <v>Aumento del mes</v>
      </c>
      <c r="F155" s="886">
        <f t="shared" si="51"/>
        <v>2675</v>
      </c>
      <c r="G155" s="724"/>
      <c r="H155" s="207" t="str">
        <f>H219</f>
        <v>Aumento del mes</v>
      </c>
      <c r="I155" s="886">
        <f>I219</f>
        <v>3354</v>
      </c>
      <c r="J155" s="209"/>
      <c r="K155" s="207" t="str">
        <f>K219</f>
        <v>Aumento del mes</v>
      </c>
      <c r="L155" s="886">
        <f>L219</f>
        <v>3006.9999999999927</v>
      </c>
      <c r="M155" s="209"/>
      <c r="N155" s="207" t="str">
        <f>N219</f>
        <v>Aumento del mes</v>
      </c>
      <c r="O155" s="208">
        <f t="shared" si="42"/>
        <v>3704.0000000000073</v>
      </c>
      <c r="P155" s="209"/>
      <c r="Q155" s="207" t="str">
        <f t="shared" si="24"/>
        <v>Aumento del mes</v>
      </c>
      <c r="R155" s="208">
        <f t="shared" si="43"/>
        <v>2104.9999999999927</v>
      </c>
      <c r="S155" s="209"/>
      <c r="T155" s="207" t="str">
        <f t="shared" si="25"/>
        <v>Aumento del mes</v>
      </c>
      <c r="U155" s="208">
        <f t="shared" si="44"/>
        <v>2405.0000000000073</v>
      </c>
      <c r="V155" s="209"/>
      <c r="W155" s="207" t="str">
        <f t="shared" si="26"/>
        <v>Aumento del mes</v>
      </c>
      <c r="X155" s="208">
        <f t="shared" si="45"/>
        <v>500</v>
      </c>
      <c r="Y155" s="209"/>
      <c r="Z155" s="207" t="str">
        <f t="shared" si="27"/>
        <v>Aumento del mes</v>
      </c>
      <c r="AA155" s="208">
        <f t="shared" si="46"/>
        <v>7824.9999999999964</v>
      </c>
      <c r="AB155" s="196"/>
      <c r="AC155" s="204"/>
      <c r="AD155" s="204"/>
      <c r="AE155" s="196"/>
      <c r="AF155" s="31"/>
      <c r="AG155" s="31"/>
      <c r="AH155" s="175"/>
      <c r="AI155" s="176"/>
      <c r="AJ155" s="89"/>
      <c r="AK155" s="89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</row>
    <row r="156" spans="1:49" ht="16.5" thickBot="1">
      <c r="A156" s="167"/>
      <c r="B156" s="203"/>
      <c r="C156" s="203"/>
      <c r="D156" s="203"/>
      <c r="E156" s="210" t="str">
        <f t="shared" ref="E156:F156" si="52">E220</f>
        <v>Porc resp a anterior</v>
      </c>
      <c r="F156" s="887">
        <f t="shared" si="52"/>
        <v>5.6003349733068156E-2</v>
      </c>
      <c r="G156" s="724"/>
      <c r="H156" s="210" t="str">
        <f>H220</f>
        <v>Porc resp a anterior</v>
      </c>
      <c r="I156" s="211">
        <f>I220</f>
        <v>7.5521830177208357E-2</v>
      </c>
      <c r="J156" s="209"/>
      <c r="K156" s="210" t="str">
        <f>K220</f>
        <v>Porc resp a anterior</v>
      </c>
      <c r="L156" s="211">
        <f>L220</f>
        <v>7.2625833252825636E-2</v>
      </c>
      <c r="M156" s="209"/>
      <c r="N156" s="210" t="str">
        <f>N220</f>
        <v>Porc resp a anterior</v>
      </c>
      <c r="O156" s="211">
        <f t="shared" si="42"/>
        <v>9.8249336870026738E-2</v>
      </c>
      <c r="P156" s="209"/>
      <c r="Q156" s="210" t="str">
        <f t="shared" si="24"/>
        <v>Porc resp a anterior</v>
      </c>
      <c r="R156" s="211">
        <f t="shared" si="43"/>
        <v>5.9137519314510258E-2</v>
      </c>
      <c r="S156" s="209"/>
      <c r="T156" s="210" t="str">
        <f t="shared" si="25"/>
        <v>Porc resp a anterior</v>
      </c>
      <c r="U156" s="211">
        <f t="shared" si="44"/>
        <v>7.2461584814703453E-2</v>
      </c>
      <c r="V156" s="209"/>
      <c r="W156" s="210" t="str">
        <f t="shared" si="26"/>
        <v>Porc resp a anterior</v>
      </c>
      <c r="X156" s="211">
        <f t="shared" si="45"/>
        <v>1.5295197308045277E-2</v>
      </c>
      <c r="Y156" s="209"/>
      <c r="Z156" s="210" t="str">
        <f t="shared" si="27"/>
        <v>Porc resp a anterior</v>
      </c>
      <c r="AA156" s="211">
        <f t="shared" si="46"/>
        <v>0.31469937663382253</v>
      </c>
      <c r="AB156" s="196"/>
      <c r="AC156" s="204"/>
      <c r="AD156" s="204"/>
      <c r="AE156" s="196"/>
      <c r="AF156" s="31"/>
      <c r="AG156" s="31"/>
      <c r="AH156" s="175"/>
      <c r="AI156" s="176"/>
      <c r="AJ156" s="89"/>
      <c r="AK156" s="89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</row>
    <row r="157" spans="1:49" ht="16.5" thickBot="1">
      <c r="A157" s="167"/>
      <c r="B157" s="203"/>
      <c r="C157" s="203"/>
      <c r="D157" s="203"/>
      <c r="E157" s="212"/>
      <c r="F157" s="888"/>
      <c r="G157" s="724"/>
      <c r="H157" s="212"/>
      <c r="I157" s="212"/>
      <c r="J157" s="196"/>
      <c r="K157" s="212"/>
      <c r="L157" s="212"/>
      <c r="M157" s="196"/>
      <c r="N157" s="212"/>
      <c r="O157" s="212"/>
      <c r="P157" s="196"/>
      <c r="Q157" s="212"/>
      <c r="R157" s="212"/>
      <c r="S157" s="196"/>
      <c r="T157" s="212"/>
      <c r="U157" s="212"/>
      <c r="V157" s="196"/>
      <c r="W157" s="212"/>
      <c r="X157" s="212"/>
      <c r="Y157" s="196"/>
      <c r="Z157" s="212"/>
      <c r="AA157" s="212"/>
      <c r="AB157" s="196"/>
      <c r="AC157" s="204"/>
      <c r="AD157" s="204"/>
      <c r="AE157" s="196"/>
      <c r="AF157" s="31"/>
      <c r="AG157" s="31"/>
      <c r="AH157" s="175"/>
      <c r="AI157" s="176"/>
      <c r="AJ157" s="89"/>
      <c r="AK157" s="89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</row>
    <row r="158" spans="1:49">
      <c r="A158" s="167"/>
      <c r="B158" s="203"/>
      <c r="C158" s="203"/>
      <c r="D158" s="203"/>
      <c r="E158" s="213" t="str">
        <f t="shared" ref="E158:F158" si="53">E222</f>
        <v>Aum resp feb 21</v>
      </c>
      <c r="F158" s="889">
        <f t="shared" si="53"/>
        <v>17750</v>
      </c>
      <c r="G158" s="724"/>
      <c r="H158" s="213" t="str">
        <f t="shared" ref="H158:I162" si="54">H222</f>
        <v>Aum resp feb 21</v>
      </c>
      <c r="I158" s="889">
        <f t="shared" si="54"/>
        <v>15075</v>
      </c>
      <c r="J158" s="209"/>
      <c r="K158" s="213" t="str">
        <f t="shared" ref="K158:L162" si="55">K222</f>
        <v>Aum resp feb 21</v>
      </c>
      <c r="L158" s="889">
        <f t="shared" si="55"/>
        <v>11721</v>
      </c>
      <c r="M158" s="209"/>
      <c r="N158" s="213" t="str">
        <f t="shared" ref="N158:O162" si="56">N222</f>
        <v>Aum resp feb 21</v>
      </c>
      <c r="O158" s="214">
        <f t="shared" si="56"/>
        <v>8714.0000000000073</v>
      </c>
      <c r="P158" s="209"/>
      <c r="Q158" s="213" t="str">
        <f t="shared" ref="Q158:R162" si="57">Q222</f>
        <v>Aum resp feb 21</v>
      </c>
      <c r="R158" s="214">
        <f t="shared" si="57"/>
        <v>5010</v>
      </c>
      <c r="S158" s="209"/>
      <c r="T158" s="213" t="str">
        <f t="shared" ref="T158:U162" si="58">T222</f>
        <v>Aum resp feb 21</v>
      </c>
      <c r="U158" s="214">
        <f t="shared" si="58"/>
        <v>2905.0000000000073</v>
      </c>
      <c r="V158" s="209"/>
      <c r="W158" s="213" t="str">
        <f t="shared" ref="W158:X162" si="59">W222</f>
        <v>Aum resp feb 21</v>
      </c>
      <c r="X158" s="214">
        <f t="shared" si="59"/>
        <v>500</v>
      </c>
      <c r="Y158" s="209"/>
      <c r="Z158" s="213" t="str">
        <f t="shared" ref="Z158:AA162" si="60">Z222</f>
        <v>Aum resp feb 21</v>
      </c>
      <c r="AA158" s="214">
        <f t="shared" si="60"/>
        <v>0</v>
      </c>
      <c r="AB158" s="196"/>
      <c r="AC158" s="204"/>
      <c r="AD158" s="204"/>
      <c r="AE158" s="196"/>
      <c r="AF158" s="31"/>
      <c r="AG158" s="31"/>
      <c r="AH158" s="175"/>
      <c r="AI158" s="176"/>
      <c r="AJ158" s="89"/>
      <c r="AK158" s="89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</row>
    <row r="159" spans="1:49" ht="16.5" thickBot="1">
      <c r="A159" s="167"/>
      <c r="B159" s="203"/>
      <c r="C159" s="203"/>
      <c r="D159" s="203"/>
      <c r="E159" s="215" t="str">
        <f t="shared" ref="E159:F159" si="61">E223</f>
        <v>Resp feb 21 Porc</v>
      </c>
      <c r="F159" s="890">
        <f t="shared" si="61"/>
        <v>0.54297950443560739</v>
      </c>
      <c r="G159" s="724"/>
      <c r="H159" s="215" t="str">
        <f t="shared" si="54"/>
        <v>Resp feb 21 Porc</v>
      </c>
      <c r="I159" s="216">
        <f t="shared" si="54"/>
        <v>0.46115019883756508</v>
      </c>
      <c r="J159" s="209"/>
      <c r="K159" s="215" t="str">
        <f t="shared" si="55"/>
        <v>Resp feb 21 Porc</v>
      </c>
      <c r="L159" s="216">
        <f t="shared" si="55"/>
        <v>0.35855001529519737</v>
      </c>
      <c r="M159" s="209"/>
      <c r="N159" s="215" t="str">
        <f t="shared" si="56"/>
        <v>Resp feb 21 Porc</v>
      </c>
      <c r="O159" s="216">
        <f t="shared" si="56"/>
        <v>0.2665646986846133</v>
      </c>
      <c r="P159" s="209"/>
      <c r="Q159" s="215" t="str">
        <f t="shared" si="57"/>
        <v>Resp feb 21 Porc</v>
      </c>
      <c r="R159" s="216">
        <f t="shared" si="57"/>
        <v>0.15325787702661367</v>
      </c>
      <c r="S159" s="209"/>
      <c r="T159" s="215" t="str">
        <f t="shared" si="58"/>
        <v>Resp feb 21 Porc</v>
      </c>
      <c r="U159" s="216">
        <f t="shared" si="58"/>
        <v>8.8865096359743281E-2</v>
      </c>
      <c r="V159" s="209"/>
      <c r="W159" s="215" t="str">
        <f t="shared" si="59"/>
        <v>Resp feb 21 Porc</v>
      </c>
      <c r="X159" s="216">
        <f t="shared" si="59"/>
        <v>1.5295197308045277E-2</v>
      </c>
      <c r="Y159" s="209"/>
      <c r="Z159" s="215" t="str">
        <f t="shared" si="60"/>
        <v>Resp feb 21 Porc</v>
      </c>
      <c r="AA159" s="216">
        <f t="shared" si="60"/>
        <v>0</v>
      </c>
      <c r="AB159" s="196"/>
      <c r="AC159" s="204"/>
      <c r="AD159" s="204"/>
      <c r="AE159" s="196"/>
      <c r="AF159" s="31"/>
      <c r="AG159" s="31"/>
      <c r="AH159" s="175"/>
      <c r="AI159" s="176"/>
      <c r="AJ159" s="89"/>
      <c r="AK159" s="89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</row>
    <row r="160" spans="1:49" ht="16.5" thickBot="1">
      <c r="A160" s="167"/>
      <c r="B160" s="203"/>
      <c r="C160" s="203"/>
      <c r="D160" s="203"/>
      <c r="E160" s="212"/>
      <c r="F160" s="888"/>
      <c r="G160" s="724"/>
      <c r="H160" s="212"/>
      <c r="I160" s="212"/>
      <c r="J160" s="196"/>
      <c r="K160" s="212"/>
      <c r="L160" s="212"/>
      <c r="M160" s="196"/>
      <c r="N160" s="212"/>
      <c r="O160" s="212"/>
      <c r="P160" s="196"/>
      <c r="Q160" s="212"/>
      <c r="R160" s="212"/>
      <c r="S160" s="196"/>
      <c r="T160" s="212"/>
      <c r="U160" s="212"/>
      <c r="V160" s="196"/>
      <c r="W160" s="212"/>
      <c r="X160" s="212"/>
      <c r="Y160" s="196"/>
      <c r="Z160" s="212"/>
      <c r="AA160" s="212"/>
      <c r="AB160" s="196"/>
      <c r="AC160" s="204"/>
      <c r="AD160" s="204"/>
      <c r="AE160" s="196"/>
      <c r="AF160" s="31"/>
      <c r="AG160" s="31"/>
      <c r="AH160" s="175"/>
      <c r="AI160" s="176"/>
      <c r="AJ160" s="89"/>
      <c r="AK160" s="89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</row>
    <row r="161" spans="1:49">
      <c r="A161" s="167"/>
      <c r="B161" s="203"/>
      <c r="C161" s="203"/>
      <c r="D161" s="203"/>
      <c r="E161" s="217" t="str">
        <f t="shared" ref="E161:F161" si="62">E225</f>
        <v>Aum resp a enero 21</v>
      </c>
      <c r="F161" s="891">
        <f t="shared" si="62"/>
        <v>25574.999999999996</v>
      </c>
      <c r="G161" s="724"/>
      <c r="H161" s="217" t="str">
        <f t="shared" si="54"/>
        <v>Aum resp a enero 21</v>
      </c>
      <c r="I161" s="891">
        <f t="shared" si="54"/>
        <v>22899.999999999996</v>
      </c>
      <c r="J161" s="209"/>
      <c r="K161" s="217" t="str">
        <f t="shared" si="55"/>
        <v>Aum Acum anual</v>
      </c>
      <c r="L161" s="891">
        <f t="shared" si="55"/>
        <v>19545.999999999996</v>
      </c>
      <c r="M161" s="209"/>
      <c r="N161" s="217" t="str">
        <f t="shared" si="56"/>
        <v>Aum Acum anual</v>
      </c>
      <c r="O161" s="218">
        <f t="shared" si="56"/>
        <v>16539.000000000004</v>
      </c>
      <c r="P161" s="209"/>
      <c r="Q161" s="217" t="str">
        <f t="shared" si="57"/>
        <v>Aum Acum anual</v>
      </c>
      <c r="R161" s="218">
        <f t="shared" si="57"/>
        <v>12834.999999999996</v>
      </c>
      <c r="S161" s="209"/>
      <c r="T161" s="217" t="str">
        <f t="shared" si="58"/>
        <v>Aum Acum anual</v>
      </c>
      <c r="U161" s="218">
        <f t="shared" si="58"/>
        <v>10730.000000000004</v>
      </c>
      <c r="V161" s="209"/>
      <c r="W161" s="217" t="str">
        <f t="shared" si="59"/>
        <v>Aum Acum anual</v>
      </c>
      <c r="X161" s="218">
        <f t="shared" si="59"/>
        <v>8324.9999999999964</v>
      </c>
      <c r="Y161" s="209"/>
      <c r="Z161" s="217" t="str">
        <f t="shared" si="60"/>
        <v>Aum Acum anual</v>
      </c>
      <c r="AA161" s="218">
        <f t="shared" si="60"/>
        <v>7824.9999999999964</v>
      </c>
      <c r="AB161" s="196"/>
      <c r="AC161" s="204"/>
      <c r="AD161" s="204"/>
      <c r="AE161" s="196"/>
      <c r="AF161" s="31"/>
      <c r="AG161" s="31"/>
      <c r="AH161" s="175"/>
      <c r="AI161" s="176"/>
      <c r="AJ161" s="89"/>
      <c r="AK161" s="89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</row>
    <row r="162" spans="1:49" ht="16.5" thickBot="1">
      <c r="A162" s="167"/>
      <c r="B162" s="203"/>
      <c r="C162" s="203"/>
      <c r="D162" s="203"/>
      <c r="E162" s="219" t="str">
        <f t="shared" ref="E162:F162" si="63">E226</f>
        <v>Aum Acum anual Porc</v>
      </c>
      <c r="F162" s="892">
        <f t="shared" si="63"/>
        <v>1.0285541926402575</v>
      </c>
      <c r="G162" s="724"/>
      <c r="H162" s="219" t="str">
        <f t="shared" si="54"/>
        <v>Aum Acum anual Porc</v>
      </c>
      <c r="I162" s="220">
        <f t="shared" si="54"/>
        <v>0.92097325558013265</v>
      </c>
      <c r="J162" s="209"/>
      <c r="K162" s="219" t="str">
        <f t="shared" si="55"/>
        <v>Aum Acum anual Porc</v>
      </c>
      <c r="L162" s="220">
        <f t="shared" si="55"/>
        <v>0.78608485823446606</v>
      </c>
      <c r="M162" s="209"/>
      <c r="N162" s="219" t="str">
        <f t="shared" si="56"/>
        <v>Aum Acum anual Porc</v>
      </c>
      <c r="O162" s="220">
        <f t="shared" si="56"/>
        <v>0.66515181982706639</v>
      </c>
      <c r="P162" s="209"/>
      <c r="Q162" s="219" t="str">
        <f t="shared" si="57"/>
        <v>Aum Acum anual Porc</v>
      </c>
      <c r="R162" s="220">
        <f t="shared" si="57"/>
        <v>0.51618741202493457</v>
      </c>
      <c r="S162" s="209"/>
      <c r="T162" s="219" t="str">
        <f t="shared" si="58"/>
        <v>Aum Acum anual Porc</v>
      </c>
      <c r="U162" s="220">
        <f t="shared" si="58"/>
        <v>0.43153026342248163</v>
      </c>
      <c r="V162" s="209"/>
      <c r="W162" s="219" t="str">
        <f t="shared" si="59"/>
        <v>Aum Acum anual Porc</v>
      </c>
      <c r="X162" s="220">
        <f t="shared" si="59"/>
        <v>0.33480796300020099</v>
      </c>
      <c r="Y162" s="209"/>
      <c r="Z162" s="219" t="str">
        <f t="shared" si="60"/>
        <v>Aum Acum anual Porc</v>
      </c>
      <c r="AA162" s="220">
        <f t="shared" si="60"/>
        <v>0.31469937663382253</v>
      </c>
      <c r="AB162" s="196"/>
      <c r="AC162" s="204"/>
      <c r="AD162" s="204"/>
      <c r="AE162" s="196"/>
      <c r="AF162" s="31"/>
      <c r="AG162" s="31"/>
      <c r="AH162" s="175"/>
      <c r="AI162" s="176"/>
      <c r="AJ162" s="89"/>
      <c r="AK162" s="89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</row>
    <row r="163" spans="1:49" ht="16.5" thickBot="1">
      <c r="A163" s="167"/>
      <c r="B163" s="203"/>
      <c r="C163" s="203"/>
      <c r="D163" s="203"/>
      <c r="E163" s="458"/>
      <c r="F163" s="458"/>
      <c r="G163" s="724"/>
      <c r="H163" s="204"/>
      <c r="I163" s="204"/>
      <c r="J163" s="196"/>
      <c r="K163" s="204"/>
      <c r="L163" s="204"/>
      <c r="M163" s="196"/>
      <c r="N163" s="204"/>
      <c r="O163" s="204"/>
      <c r="P163" s="196"/>
      <c r="Q163" s="204"/>
      <c r="R163" s="204"/>
      <c r="S163" s="196"/>
      <c r="T163" s="204"/>
      <c r="U163" s="204"/>
      <c r="V163" s="196"/>
      <c r="W163" s="204"/>
      <c r="X163" s="204"/>
      <c r="Y163" s="196"/>
      <c r="Z163" s="204"/>
      <c r="AA163" s="204"/>
      <c r="AB163" s="196"/>
      <c r="AC163" s="204"/>
      <c r="AD163" s="204"/>
      <c r="AE163" s="196"/>
      <c r="AF163" s="31"/>
      <c r="AG163" s="31"/>
      <c r="AH163" s="175"/>
      <c r="AI163" s="176"/>
      <c r="AJ163" s="89"/>
      <c r="AK163" s="89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</row>
    <row r="164" spans="1:49" ht="16.5" thickTop="1">
      <c r="A164" s="167"/>
      <c r="B164" s="167"/>
      <c r="C164" s="167"/>
      <c r="D164" s="167"/>
      <c r="E164" s="221" t="str">
        <f t="shared" ref="E164:F164" si="64">E228</f>
        <v>Medio Aguinaldo</v>
      </c>
      <c r="F164" s="222">
        <f t="shared" si="64"/>
        <v>0</v>
      </c>
      <c r="G164" s="724"/>
      <c r="H164" s="221" t="str">
        <f t="shared" ref="H164:H175" si="65">H228</f>
        <v>Medio Aguinaldo</v>
      </c>
      <c r="I164" s="222"/>
      <c r="J164" s="196"/>
      <c r="K164" s="221" t="str">
        <f t="shared" ref="K164:L176" si="66">K228</f>
        <v>Medio Aguinaldo</v>
      </c>
      <c r="L164" s="222"/>
      <c r="M164" s="196"/>
      <c r="N164" s="221" t="str">
        <f t="shared" ref="N164:O176" si="67">N228</f>
        <v>Medio Aguinaldo</v>
      </c>
      <c r="O164" s="222"/>
      <c r="P164" s="196"/>
      <c r="Q164" s="221" t="str">
        <f t="shared" ref="Q164:R176" si="68">Q228</f>
        <v>Medio Aguinaldo</v>
      </c>
      <c r="R164" s="222"/>
      <c r="S164" s="196"/>
      <c r="T164" s="221" t="str">
        <f t="shared" ref="T164:U176" si="69">T228</f>
        <v>Medio Aguinaldo</v>
      </c>
      <c r="U164" s="222"/>
      <c r="V164" s="196"/>
      <c r="W164" s="221" t="str">
        <f t="shared" ref="W164:X176" si="70">W228</f>
        <v>Medio Aguinaldo</v>
      </c>
      <c r="X164" s="222">
        <f t="shared" si="70"/>
        <v>0</v>
      </c>
      <c r="Y164" s="196"/>
      <c r="Z164" s="221" t="str">
        <f t="shared" ref="Z164:AA176" si="71">Z228</f>
        <v>Medio Aguinaldo</v>
      </c>
      <c r="AA164" s="222">
        <f t="shared" si="71"/>
        <v>0</v>
      </c>
      <c r="AB164" s="196"/>
      <c r="AC164" s="221" t="str">
        <f t="shared" ref="AC164:AD176" si="72">AC228</f>
        <v>Medio Aguinaldo</v>
      </c>
      <c r="AD164" s="222">
        <f t="shared" si="72"/>
        <v>0</v>
      </c>
      <c r="AE164" s="196"/>
      <c r="AF164" s="31"/>
      <c r="AG164" s="31"/>
      <c r="AH164" s="175"/>
      <c r="AI164" s="176"/>
      <c r="AJ164" s="89"/>
      <c r="AK164" s="89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</row>
    <row r="165" spans="1:49">
      <c r="A165" s="167"/>
      <c r="B165" s="167"/>
      <c r="C165" s="167"/>
      <c r="D165" s="167"/>
      <c r="E165" s="223" t="str">
        <f t="shared" ref="E165:F165" si="73">E229</f>
        <v>código 100</v>
      </c>
      <c r="F165" s="814">
        <f t="shared" si="73"/>
        <v>27999.999999999996</v>
      </c>
      <c r="G165" s="724"/>
      <c r="H165" s="223" t="str">
        <f t="shared" si="65"/>
        <v>código 100</v>
      </c>
      <c r="I165" s="814">
        <f t="shared" ref="I165:I176" si="74">I229</f>
        <v>26545.398009950244</v>
      </c>
      <c r="J165" s="196"/>
      <c r="K165" s="223" t="str">
        <f t="shared" si="66"/>
        <v>código 100</v>
      </c>
      <c r="L165" s="814">
        <f t="shared" si="66"/>
        <v>25236.940298507459</v>
      </c>
      <c r="M165" s="196"/>
      <c r="N165" s="223" t="str">
        <f t="shared" si="67"/>
        <v>código 100</v>
      </c>
      <c r="O165" s="224">
        <f t="shared" si="67"/>
        <v>23366.915422885573</v>
      </c>
      <c r="P165" s="196"/>
      <c r="Q165" s="223" t="str">
        <f t="shared" si="68"/>
        <v>código 100</v>
      </c>
      <c r="R165" s="224">
        <f t="shared" si="68"/>
        <v>21498.75621890547</v>
      </c>
      <c r="S165" s="196"/>
      <c r="T165" s="223" t="str">
        <f t="shared" si="69"/>
        <v>código 100</v>
      </c>
      <c r="U165" s="224">
        <f t="shared" si="69"/>
        <v>20189.676616915422</v>
      </c>
      <c r="V165" s="196"/>
      <c r="W165" s="223" t="str">
        <f t="shared" si="70"/>
        <v>código 100</v>
      </c>
      <c r="X165" s="224">
        <f t="shared" si="70"/>
        <v>18694.029850746265</v>
      </c>
      <c r="Y165" s="196"/>
      <c r="Z165" s="223" t="str">
        <f t="shared" si="71"/>
        <v>código 100</v>
      </c>
      <c r="AA165" s="224">
        <f t="shared" si="71"/>
        <v>18694.029850746265</v>
      </c>
      <c r="AB165" s="196"/>
      <c r="AC165" s="223" t="str">
        <f t="shared" si="72"/>
        <v>código 100</v>
      </c>
      <c r="AD165" s="224">
        <f t="shared" si="72"/>
        <v>13827.736318407959</v>
      </c>
      <c r="AE165" s="196"/>
      <c r="AF165" s="31"/>
      <c r="AG165" s="31"/>
      <c r="AH165" s="175"/>
      <c r="AI165" s="176"/>
      <c r="AJ165" s="89"/>
      <c r="AK165" s="89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</row>
    <row r="166" spans="1:49">
      <c r="A166" s="167"/>
      <c r="B166" s="167"/>
      <c r="C166" s="167"/>
      <c r="D166" s="167"/>
      <c r="E166" s="223" t="str">
        <f t="shared" ref="E166:F166" si="75">E230</f>
        <v>código 186 (No remun)</v>
      </c>
      <c r="F166" s="224">
        <f t="shared" si="75"/>
        <v>0</v>
      </c>
      <c r="G166" s="724"/>
      <c r="H166" s="223" t="str">
        <f t="shared" si="65"/>
        <v>código 186 (No remun)</v>
      </c>
      <c r="I166" s="224">
        <f t="shared" si="74"/>
        <v>0</v>
      </c>
      <c r="J166" s="196"/>
      <c r="K166" s="223" t="str">
        <f t="shared" si="66"/>
        <v>código 186 (No remun)</v>
      </c>
      <c r="L166" s="224">
        <f t="shared" si="66"/>
        <v>0</v>
      </c>
      <c r="M166" s="196"/>
      <c r="N166" s="223" t="str">
        <f t="shared" si="67"/>
        <v>código 186 (No remun)</v>
      </c>
      <c r="O166" s="224">
        <f t="shared" si="67"/>
        <v>0</v>
      </c>
      <c r="P166" s="196"/>
      <c r="Q166" s="223" t="str">
        <f t="shared" si="68"/>
        <v>código 186 (No remun)</v>
      </c>
      <c r="R166" s="224">
        <f t="shared" si="68"/>
        <v>0</v>
      </c>
      <c r="S166" s="196"/>
      <c r="T166" s="223" t="str">
        <f t="shared" si="69"/>
        <v>código 186 (No remun)</v>
      </c>
      <c r="U166" s="224">
        <f t="shared" si="69"/>
        <v>0</v>
      </c>
      <c r="V166" s="196"/>
      <c r="W166" s="223" t="str">
        <f t="shared" si="70"/>
        <v>código 186 (No remun)</v>
      </c>
      <c r="X166" s="224">
        <f t="shared" si="70"/>
        <v>0</v>
      </c>
      <c r="Y166" s="196"/>
      <c r="Z166" s="223" t="str">
        <f t="shared" si="71"/>
        <v>código 186 (No remun)</v>
      </c>
      <c r="AA166" s="224">
        <f t="shared" si="71"/>
        <v>0</v>
      </c>
      <c r="AB166" s="196"/>
      <c r="AC166" s="223" t="str">
        <f t="shared" si="72"/>
        <v>código 186 (No remun)</v>
      </c>
      <c r="AD166" s="224">
        <f t="shared" si="72"/>
        <v>0</v>
      </c>
      <c r="AE166" s="196"/>
      <c r="AF166" s="31"/>
      <c r="AG166" s="31"/>
      <c r="AH166" s="175"/>
      <c r="AI166" s="176"/>
      <c r="AJ166" s="89"/>
      <c r="AK166" s="89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</row>
    <row r="167" spans="1:49">
      <c r="A167" s="167"/>
      <c r="B167" s="167"/>
      <c r="C167" s="167"/>
      <c r="D167" s="167"/>
      <c r="E167" s="223" t="str">
        <f t="shared" ref="E167:F167" si="76">E231</f>
        <v>Líquido</v>
      </c>
      <c r="F167" s="224">
        <f t="shared" si="76"/>
        <v>22512</v>
      </c>
      <c r="G167" s="724"/>
      <c r="H167" s="223" t="str">
        <f t="shared" si="65"/>
        <v>Líquido</v>
      </c>
      <c r="I167" s="224">
        <f t="shared" si="74"/>
        <v>21342.499999999996</v>
      </c>
      <c r="J167" s="196"/>
      <c r="K167" s="223" t="str">
        <f t="shared" si="66"/>
        <v>Líquido</v>
      </c>
      <c r="L167" s="224">
        <f t="shared" si="66"/>
        <v>20290.5</v>
      </c>
      <c r="M167" s="196"/>
      <c r="N167" s="223" t="str">
        <f t="shared" si="67"/>
        <v>Líquido</v>
      </c>
      <c r="O167" s="224">
        <f t="shared" si="67"/>
        <v>18787.000000000004</v>
      </c>
      <c r="P167" s="196"/>
      <c r="Q167" s="223" t="str">
        <f t="shared" si="68"/>
        <v>Líquido</v>
      </c>
      <c r="R167" s="224">
        <f t="shared" si="68"/>
        <v>17285</v>
      </c>
      <c r="S167" s="196"/>
      <c r="T167" s="223" t="str">
        <f t="shared" si="69"/>
        <v>Líquido</v>
      </c>
      <c r="U167" s="224">
        <f t="shared" si="69"/>
        <v>16232.5</v>
      </c>
      <c r="V167" s="196"/>
      <c r="W167" s="223" t="str">
        <f t="shared" si="70"/>
        <v>Líquido</v>
      </c>
      <c r="X167" s="224">
        <f t="shared" si="70"/>
        <v>15029.999999999998</v>
      </c>
      <c r="Y167" s="196"/>
      <c r="Z167" s="223" t="str">
        <f t="shared" si="71"/>
        <v>Líquido</v>
      </c>
      <c r="AA167" s="224">
        <f t="shared" si="71"/>
        <v>15029.999999999998</v>
      </c>
      <c r="AB167" s="196"/>
      <c r="AC167" s="223" t="str">
        <f t="shared" si="72"/>
        <v>Líquido</v>
      </c>
      <c r="AD167" s="224">
        <f t="shared" si="72"/>
        <v>11117.5</v>
      </c>
      <c r="AE167" s="196"/>
      <c r="AF167" s="31"/>
      <c r="AG167" s="31"/>
      <c r="AH167" s="175"/>
      <c r="AI167" s="176"/>
      <c r="AJ167" s="89"/>
      <c r="AK167" s="89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</row>
    <row r="168" spans="1:49">
      <c r="A168" s="167"/>
      <c r="B168" s="167"/>
      <c r="C168" s="167"/>
      <c r="D168" s="167"/>
      <c r="E168" s="223" t="str">
        <f t="shared" ref="E168" si="77">E232</f>
        <v>Descuentos con aguinaldo</v>
      </c>
      <c r="F168" s="224"/>
      <c r="G168" s="724"/>
      <c r="H168" s="223" t="str">
        <f t="shared" si="65"/>
        <v>Descuentos con aguinaldo</v>
      </c>
      <c r="I168" s="224"/>
      <c r="J168" s="196"/>
      <c r="K168" s="223" t="str">
        <f t="shared" si="66"/>
        <v>Descuentos con aguinaldo</v>
      </c>
      <c r="L168" s="224"/>
      <c r="M168" s="196"/>
      <c r="N168" s="223" t="str">
        <f t="shared" si="67"/>
        <v>Descuentos con aguinaldo</v>
      </c>
      <c r="O168" s="224"/>
      <c r="P168" s="196"/>
      <c r="Q168" s="223" t="str">
        <f t="shared" si="68"/>
        <v>Descuentos con aguinaldo</v>
      </c>
      <c r="R168" s="224"/>
      <c r="S168" s="196"/>
      <c r="T168" s="223" t="str">
        <f t="shared" si="69"/>
        <v>Descuentos con aguinaldo</v>
      </c>
      <c r="U168" s="224"/>
      <c r="V168" s="196"/>
      <c r="W168" s="223" t="str">
        <f t="shared" si="70"/>
        <v>Descuentos con aguinaldo</v>
      </c>
      <c r="X168" s="224">
        <f t="shared" si="70"/>
        <v>0</v>
      </c>
      <c r="Y168" s="196"/>
      <c r="Z168" s="223" t="str">
        <f t="shared" si="71"/>
        <v>Descuentos con aguinaldo</v>
      </c>
      <c r="AA168" s="224">
        <f t="shared" si="71"/>
        <v>0</v>
      </c>
      <c r="AB168" s="196"/>
      <c r="AC168" s="223" t="str">
        <f t="shared" si="72"/>
        <v>Descuentos con aguinaldo</v>
      </c>
      <c r="AD168" s="224">
        <f t="shared" si="72"/>
        <v>0</v>
      </c>
      <c r="AE168" s="196"/>
      <c r="AF168" s="31"/>
      <c r="AG168" s="31"/>
      <c r="AH168" s="175"/>
      <c r="AI168" s="176"/>
      <c r="AJ168" s="89"/>
      <c r="AK168" s="89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</row>
    <row r="169" spans="1:49">
      <c r="A169" s="167"/>
      <c r="B169" s="167"/>
      <c r="C169" s="167"/>
      <c r="D169" s="167"/>
      <c r="E169" s="223">
        <f t="shared" ref="E169:F169" si="78">E233</f>
        <v>502</v>
      </c>
      <c r="F169" s="224">
        <f t="shared" si="78"/>
        <v>-13002.528663650928</v>
      </c>
      <c r="G169" s="724"/>
      <c r="H169" s="223">
        <f t="shared" si="65"/>
        <v>502</v>
      </c>
      <c r="I169" s="224">
        <f t="shared" si="74"/>
        <v>-12741.791044776119</v>
      </c>
      <c r="J169" s="196"/>
      <c r="K169" s="223">
        <f t="shared" si="66"/>
        <v>502</v>
      </c>
      <c r="L169" s="224">
        <f t="shared" si="66"/>
        <v>-12113.731343283582</v>
      </c>
      <c r="M169" s="196"/>
      <c r="N169" s="223">
        <f t="shared" si="67"/>
        <v>502</v>
      </c>
      <c r="O169" s="224">
        <f t="shared" si="67"/>
        <v>-11216.119402985074</v>
      </c>
      <c r="P169" s="196"/>
      <c r="Q169" s="223">
        <f t="shared" si="68"/>
        <v>502</v>
      </c>
      <c r="R169" s="224">
        <f t="shared" si="68"/>
        <v>-10319.402985074626</v>
      </c>
      <c r="S169" s="196"/>
      <c r="T169" s="223">
        <f t="shared" si="69"/>
        <v>502</v>
      </c>
      <c r="U169" s="224">
        <f t="shared" si="69"/>
        <v>-9691.0447761194027</v>
      </c>
      <c r="V169" s="196"/>
      <c r="W169" s="223">
        <f t="shared" si="70"/>
        <v>502</v>
      </c>
      <c r="X169" s="224">
        <f t="shared" si="70"/>
        <v>-8973.1343283582082</v>
      </c>
      <c r="Y169" s="196"/>
      <c r="Z169" s="223">
        <f t="shared" si="71"/>
        <v>502</v>
      </c>
      <c r="AA169" s="224">
        <f t="shared" si="71"/>
        <v>-8973.1343283582082</v>
      </c>
      <c r="AB169" s="196"/>
      <c r="AC169" s="223">
        <f t="shared" si="72"/>
        <v>502</v>
      </c>
      <c r="AD169" s="224">
        <f t="shared" si="72"/>
        <v>-6637.3134328358201</v>
      </c>
      <c r="AE169" s="196"/>
      <c r="AF169" s="31"/>
      <c r="AG169" s="31"/>
      <c r="AH169" s="175"/>
      <c r="AI169" s="176"/>
      <c r="AJ169" s="89"/>
      <c r="AK169" s="89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</row>
    <row r="170" spans="1:49">
      <c r="A170" s="167"/>
      <c r="B170" s="167"/>
      <c r="C170" s="167"/>
      <c r="D170" s="167"/>
      <c r="E170" s="223">
        <f t="shared" ref="E170:F170" si="79">E234</f>
        <v>504</v>
      </c>
      <c r="F170" s="224">
        <f t="shared" si="79"/>
        <v>-487.59482488690981</v>
      </c>
      <c r="G170" s="724"/>
      <c r="H170" s="223">
        <f t="shared" si="65"/>
        <v>504</v>
      </c>
      <c r="I170" s="224">
        <f t="shared" si="74"/>
        <v>-477.81716417910445</v>
      </c>
      <c r="J170" s="196"/>
      <c r="K170" s="223">
        <f t="shared" si="66"/>
        <v>504</v>
      </c>
      <c r="L170" s="224">
        <f t="shared" si="66"/>
        <v>-454.2649253731343</v>
      </c>
      <c r="M170" s="196"/>
      <c r="N170" s="223">
        <f t="shared" si="67"/>
        <v>504</v>
      </c>
      <c r="O170" s="224">
        <f t="shared" si="67"/>
        <v>-420.6044776119403</v>
      </c>
      <c r="P170" s="196"/>
      <c r="Q170" s="223">
        <f t="shared" si="68"/>
        <v>504</v>
      </c>
      <c r="R170" s="224">
        <f t="shared" si="68"/>
        <v>-386.97761194029846</v>
      </c>
      <c r="S170" s="196"/>
      <c r="T170" s="223">
        <f t="shared" si="69"/>
        <v>504</v>
      </c>
      <c r="U170" s="224">
        <f t="shared" si="69"/>
        <v>-363.41417910447757</v>
      </c>
      <c r="V170" s="196"/>
      <c r="W170" s="223">
        <f t="shared" si="70"/>
        <v>504</v>
      </c>
      <c r="X170" s="224">
        <f t="shared" si="70"/>
        <v>-336.49253731343276</v>
      </c>
      <c r="Y170" s="196"/>
      <c r="Z170" s="223">
        <f t="shared" si="71"/>
        <v>504</v>
      </c>
      <c r="AA170" s="224">
        <f t="shared" si="71"/>
        <v>-336.49253731343276</v>
      </c>
      <c r="AB170" s="196"/>
      <c r="AC170" s="223">
        <f t="shared" si="72"/>
        <v>504</v>
      </c>
      <c r="AD170" s="224">
        <f t="shared" si="72"/>
        <v>-248.89925373134326</v>
      </c>
      <c r="AE170" s="196"/>
      <c r="AF170" s="31"/>
      <c r="AG170" s="31"/>
      <c r="AH170" s="175"/>
      <c r="AI170" s="176"/>
      <c r="AJ170" s="89"/>
      <c r="AK170" s="89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</row>
    <row r="171" spans="1:49">
      <c r="A171" s="167"/>
      <c r="B171" s="167"/>
      <c r="C171" s="167"/>
      <c r="D171" s="167"/>
      <c r="E171" s="223">
        <f t="shared" ref="E171:F171" si="80">E235</f>
        <v>505</v>
      </c>
      <c r="F171" s="224">
        <f t="shared" si="80"/>
        <v>-2437.9741244345491</v>
      </c>
      <c r="G171" s="724"/>
      <c r="H171" s="223">
        <f t="shared" si="65"/>
        <v>505</v>
      </c>
      <c r="I171" s="224">
        <f t="shared" si="74"/>
        <v>-2389.0858208955219</v>
      </c>
      <c r="J171" s="196"/>
      <c r="K171" s="223">
        <f t="shared" si="66"/>
        <v>505</v>
      </c>
      <c r="L171" s="224">
        <f t="shared" si="66"/>
        <v>-2271.3246268656712</v>
      </c>
      <c r="M171" s="196"/>
      <c r="N171" s="223">
        <f t="shared" si="67"/>
        <v>505</v>
      </c>
      <c r="O171" s="224">
        <f t="shared" si="67"/>
        <v>-2103.0223880597014</v>
      </c>
      <c r="P171" s="196"/>
      <c r="Q171" s="223">
        <f t="shared" si="68"/>
        <v>505</v>
      </c>
      <c r="R171" s="224">
        <f t="shared" si="68"/>
        <v>-1934.8880597014922</v>
      </c>
      <c r="S171" s="196"/>
      <c r="T171" s="223">
        <f t="shared" si="69"/>
        <v>505</v>
      </c>
      <c r="U171" s="224">
        <f t="shared" si="69"/>
        <v>-1817.0708955223879</v>
      </c>
      <c r="V171" s="196"/>
      <c r="W171" s="223">
        <f t="shared" si="70"/>
        <v>505</v>
      </c>
      <c r="X171" s="224">
        <f t="shared" si="70"/>
        <v>-1682.4626865671637</v>
      </c>
      <c r="Y171" s="196"/>
      <c r="Z171" s="223">
        <f t="shared" si="71"/>
        <v>505</v>
      </c>
      <c r="AA171" s="224">
        <f t="shared" si="71"/>
        <v>-1682.4626865671637</v>
      </c>
      <c r="AB171" s="196"/>
      <c r="AC171" s="223">
        <f t="shared" si="72"/>
        <v>505</v>
      </c>
      <c r="AD171" s="224">
        <f t="shared" si="72"/>
        <v>-1244.4962686567162</v>
      </c>
      <c r="AE171" s="196"/>
      <c r="AF171" s="31"/>
      <c r="AG171" s="31"/>
      <c r="AH171" s="175"/>
      <c r="AI171" s="176"/>
      <c r="AJ171" s="89"/>
      <c r="AK171" s="89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</row>
    <row r="172" spans="1:49">
      <c r="A172" s="167"/>
      <c r="B172" s="167"/>
      <c r="C172" s="167"/>
      <c r="D172" s="167"/>
      <c r="E172" s="223"/>
      <c r="F172" s="224"/>
      <c r="G172" s="724"/>
      <c r="H172" s="223"/>
      <c r="I172" s="224"/>
      <c r="J172" s="196"/>
      <c r="K172" s="223"/>
      <c r="L172" s="224"/>
      <c r="M172" s="196"/>
      <c r="N172" s="223"/>
      <c r="O172" s="224"/>
      <c r="P172" s="196"/>
      <c r="Q172" s="223"/>
      <c r="R172" s="224"/>
      <c r="S172" s="196"/>
      <c r="T172" s="223"/>
      <c r="U172" s="224"/>
      <c r="V172" s="196"/>
      <c r="W172" s="223"/>
      <c r="X172" s="224"/>
      <c r="Y172" s="196"/>
      <c r="Z172" s="223"/>
      <c r="AA172" s="224"/>
      <c r="AB172" s="196"/>
      <c r="AC172" s="223"/>
      <c r="AD172" s="224"/>
      <c r="AE172" s="196"/>
      <c r="AF172" s="31"/>
      <c r="AG172" s="31"/>
      <c r="AH172" s="175"/>
      <c r="AI172" s="176"/>
      <c r="AJ172" s="89"/>
      <c r="AK172" s="89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</row>
    <row r="173" spans="1:49">
      <c r="A173" s="167"/>
      <c r="B173" s="167"/>
      <c r="C173" s="167"/>
      <c r="D173" s="167"/>
      <c r="E173" s="223" t="str">
        <f t="shared" ref="E173" si="81">E237</f>
        <v>Sueldo líquido incluyendo aguinaldo</v>
      </c>
      <c r="F173" s="224"/>
      <c r="G173" s="724"/>
      <c r="H173" s="223" t="str">
        <f t="shared" si="65"/>
        <v>Sueldo líquido incluyendo aguinaldo</v>
      </c>
      <c r="I173" s="224"/>
      <c r="J173" s="196"/>
      <c r="K173" s="223" t="str">
        <f t="shared" si="66"/>
        <v>Sueldo líquido incluyendo aguinaldo</v>
      </c>
      <c r="L173" s="224">
        <f t="shared" si="66"/>
        <v>0</v>
      </c>
      <c r="M173" s="196"/>
      <c r="N173" s="223" t="str">
        <f t="shared" si="67"/>
        <v>Sueldo líquido incluyendo aguinaldo</v>
      </c>
      <c r="O173" s="224">
        <f t="shared" si="67"/>
        <v>0</v>
      </c>
      <c r="P173" s="196"/>
      <c r="Q173" s="223" t="str">
        <f t="shared" si="68"/>
        <v>Sueldo líquido incluyendo aguinaldo</v>
      </c>
      <c r="R173" s="224"/>
      <c r="S173" s="196"/>
      <c r="T173" s="223" t="str">
        <f t="shared" si="69"/>
        <v>Sueldo líquido incluyendo aguinaldo</v>
      </c>
      <c r="U173" s="224"/>
      <c r="V173" s="196"/>
      <c r="W173" s="223" t="str">
        <f t="shared" si="70"/>
        <v>Sueldo líquido incluyendo aguinaldo</v>
      </c>
      <c r="X173" s="224"/>
      <c r="Y173" s="196"/>
      <c r="Z173" s="223" t="str">
        <f t="shared" si="71"/>
        <v>Sueldo líquido incluyendo aguinaldo</v>
      </c>
      <c r="AA173" s="224">
        <f t="shared" si="71"/>
        <v>0</v>
      </c>
      <c r="AB173" s="196"/>
      <c r="AC173" s="223" t="str">
        <f t="shared" si="72"/>
        <v>Sueldo líquido incluyendo aguinaldo</v>
      </c>
      <c r="AD173" s="224"/>
      <c r="AE173" s="196"/>
      <c r="AF173" s="31"/>
      <c r="AG173" s="31"/>
      <c r="AH173" s="175"/>
      <c r="AI173" s="176"/>
      <c r="AJ173" s="89"/>
      <c r="AK173" s="89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</row>
    <row r="174" spans="1:49">
      <c r="A174" s="167"/>
      <c r="B174" s="167"/>
      <c r="C174" s="167"/>
      <c r="D174" s="167"/>
      <c r="E174" s="223"/>
      <c r="F174" s="225">
        <f t="shared" ref="F174" si="82">F238</f>
        <v>73151.9023870276</v>
      </c>
      <c r="G174" s="724"/>
      <c r="H174" s="223"/>
      <c r="I174" s="225">
        <f t="shared" si="74"/>
        <v>69107.5</v>
      </c>
      <c r="J174" s="196"/>
      <c r="K174" s="223">
        <f t="shared" si="66"/>
        <v>0</v>
      </c>
      <c r="L174" s="225">
        <f t="shared" si="66"/>
        <v>64701.499999999993</v>
      </c>
      <c r="M174" s="196"/>
      <c r="N174" s="223">
        <f t="shared" si="67"/>
        <v>0</v>
      </c>
      <c r="O174" s="225">
        <f t="shared" si="67"/>
        <v>60191</v>
      </c>
      <c r="P174" s="196"/>
      <c r="Q174" s="223"/>
      <c r="R174" s="225">
        <f t="shared" si="68"/>
        <v>54984.999999999985</v>
      </c>
      <c r="S174" s="196"/>
      <c r="T174" s="223"/>
      <c r="U174" s="225">
        <f t="shared" si="69"/>
        <v>51827.5</v>
      </c>
      <c r="V174" s="196"/>
      <c r="W174" s="223"/>
      <c r="X174" s="225">
        <f t="shared" si="70"/>
        <v>48219.999999999985</v>
      </c>
      <c r="Y174" s="196"/>
      <c r="Z174" s="223">
        <f t="shared" si="71"/>
        <v>0</v>
      </c>
      <c r="AA174" s="225">
        <f t="shared" si="71"/>
        <v>47719.999999999985</v>
      </c>
      <c r="AB174" s="196"/>
      <c r="AC174" s="223"/>
      <c r="AD174" s="225">
        <f t="shared" si="72"/>
        <v>35982.499999999993</v>
      </c>
      <c r="AE174" s="196"/>
      <c r="AF174" s="31"/>
      <c r="AG174" s="31"/>
      <c r="AH174" s="175"/>
      <c r="AI174" s="176"/>
      <c r="AJ174" s="89"/>
      <c r="AK174" s="89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</row>
    <row r="175" spans="1:49">
      <c r="A175" s="167"/>
      <c r="B175" s="167"/>
      <c r="C175" s="167"/>
      <c r="D175" s="167"/>
      <c r="E175" s="938" t="str">
        <f t="shared" ref="E175" si="83">E239</f>
        <v>Aguinaldo de bolsillo</v>
      </c>
      <c r="F175" s="939"/>
      <c r="G175" s="940"/>
      <c r="H175" s="938" t="str">
        <f t="shared" si="65"/>
        <v>Aguinaldo de bolsillo</v>
      </c>
      <c r="I175" s="939"/>
      <c r="J175" s="941"/>
      <c r="K175" s="938" t="str">
        <f t="shared" si="66"/>
        <v>Aguinaldo de bolsillo</v>
      </c>
      <c r="L175" s="939"/>
      <c r="M175" s="941"/>
      <c r="N175" s="938" t="str">
        <f t="shared" si="67"/>
        <v>Aguinaldo de bolsillo</v>
      </c>
      <c r="O175" s="224"/>
      <c r="P175" s="196"/>
      <c r="Q175" s="938" t="str">
        <f t="shared" si="68"/>
        <v>Aguinaldo de bolsillo</v>
      </c>
      <c r="R175" s="939"/>
      <c r="S175" s="941"/>
      <c r="T175" s="938" t="str">
        <f t="shared" si="69"/>
        <v>Aguinaldo de bolsillo</v>
      </c>
      <c r="U175" s="224"/>
      <c r="V175" s="196"/>
      <c r="W175" s="938" t="str">
        <f t="shared" si="70"/>
        <v>Aguinaldo de bolsillo</v>
      </c>
      <c r="X175" s="939"/>
      <c r="Y175" s="941"/>
      <c r="Z175" s="938" t="str">
        <f t="shared" si="71"/>
        <v>Aguinaldo de bolsillo</v>
      </c>
      <c r="AA175" s="939"/>
      <c r="AB175" s="941"/>
      <c r="AC175" s="938" t="str">
        <f t="shared" si="72"/>
        <v>Aguinaldo de bolsillo</v>
      </c>
      <c r="AD175" s="224"/>
      <c r="AE175" s="196"/>
      <c r="AF175" s="31"/>
      <c r="AG175" s="31"/>
      <c r="AH175" s="175"/>
      <c r="AI175" s="176"/>
      <c r="AJ175" s="89"/>
      <c r="AK175" s="89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</row>
    <row r="176" spans="1:49" ht="16.5" thickBot="1">
      <c r="A176" s="167"/>
      <c r="B176" s="167"/>
      <c r="C176" s="167"/>
      <c r="D176" s="167"/>
      <c r="E176" s="226"/>
      <c r="F176" s="227">
        <f t="shared" ref="F176" si="84">F240</f>
        <v>22711.902387027607</v>
      </c>
      <c r="G176" s="724"/>
      <c r="H176" s="226"/>
      <c r="I176" s="227">
        <f t="shared" si="74"/>
        <v>21342.500000000007</v>
      </c>
      <c r="J176" s="196"/>
      <c r="K176" s="226"/>
      <c r="L176" s="227">
        <f t="shared" si="66"/>
        <v>20290.5</v>
      </c>
      <c r="M176" s="196"/>
      <c r="N176" s="226"/>
      <c r="O176" s="227">
        <f t="shared" si="67"/>
        <v>18787</v>
      </c>
      <c r="P176" s="196"/>
      <c r="Q176" s="226"/>
      <c r="R176" s="227">
        <f t="shared" si="68"/>
        <v>17284.999999999993</v>
      </c>
      <c r="S176" s="196"/>
      <c r="T176" s="226"/>
      <c r="U176" s="227">
        <f t="shared" si="69"/>
        <v>16232.5</v>
      </c>
      <c r="V176" s="196"/>
      <c r="W176" s="226"/>
      <c r="X176" s="227">
        <f t="shared" si="70"/>
        <v>15029.999999999993</v>
      </c>
      <c r="Y176" s="196"/>
      <c r="Z176" s="226"/>
      <c r="AA176" s="227">
        <f t="shared" si="71"/>
        <v>15029.999999999993</v>
      </c>
      <c r="AB176" s="196"/>
      <c r="AC176" s="226"/>
      <c r="AD176" s="227">
        <f t="shared" si="72"/>
        <v>11117.499999999996</v>
      </c>
      <c r="AE176" s="196"/>
      <c r="AF176" s="31"/>
      <c r="AG176" s="31"/>
      <c r="AH176" s="175"/>
      <c r="AI176" s="176"/>
      <c r="AJ176" s="89"/>
      <c r="AK176" s="89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</row>
    <row r="177" spans="1:49" ht="16.5" thickTop="1">
      <c r="A177" s="167"/>
      <c r="B177" s="203"/>
      <c r="C177" s="203"/>
      <c r="D177" s="203"/>
      <c r="E177" s="203"/>
      <c r="F177" s="203"/>
      <c r="G177" s="724"/>
      <c r="H177" s="204"/>
      <c r="I177" s="204"/>
      <c r="J177" s="196"/>
      <c r="K177" s="204"/>
      <c r="L177" s="204"/>
      <c r="M177" s="196"/>
      <c r="N177" s="204"/>
      <c r="O177" s="204"/>
      <c r="P177" s="196"/>
      <c r="Q177" s="204"/>
      <c r="R177" s="204"/>
      <c r="S177" s="196"/>
      <c r="T177" s="204"/>
      <c r="U177" s="204"/>
      <c r="V177" s="196"/>
      <c r="W177" s="204"/>
      <c r="X177" s="204"/>
      <c r="Y177" s="196"/>
      <c r="Z177" s="204"/>
      <c r="AA177" s="204"/>
      <c r="AB177" s="196"/>
      <c r="AC177" s="204"/>
      <c r="AD177" s="204">
        <f>AD241</f>
        <v>0</v>
      </c>
      <c r="AE177" s="196"/>
      <c r="AF177" s="31"/>
      <c r="AG177" s="31"/>
      <c r="AH177" s="175"/>
      <c r="AI177" s="176"/>
      <c r="AJ177" s="89"/>
      <c r="AK177" s="89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</row>
    <row r="178" spans="1:49" hidden="1">
      <c r="A178" s="167"/>
      <c r="B178" s="167"/>
      <c r="C178" s="167"/>
      <c r="D178" s="89"/>
      <c r="E178" s="167"/>
      <c r="F178" s="167"/>
      <c r="G178" s="725"/>
      <c r="H178" s="228"/>
      <c r="I178" s="229"/>
      <c r="J178" s="89"/>
      <c r="K178" s="228"/>
      <c r="L178" s="229"/>
      <c r="M178" s="171"/>
      <c r="N178" s="8"/>
      <c r="O178" s="229"/>
      <c r="P178" s="171"/>
      <c r="Q178" s="228"/>
      <c r="R178" s="229"/>
      <c r="S178" s="171"/>
      <c r="T178" s="228"/>
      <c r="U178" s="229"/>
      <c r="V178" s="171"/>
      <c r="W178" s="230"/>
      <c r="X178" s="231"/>
      <c r="Y178" s="171"/>
      <c r="Z178" s="232"/>
      <c r="AA178" s="233"/>
      <c r="AB178" s="171"/>
      <c r="AC178" s="234"/>
      <c r="AD178" s="235"/>
      <c r="AE178" s="171"/>
      <c r="AF178" s="31"/>
      <c r="AG178" s="31"/>
      <c r="AH178" s="175"/>
      <c r="AI178" s="176"/>
      <c r="AJ178" s="89"/>
      <c r="AK178" s="89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</row>
    <row r="179" spans="1:49" hidden="1">
      <c r="A179" s="167"/>
      <c r="B179" s="167"/>
      <c r="C179" s="167"/>
      <c r="D179" s="89"/>
      <c r="E179" s="167"/>
      <c r="F179" s="167"/>
      <c r="G179" s="725"/>
      <c r="H179" s="228"/>
      <c r="I179" s="229"/>
      <c r="J179" s="89"/>
      <c r="K179" s="228"/>
      <c r="L179" s="229"/>
      <c r="M179" s="171"/>
      <c r="N179" s="8"/>
      <c r="O179" s="229"/>
      <c r="P179" s="171"/>
      <c r="Q179" s="228"/>
      <c r="R179" s="229"/>
      <c r="S179" s="171"/>
      <c r="T179" s="228"/>
      <c r="U179" s="229"/>
      <c r="V179" s="171"/>
      <c r="W179" s="230"/>
      <c r="X179" s="231"/>
      <c r="Y179" s="171"/>
      <c r="Z179" s="232"/>
      <c r="AA179" s="233"/>
      <c r="AB179" s="171"/>
      <c r="AC179" s="234"/>
      <c r="AD179" s="235"/>
      <c r="AE179" s="171"/>
      <c r="AF179" s="31"/>
      <c r="AG179" s="31"/>
      <c r="AH179" s="175"/>
      <c r="AI179" s="176"/>
      <c r="AJ179" s="89"/>
      <c r="AK179" s="89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</row>
    <row r="180" spans="1:49" hidden="1">
      <c r="A180" s="167"/>
      <c r="B180" s="167"/>
      <c r="C180" s="167"/>
      <c r="D180" s="89"/>
      <c r="E180" s="167"/>
      <c r="F180" s="167"/>
      <c r="G180" s="725"/>
      <c r="H180" s="228"/>
      <c r="I180" s="229"/>
      <c r="J180" s="89"/>
      <c r="K180" s="228"/>
      <c r="L180" s="229"/>
      <c r="M180" s="171"/>
      <c r="N180" s="8"/>
      <c r="O180" s="229"/>
      <c r="P180" s="171"/>
      <c r="Q180" s="228"/>
      <c r="R180" s="229"/>
      <c r="S180" s="171"/>
      <c r="T180" s="228"/>
      <c r="U180" s="229"/>
      <c r="V180" s="171"/>
      <c r="W180" s="230"/>
      <c r="X180" s="231"/>
      <c r="Y180" s="171"/>
      <c r="Z180" s="232"/>
      <c r="AA180" s="233"/>
      <c r="AB180" s="171"/>
      <c r="AC180" s="234"/>
      <c r="AD180" s="235"/>
      <c r="AE180" s="171"/>
      <c r="AF180" s="31"/>
      <c r="AG180" s="31"/>
      <c r="AH180" s="175"/>
      <c r="AI180" s="176"/>
      <c r="AJ180" s="89"/>
      <c r="AK180" s="89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</row>
    <row r="181" spans="1:49" hidden="1">
      <c r="A181" s="167"/>
      <c r="B181" s="167"/>
      <c r="C181" s="167"/>
      <c r="D181" s="89"/>
      <c r="E181" s="167"/>
      <c r="F181" s="167"/>
      <c r="G181" s="725"/>
      <c r="H181" s="228"/>
      <c r="I181" s="229"/>
      <c r="J181" s="89"/>
      <c r="K181" s="228"/>
      <c r="L181" s="229"/>
      <c r="M181" s="171"/>
      <c r="N181" s="8"/>
      <c r="O181" s="229"/>
      <c r="P181" s="171"/>
      <c r="Q181" s="228"/>
      <c r="R181" s="229"/>
      <c r="S181" s="171"/>
      <c r="T181" s="228"/>
      <c r="U181" s="229"/>
      <c r="V181" s="171"/>
      <c r="W181" s="230"/>
      <c r="X181" s="231"/>
      <c r="Y181" s="171"/>
      <c r="Z181" s="232"/>
      <c r="AA181" s="233"/>
      <c r="AB181" s="171"/>
      <c r="AC181" s="234"/>
      <c r="AD181" s="235"/>
      <c r="AE181" s="171"/>
      <c r="AF181" s="31"/>
      <c r="AG181" s="31"/>
      <c r="AH181" s="175"/>
      <c r="AI181" s="176"/>
      <c r="AJ181" s="89"/>
      <c r="AK181" s="89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</row>
    <row r="182" spans="1:49" ht="18" hidden="1">
      <c r="A182" s="167"/>
      <c r="B182" s="167"/>
      <c r="C182" s="167"/>
      <c r="D182" s="89"/>
      <c r="E182" s="806">
        <v>44562</v>
      </c>
      <c r="F182" s="807">
        <v>8.8999999999999996E-2</v>
      </c>
      <c r="G182" s="725"/>
      <c r="H182" s="228">
        <v>44916</v>
      </c>
      <c r="I182" s="229">
        <v>7.0000000000000007E-2</v>
      </c>
      <c r="J182" s="89"/>
      <c r="K182" s="228">
        <v>44855</v>
      </c>
      <c r="L182" s="229">
        <v>0.1</v>
      </c>
      <c r="M182" s="171"/>
      <c r="N182" s="8" t="s">
        <v>0</v>
      </c>
      <c r="O182" s="229">
        <v>0.1</v>
      </c>
      <c r="P182" s="171"/>
      <c r="Q182" s="228">
        <v>44763</v>
      </c>
      <c r="R182" s="229">
        <v>7.0000000000000007E-2</v>
      </c>
      <c r="S182" s="171"/>
      <c r="T182" s="228">
        <v>44702</v>
      </c>
      <c r="U182" s="229">
        <v>0.08</v>
      </c>
      <c r="V182" s="171"/>
      <c r="W182" s="230">
        <v>44641</v>
      </c>
      <c r="X182" s="231"/>
      <c r="Y182" s="171"/>
      <c r="Z182" s="232">
        <v>44228</v>
      </c>
      <c r="AA182" s="233"/>
      <c r="AB182" s="171"/>
      <c r="AC182" s="234">
        <v>43891</v>
      </c>
      <c r="AD182" s="235"/>
      <c r="AE182" s="171"/>
      <c r="AF182" s="31"/>
      <c r="AG182" s="31"/>
      <c r="AH182" s="175"/>
      <c r="AI182" s="176"/>
      <c r="AJ182" s="89"/>
      <c r="AK182" s="89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</row>
    <row r="183" spans="1:49" ht="12.75" hidden="1">
      <c r="A183" s="13"/>
      <c r="B183" s="137" t="s">
        <v>73</v>
      </c>
      <c r="C183" s="138" t="s">
        <v>74</v>
      </c>
      <c r="D183" s="402" t="s">
        <v>75</v>
      </c>
      <c r="E183" s="402"/>
      <c r="F183" s="402"/>
      <c r="G183" s="726"/>
      <c r="H183" s="400" t="s">
        <v>76</v>
      </c>
      <c r="I183" s="549" t="s">
        <v>77</v>
      </c>
      <c r="J183" s="236"/>
      <c r="K183" s="137" t="s">
        <v>76</v>
      </c>
      <c r="L183" s="138" t="s">
        <v>77</v>
      </c>
      <c r="M183" s="237"/>
      <c r="N183" s="137" t="s">
        <v>76</v>
      </c>
      <c r="O183" s="138" t="s">
        <v>77</v>
      </c>
      <c r="P183" s="237"/>
      <c r="Q183" s="137" t="s">
        <v>76</v>
      </c>
      <c r="R183" s="138" t="s">
        <v>77</v>
      </c>
      <c r="S183" s="237"/>
      <c r="T183" s="137" t="s">
        <v>76</v>
      </c>
      <c r="U183" s="138" t="s">
        <v>77</v>
      </c>
      <c r="V183" s="237"/>
      <c r="W183" s="137" t="s">
        <v>76</v>
      </c>
      <c r="X183" s="138" t="s">
        <v>77</v>
      </c>
      <c r="Y183" s="237"/>
      <c r="Z183" s="137" t="s">
        <v>76</v>
      </c>
      <c r="AA183" s="138" t="s">
        <v>77</v>
      </c>
      <c r="AB183" s="237"/>
      <c r="AC183" s="137" t="s">
        <v>76</v>
      </c>
      <c r="AD183" s="138" t="s">
        <v>77</v>
      </c>
      <c r="AE183" s="237"/>
      <c r="AF183" s="32"/>
      <c r="AG183" s="32"/>
      <c r="AH183" s="13"/>
      <c r="AI183" s="32"/>
      <c r="AJ183" s="32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</row>
    <row r="184" spans="1:49" ht="12.75" hidden="1">
      <c r="A184" s="13"/>
      <c r="B184" s="238">
        <v>1</v>
      </c>
      <c r="C184" s="150"/>
      <c r="D184" s="584" t="s">
        <v>78</v>
      </c>
      <c r="E184" s="585">
        <f>punbascar*indiceene22</f>
        <v>18727.385699999999</v>
      </c>
      <c r="F184" s="586"/>
      <c r="G184" s="240"/>
      <c r="H184" s="585">
        <f>punbascar*indicedic21</f>
        <v>17622.873200000002</v>
      </c>
      <c r="I184" s="586"/>
      <c r="J184" s="240"/>
      <c r="K184" s="241">
        <f>punbascar*indicemar21*Aumento4</f>
        <v>16754.104934999999</v>
      </c>
      <c r="L184" s="239"/>
      <c r="M184" s="240"/>
      <c r="N184" s="241">
        <f>punbascar*indicemar21*Aumento3</f>
        <v>15513.060125</v>
      </c>
      <c r="O184" s="239"/>
      <c r="P184" s="240"/>
      <c r="Q184" s="241">
        <f>punbascar*indicemar21*Aumento2</f>
        <v>14272.015314999999</v>
      </c>
      <c r="R184" s="239"/>
      <c r="S184" s="240"/>
      <c r="T184" s="241">
        <f>punbascar*indicemar21*Aumento1</f>
        <v>13403.283948</v>
      </c>
      <c r="U184" s="239"/>
      <c r="V184" s="240"/>
      <c r="W184" s="241">
        <f>punbascar*indicemar21</f>
        <v>12410.4481</v>
      </c>
      <c r="X184" s="239"/>
      <c r="Y184" s="240"/>
      <c r="Z184" s="241">
        <f>punbascar*indicemar21</f>
        <v>12410.4481</v>
      </c>
      <c r="AA184" s="239"/>
      <c r="AB184" s="240"/>
      <c r="AC184" s="241">
        <f>punbascar*indiceene20</f>
        <v>10791.694000000001</v>
      </c>
      <c r="AD184" s="239"/>
      <c r="AE184" s="242"/>
      <c r="AF184" s="243"/>
      <c r="AG184" s="243"/>
      <c r="AH184" s="24"/>
      <c r="AI184" s="243"/>
      <c r="AJ184" s="243"/>
      <c r="AK184" s="24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</row>
    <row r="185" spans="1:49" ht="12.75" hidden="1">
      <c r="A185" s="13"/>
      <c r="B185" s="244">
        <v>2</v>
      </c>
      <c r="C185" s="245"/>
      <c r="D185" s="587" t="s">
        <v>79</v>
      </c>
      <c r="E185" s="588">
        <f>compbas2016*indiceene22</f>
        <v>7998.1944899999999</v>
      </c>
      <c r="F185" s="586"/>
      <c r="G185" s="246"/>
      <c r="H185" s="588">
        <f>compbas2016*indicedic21</f>
        <v>7526.4732400000003</v>
      </c>
      <c r="I185" s="586"/>
      <c r="J185" s="246"/>
      <c r="K185" s="247">
        <f>compbas2016*indicemar21*Aumento4</f>
        <v>7155.4349295000011</v>
      </c>
      <c r="L185" s="248"/>
      <c r="M185" s="246"/>
      <c r="N185" s="247">
        <f>compbas2016*indicemar21*Aumento3</f>
        <v>6625.4027125000002</v>
      </c>
      <c r="O185" s="248"/>
      <c r="P185" s="246"/>
      <c r="Q185" s="247">
        <f>compbas2016*indicemar21*Aumento2</f>
        <v>6095.3704955000003</v>
      </c>
      <c r="R185" s="248"/>
      <c r="S185" s="246"/>
      <c r="T185" s="247">
        <f>compbas2016*indicemar21*Aumento1</f>
        <v>5724.3479436000007</v>
      </c>
      <c r="U185" s="248"/>
      <c r="V185" s="246"/>
      <c r="W185" s="247">
        <f>compbas2016*indicemar21</f>
        <v>5300.3221700000004</v>
      </c>
      <c r="X185" s="248"/>
      <c r="Y185" s="246"/>
      <c r="Z185" s="247">
        <f>compbas2016*indicemar21</f>
        <v>5300.3221700000004</v>
      </c>
      <c r="AA185" s="248"/>
      <c r="AB185" s="246"/>
      <c r="AC185" s="247">
        <f>compbas2016*indiceene20</f>
        <v>4608.9758000000002</v>
      </c>
      <c r="AD185" s="248"/>
      <c r="AE185" s="242"/>
      <c r="AF185" s="243"/>
      <c r="AG185" s="243"/>
      <c r="AH185" s="249"/>
      <c r="AI185" s="243"/>
      <c r="AJ185" s="243"/>
      <c r="AK185" s="249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</row>
    <row r="186" spans="1:49" ht="12.75" hidden="1">
      <c r="A186" s="13"/>
      <c r="B186" s="250" t="s">
        <v>80</v>
      </c>
      <c r="C186" s="251"/>
      <c r="D186" s="589" t="s">
        <v>81</v>
      </c>
      <c r="E186" s="590">
        <f>compdir16*indiceene22</f>
        <v>0</v>
      </c>
      <c r="F186" s="586"/>
      <c r="G186" s="240"/>
      <c r="H186" s="590">
        <f>compdir16*indicedic21</f>
        <v>0</v>
      </c>
      <c r="I186" s="586"/>
      <c r="J186" s="240"/>
      <c r="K186" s="252">
        <f>compdir16*indicemar21*Aumento4</f>
        <v>0</v>
      </c>
      <c r="L186" s="239"/>
      <c r="M186" s="240"/>
      <c r="N186" s="252">
        <f>compdir16*indicemar21*Aumento3</f>
        <v>0</v>
      </c>
      <c r="O186" s="239"/>
      <c r="P186" s="246"/>
      <c r="Q186" s="252">
        <f>compdir16*indicemar21*Aumento2</f>
        <v>0</v>
      </c>
      <c r="R186" s="239"/>
      <c r="S186" s="246"/>
      <c r="T186" s="252">
        <f>compdir16*indicemar21*Aumento1</f>
        <v>0</v>
      </c>
      <c r="U186" s="239"/>
      <c r="V186" s="246"/>
      <c r="W186" s="252">
        <f>compdir16*indicemar21</f>
        <v>0</v>
      </c>
      <c r="X186" s="239"/>
      <c r="Y186" s="246"/>
      <c r="Z186" s="252">
        <f>compdir16*indicemar21</f>
        <v>0</v>
      </c>
      <c r="AA186" s="239"/>
      <c r="AB186" s="246"/>
      <c r="AC186" s="252">
        <f>compdir16*indiceene20</f>
        <v>0</v>
      </c>
      <c r="AD186" s="239"/>
      <c r="AE186" s="253"/>
      <c r="AF186" s="243"/>
      <c r="AG186" s="243"/>
      <c r="AH186" s="249"/>
      <c r="AI186" s="254"/>
      <c r="AJ186" s="243"/>
      <c r="AK186" s="249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</row>
    <row r="187" spans="1:49" ht="12.75" hidden="1">
      <c r="A187" s="13"/>
      <c r="B187" s="244">
        <v>5</v>
      </c>
      <c r="C187" s="255"/>
      <c r="D187" s="587" t="s">
        <v>82</v>
      </c>
      <c r="E187" s="588">
        <f>puntosadicnina*indiceproljorene22</f>
        <v>0</v>
      </c>
      <c r="F187" s="586"/>
      <c r="G187" s="240"/>
      <c r="H187" s="588">
        <f>puntosadicnina*indiceproljordic21</f>
        <v>0</v>
      </c>
      <c r="I187" s="586"/>
      <c r="J187" s="240"/>
      <c r="K187" s="256">
        <f>puntosadicnina*indiceproljormar21*Aumento4</f>
        <v>0</v>
      </c>
      <c r="L187" s="248"/>
      <c r="M187" s="240"/>
      <c r="N187" s="256">
        <f>puntosadicnina*indiceproljormar21*Aumento3</f>
        <v>0</v>
      </c>
      <c r="O187" s="248"/>
      <c r="P187" s="246"/>
      <c r="Q187" s="256">
        <f>puntosadicnina*indiceproljormar21*Aumento2</f>
        <v>0</v>
      </c>
      <c r="R187" s="248"/>
      <c r="S187" s="246"/>
      <c r="T187" s="256">
        <f>puntosadicnina*indiceproljormar21*Aumento1</f>
        <v>0</v>
      </c>
      <c r="U187" s="248"/>
      <c r="V187" s="246"/>
      <c r="W187" s="256">
        <f>puntosadicnina*indiceproljormar21</f>
        <v>0</v>
      </c>
      <c r="X187" s="248"/>
      <c r="Y187" s="246"/>
      <c r="Z187" s="256">
        <f>puntosadicnina*indiceproljormar21</f>
        <v>0</v>
      </c>
      <c r="AA187" s="248"/>
      <c r="AB187" s="246"/>
      <c r="AC187" s="256">
        <f>puntosadicnina*indiceproljorene20</f>
        <v>0</v>
      </c>
      <c r="AD187" s="248"/>
      <c r="AE187" s="242"/>
      <c r="AF187" s="243">
        <f>4.3141/3.7508</f>
        <v>1.1501812946571397</v>
      </c>
      <c r="AG187" s="243"/>
      <c r="AH187" s="249"/>
      <c r="AI187" s="257"/>
      <c r="AJ187" s="243"/>
      <c r="AK187" s="249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</row>
    <row r="188" spans="1:49" ht="12.75" hidden="1">
      <c r="A188" s="13"/>
      <c r="B188" s="258">
        <v>6</v>
      </c>
      <c r="C188" s="259"/>
      <c r="D188" s="591" t="s">
        <v>83</v>
      </c>
      <c r="E188" s="592">
        <f>LOOKUP(porantigcargo,porant,codigo06cargosdic22)*1.509/1.42</f>
        <v>15020.926056338029</v>
      </c>
      <c r="F188" s="586"/>
      <c r="G188" s="298"/>
      <c r="H188" s="592">
        <f>LOOKUP(porantigcargo,porant,codigo06cargosdic22)</f>
        <v>14135</v>
      </c>
      <c r="I188" s="586"/>
      <c r="J188" s="260"/>
      <c r="K188" s="261">
        <f>LOOKUP(porantigcargo,porant,codigo06cargosfeb21)*Aumento4</f>
        <v>13437.900000000001</v>
      </c>
      <c r="L188" s="239"/>
      <c r="M188" s="260"/>
      <c r="N188" s="261">
        <f>LOOKUP(porantigcargo,porant,codigo06cargosfeb21)*Aumento3</f>
        <v>12442.5</v>
      </c>
      <c r="O188" s="239"/>
      <c r="P188" s="262"/>
      <c r="Q188" s="261">
        <f>LOOKUP(porantigcargo,porant,codigo06cargosfeb21)*Aumento2</f>
        <v>11447.099999999999</v>
      </c>
      <c r="R188" s="239"/>
      <c r="S188" s="262"/>
      <c r="T188" s="261">
        <f>LOOKUP(porantigcargo,porant,codigo06cargosfeb21)*Aumento1</f>
        <v>10750.320000000002</v>
      </c>
      <c r="U188" s="239"/>
      <c r="V188" s="262"/>
      <c r="W188" s="261">
        <f>LOOKUP(porantigcargo,porant,codigo06cargosfeb21)</f>
        <v>9954</v>
      </c>
      <c r="X188" s="239"/>
      <c r="Y188" s="262"/>
      <c r="Z188" s="261">
        <f>LOOKUP(porantigcargo,porant,codigo06cargosfeb21)</f>
        <v>9954</v>
      </c>
      <c r="AA188" s="239"/>
      <c r="AB188" s="262"/>
      <c r="AC188" s="256">
        <f>LOOKUP(porantigcargo,porant,codigo06cargosene20)</f>
        <v>4308</v>
      </c>
      <c r="AD188" s="239"/>
      <c r="AE188" s="263"/>
      <c r="AF188" s="243"/>
      <c r="AG188" s="243"/>
      <c r="AH188" s="24"/>
      <c r="AI188" s="243"/>
      <c r="AJ188" s="243"/>
      <c r="AK188" s="24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</row>
    <row r="189" spans="1:49" ht="14.25" hidden="1">
      <c r="A189" s="13"/>
      <c r="B189" s="244">
        <v>10</v>
      </c>
      <c r="C189" s="264">
        <f>D112</f>
        <v>0</v>
      </c>
      <c r="D189" s="593" t="s">
        <v>84</v>
      </c>
      <c r="E189" s="588">
        <f>(E184+E185+E186+E187+E192+E193)*porantigcargo</f>
        <v>0</v>
      </c>
      <c r="F189" s="586"/>
      <c r="G189" s="298"/>
      <c r="H189" s="588">
        <f>(H184+H185+H186+H187+H192+H193)*porantigcargo</f>
        <v>0</v>
      </c>
      <c r="I189" s="586"/>
      <c r="J189" s="260"/>
      <c r="K189" s="247">
        <f>(K184+K185+K186+K187+K192+K193)*porantigcargo</f>
        <v>0</v>
      </c>
      <c r="L189" s="248"/>
      <c r="M189" s="260"/>
      <c r="N189" s="247">
        <f>(N184+N185+N186+N187+N192+N193)*porantigcargo</f>
        <v>0</v>
      </c>
      <c r="O189" s="248"/>
      <c r="P189" s="262"/>
      <c r="Q189" s="247">
        <f>(Q184+Q185+Q186+Q187+Q192+Q193)*porantigcargo</f>
        <v>0</v>
      </c>
      <c r="R189" s="248"/>
      <c r="S189" s="262"/>
      <c r="T189" s="247">
        <f>(T184+T185+T186+T187+T192+T193)*porantigcargo</f>
        <v>0</v>
      </c>
      <c r="U189" s="248"/>
      <c r="V189" s="262"/>
      <c r="W189" s="247">
        <f>(W184+W185+W186+W187+W192+W193)*porantigcargo</f>
        <v>0</v>
      </c>
      <c r="X189" s="248"/>
      <c r="Y189" s="262"/>
      <c r="Z189" s="247">
        <f>(Z184+Z185+Z186+Z187+Z192+Z193)*porantigcargo</f>
        <v>0</v>
      </c>
      <c r="AA189" s="248"/>
      <c r="AB189" s="262"/>
      <c r="AC189" s="247">
        <f>(AC184+AC185+AC186+AC187+AC192+AC193)*porantigcargo</f>
        <v>0</v>
      </c>
      <c r="AD189" s="248"/>
      <c r="AE189" s="263"/>
      <c r="AF189" s="243"/>
      <c r="AG189" s="243"/>
      <c r="AH189" s="265"/>
      <c r="AI189" s="243"/>
      <c r="AJ189" s="243"/>
      <c r="AK189" s="24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</row>
    <row r="190" spans="1:49" ht="12.75" hidden="1">
      <c r="A190" s="13"/>
      <c r="B190" s="238">
        <v>14</v>
      </c>
      <c r="C190" s="266"/>
      <c r="D190" s="594" t="s">
        <v>85</v>
      </c>
      <c r="E190" s="585">
        <f>E188*0.07</f>
        <v>1051.4648239436622</v>
      </c>
      <c r="F190" s="586"/>
      <c r="G190" s="267">
        <f>IF(puntosproljor&gt;600,G198,G195)</f>
        <v>9010.3513317928046</v>
      </c>
      <c r="H190" s="585">
        <f>H188*0.07</f>
        <v>989.45</v>
      </c>
      <c r="I190" s="586"/>
      <c r="J190" s="803">
        <f>IF(puntosproljor&gt;600,J198,J195)</f>
        <v>8846.792333738771</v>
      </c>
      <c r="K190" s="241">
        <f>K188*0.07</f>
        <v>940.65300000000025</v>
      </c>
      <c r="L190" s="248"/>
      <c r="M190" s="803">
        <f>IF(puntosproljor&gt;600,M198,M195)</f>
        <v>8411.258160747584</v>
      </c>
      <c r="N190" s="241">
        <f>N188*0.07</f>
        <v>870.97500000000014</v>
      </c>
      <c r="O190" s="248"/>
      <c r="P190" s="267">
        <f>IF(puntosproljor&gt;600,P198,P195)</f>
        <v>7787.0395884543368</v>
      </c>
      <c r="Q190" s="241">
        <f>Q188*0.07</f>
        <v>801.29700000000003</v>
      </c>
      <c r="R190" s="248"/>
      <c r="S190" s="267">
        <f>IF(puntosproljor&gt;600,S198,S195)</f>
        <v>7166.3082528747118</v>
      </c>
      <c r="T190" s="241">
        <f>T188*0.07</f>
        <v>752.52240000000018</v>
      </c>
      <c r="U190" s="248"/>
      <c r="V190" s="267">
        <f>IF(puntosproljor&gt;600,V198,V195)</f>
        <v>6729.2390110456408</v>
      </c>
      <c r="W190" s="241">
        <f>W188*0.07</f>
        <v>696.78000000000009</v>
      </c>
      <c r="X190" s="248"/>
      <c r="Y190" s="267">
        <f>IF(puntosproljor&gt;600,Y198,Y195)</f>
        <v>6230.5616005537704</v>
      </c>
      <c r="Z190" s="241">
        <f>Z188*0.07</f>
        <v>696.78000000000009</v>
      </c>
      <c r="AA190" s="248"/>
      <c r="AB190" s="267">
        <f>IF(puntosproljor&gt;600,AB198,AB195)</f>
        <v>6230.5616005537704</v>
      </c>
      <c r="AC190" s="241">
        <f>AC188*0.07</f>
        <v>301.56</v>
      </c>
      <c r="AD190" s="248"/>
      <c r="AE190" s="865">
        <f>IF(puntosproljor&gt;600,AE198,AE195)</f>
        <v>5227.3663091737508</v>
      </c>
      <c r="AF190" s="243"/>
      <c r="AG190" s="243"/>
      <c r="AH190" s="249"/>
      <c r="AI190" s="243"/>
      <c r="AJ190" s="243"/>
      <c r="AK190" s="249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</row>
    <row r="191" spans="1:49" ht="12.75" hidden="1">
      <c r="A191" s="13"/>
      <c r="B191" s="244">
        <v>188</v>
      </c>
      <c r="C191" s="264">
        <v>7.0000000000000007E-2</v>
      </c>
      <c r="D191" s="593" t="s">
        <v>86</v>
      </c>
      <c r="E191" s="595">
        <f>(E184+E185+E186+E187+E189+E192+E193+E194+E195+E196)*0.07</f>
        <v>2612.0865779254968</v>
      </c>
      <c r="F191" s="586"/>
      <c r="G191" s="268"/>
      <c r="H191" s="595">
        <f>(H184+H185+H186+H187+H189+H192+H193+H194+H195+H196)*0.07</f>
        <v>2483.7796461617145</v>
      </c>
      <c r="I191" s="586"/>
      <c r="J191" s="804"/>
      <c r="K191" s="269">
        <f>(K184+K185+K186+K187+K189+K192+K193+K194+K195+K196)*0.07</f>
        <v>2361.3765717673314</v>
      </c>
      <c r="L191" s="248"/>
      <c r="M191" s="804"/>
      <c r="N191" s="269">
        <f>(N184+N185+N186+N187+N189+N192+N193+N194+N195+N196)*0.07</f>
        <v>2186.3784198168037</v>
      </c>
      <c r="O191" s="248"/>
      <c r="P191" s="864"/>
      <c r="Q191" s="269">
        <f>(Q184+Q185+Q186+Q187+Q189+Q192+Q193+Q194+Q195+Q196)*0.07</f>
        <v>2011.6243744362298</v>
      </c>
      <c r="R191" s="248"/>
      <c r="S191" s="270"/>
      <c r="T191" s="269">
        <f>(T184+T185+T186+T187+T189+T192+T193+T194+T195+T196)*0.07</f>
        <v>1889.1175311851953</v>
      </c>
      <c r="U191" s="248"/>
      <c r="V191" s="270"/>
      <c r="W191" s="269">
        <f>(W184+W185+W186+W187+W189+W192+W193+W194+W195+W196)*0.07</f>
        <v>1749.1678309387642</v>
      </c>
      <c r="X191" s="248"/>
      <c r="Y191" s="270"/>
      <c r="Z191" s="269">
        <f>(Z184+Z185+Z186+Z187+Z189+Z192+Z193+Z194+Z195+Z196)*0.07</f>
        <v>1749.1678309387642</v>
      </c>
      <c r="AA191" s="248"/>
      <c r="AB191" s="270"/>
      <c r="AC191" s="269">
        <f>(AC184+AC185+AC186+AC187+AC189+AC192+AC193+AC194+AC195+AC196)*0.07</f>
        <v>1507.6765276421627</v>
      </c>
      <c r="AD191" s="248"/>
      <c r="AE191" s="866"/>
      <c r="AF191" s="243"/>
      <c r="AG191" s="243"/>
      <c r="AH191" s="249"/>
      <c r="AI191" s="271"/>
      <c r="AJ191" s="243"/>
      <c r="AK191" s="249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</row>
    <row r="192" spans="1:49" ht="12.75" hidden="1">
      <c r="A192" s="13"/>
      <c r="B192" s="238">
        <v>52</v>
      </c>
      <c r="C192" s="150"/>
      <c r="D192" s="594" t="s">
        <v>87</v>
      </c>
      <c r="E192" s="585">
        <f>puntosproljor*indiceproljorene22</f>
        <v>0</v>
      </c>
      <c r="F192" s="586"/>
      <c r="G192" s="799">
        <v>44260</v>
      </c>
      <c r="H192" s="585">
        <f>puntosproljor*indiceproljordic21</f>
        <v>0</v>
      </c>
      <c r="I192" s="586"/>
      <c r="J192" s="799">
        <v>41949</v>
      </c>
      <c r="K192" s="241">
        <f>puntosproljor*indiceproljormar21*Aumento4</f>
        <v>0</v>
      </c>
      <c r="L192" s="239"/>
      <c r="M192" s="799">
        <v>38882</v>
      </c>
      <c r="N192" s="241">
        <f>puntosproljor*indiceproljormar21*Aumento3</f>
        <v>0</v>
      </c>
      <c r="O192" s="239"/>
      <c r="P192" s="795">
        <v>36285</v>
      </c>
      <c r="Q192" s="241">
        <f>puntosproljor*indiceproljormar21*Aumento2</f>
        <v>0</v>
      </c>
      <c r="R192" s="239"/>
      <c r="S192" s="795">
        <v>32989</v>
      </c>
      <c r="T192" s="241">
        <f>puntosproljor*indiceproljormar21*Aumento1</f>
        <v>0</v>
      </c>
      <c r="U192" s="239"/>
      <c r="V192" s="795">
        <v>31171</v>
      </c>
      <c r="W192" s="241">
        <f>puntosproljor*indiceproljormar21</f>
        <v>0</v>
      </c>
      <c r="X192" s="239"/>
      <c r="Y192" s="795">
        <v>29094.17</v>
      </c>
      <c r="Z192" s="241">
        <f>puntosproljor*indiceproljormar21</f>
        <v>0</v>
      </c>
      <c r="AA192" s="239"/>
      <c r="AB192" s="795">
        <v>28594.17</v>
      </c>
      <c r="AC192" s="241">
        <f>puntosproljor*indiceproljorene20</f>
        <v>0</v>
      </c>
      <c r="AD192" s="239"/>
      <c r="AE192" s="867">
        <v>20708</v>
      </c>
      <c r="AF192" s="243"/>
      <c r="AG192" s="243"/>
      <c r="AH192" s="272"/>
      <c r="AI192" s="243"/>
      <c r="AJ192" s="243"/>
      <c r="AK192" s="272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</row>
    <row r="193" spans="1:49" ht="14.25" hidden="1">
      <c r="A193" s="13"/>
      <c r="B193" s="244">
        <v>16</v>
      </c>
      <c r="C193" s="245"/>
      <c r="D193" s="593" t="s">
        <v>88</v>
      </c>
      <c r="E193" s="588">
        <f>puntostardif*indiceene22</f>
        <v>0</v>
      </c>
      <c r="F193" s="586"/>
      <c r="G193" s="800">
        <f>IF((totalremene22-E194*1.07)*0.81&lt;G192-E200-E201-E203,(G192-E200-E201-E203-(totalremene22-E194*1.07)*0.81)/0.81,0)/1.07</f>
        <v>1879.8563508305353</v>
      </c>
      <c r="H193" s="588">
        <f>puntostardif*indicedic21</f>
        <v>0</v>
      </c>
      <c r="I193" s="586"/>
      <c r="J193" s="800">
        <f>IF((totalrem5-H194*1.07)*0.804&lt;J192-H200-H201-H203,(J192-H200-H201-H203-(totalrem5-H194*1.07)*0.804)/0.804,0)/1.07</f>
        <v>2086.2027582517212</v>
      </c>
      <c r="K193" s="247">
        <f>puntostardif*indicemar21*Aumento4</f>
        <v>0</v>
      </c>
      <c r="L193" s="248"/>
      <c r="M193" s="805">
        <f>IF((totalrem4-K194*1.07)*0.804&lt;M192-K200-K201-K203,(M192-K200-K201-K203-(totalrem4-K194*1.07)*0.804)/0.804,0)/1.07</f>
        <v>1984.2808975309576</v>
      </c>
      <c r="N193" s="247">
        <f>puntostardif*indicemar21*Aumento3</f>
        <v>0</v>
      </c>
      <c r="O193" s="248"/>
      <c r="P193" s="863">
        <f>IF((totalrem3-N194*1.07)*0.804&lt;P192-N200-N201-N203,(P192-N200-N201-N203-(totalrem3-N194*1.07)*0.804)/0.804,0)/1.07</f>
        <v>1836.6513427668863</v>
      </c>
      <c r="Q193" s="247">
        <f>puntostardif*indicemar21*Aumento2</f>
        <v>0</v>
      </c>
      <c r="R193" s="248"/>
      <c r="S193" s="863">
        <f>IF((totalrem2-Q194*1.07)*0.804&lt;S192-Q200-Q201-Q203,(S192-Q200-Q201-Q203-(totalrem2-Q194*1.07)*0.804)/0.804,0)/1.07</f>
        <v>1690.184200240687</v>
      </c>
      <c r="T193" s="247">
        <f>puntostardif*indicemar21*Aumento1</f>
        <v>0</v>
      </c>
      <c r="U193" s="248"/>
      <c r="V193" s="863">
        <f>IF((totalrem1-T194*1.07)*0.804&lt;V192-T200-T201-T203,(V192-T200-T201-T203-(totalrem1-T194*1.07)*0.804)/0.804,0)/1.07</f>
        <v>1586.7272706820386</v>
      </c>
      <c r="W193" s="247">
        <f>puntostardif*indicemar21</f>
        <v>0</v>
      </c>
      <c r="X193" s="248"/>
      <c r="Y193" s="863">
        <f>IF((totalremfeb21-W194*1.07)*0.804&lt;Y192-W200-W201-W203,(Y192-W200-W201-W203-(totalremfeb21-W194*1.07)*0.804)/0.804,0)/1.07</f>
        <v>1469.5186842939468</v>
      </c>
      <c r="Z193" s="247">
        <f>puntostardif*indicemar21</f>
        <v>0</v>
      </c>
      <c r="AA193" s="248"/>
      <c r="AB193" s="863">
        <f>IF((totalremfeb21-Z194*1.07)*0.804&lt;AB192-Z200-Z201-Z203,(AB192-Z200-Z201-Z203-(totalremfeb21-Z194*1.07)*0.804)/0.804,0)/1.07</f>
        <v>1469.5186842939468</v>
      </c>
      <c r="AC193" s="247">
        <f>puntostardif*indiceene20</f>
        <v>0</v>
      </c>
      <c r="AD193" s="248"/>
      <c r="AE193" s="869">
        <f>IF((totalremmar20-AC194*1.07)*0.804&lt;AE192-AC200-AC203,(AE192-AC200-AC203-(totalremmar20-AC194*1.07)*0.804)/0.804,0)/1.07</f>
        <v>1801.7374441530601</v>
      </c>
      <c r="AF193" s="243"/>
      <c r="AG193" s="243"/>
      <c r="AH193" s="249"/>
      <c r="AI193" s="243"/>
      <c r="AJ193" s="243"/>
      <c r="AK193" s="249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</row>
    <row r="194" spans="1:49" hidden="1">
      <c r="A194" s="13"/>
      <c r="B194" s="238">
        <v>78</v>
      </c>
      <c r="C194" s="274">
        <f>C130</f>
        <v>0</v>
      </c>
      <c r="D194" s="594" t="s">
        <v>89</v>
      </c>
      <c r="E194" s="596">
        <f>(E184+E185+E186+E187+E192+E193)*porzonacargo</f>
        <v>0</v>
      </c>
      <c r="F194" s="586"/>
      <c r="G194" s="799">
        <v>50440</v>
      </c>
      <c r="H194" s="596">
        <f>(H184+H185+H186+H187+H192+H193)*porzonacargo</f>
        <v>0</v>
      </c>
      <c r="I194" s="586"/>
      <c r="J194" s="799">
        <v>47765</v>
      </c>
      <c r="K194" s="275">
        <f>(K184+K185+K186+K187+K192+K193)*porzonacargo</f>
        <v>0</v>
      </c>
      <c r="L194" s="239"/>
      <c r="M194" s="799">
        <v>44411</v>
      </c>
      <c r="N194" s="275">
        <f>(N184+N185+N186+N187+N192+N193)*porzonacargo</f>
        <v>0</v>
      </c>
      <c r="O194" s="239"/>
      <c r="P194" s="795">
        <v>41404</v>
      </c>
      <c r="Q194" s="275">
        <f>(Q184+Q185+Q186+Q187+Q192+Q193)*porzonacargo</f>
        <v>0</v>
      </c>
      <c r="R194" s="239"/>
      <c r="S194" s="795">
        <v>37700</v>
      </c>
      <c r="T194" s="275">
        <f>(T184+T185+T186+T187+T192+T193)*porzonacargo</f>
        <v>0</v>
      </c>
      <c r="U194" s="239"/>
      <c r="V194" s="795">
        <v>35595</v>
      </c>
      <c r="W194" s="275">
        <f>(W184+W185+W186+W187+W192+W193)*porzonacargo</f>
        <v>0</v>
      </c>
      <c r="X194" s="239"/>
      <c r="Y194" s="795">
        <v>33190</v>
      </c>
      <c r="Z194" s="275">
        <f>(Z184+Z185+Z186+Z187+Z192+Z193)*porzonacargo</f>
        <v>0</v>
      </c>
      <c r="AA194" s="239"/>
      <c r="AB194" s="795">
        <v>32690</v>
      </c>
      <c r="AC194" s="275">
        <f>(AC184+AC185+AC186+AC187+AC192+AC193)*porzonacargo</f>
        <v>0</v>
      </c>
      <c r="AD194" s="239"/>
      <c r="AE194" s="867">
        <v>24865</v>
      </c>
      <c r="AF194" s="243"/>
      <c r="AG194" s="243"/>
      <c r="AH194" s="272"/>
      <c r="AI194" s="271"/>
      <c r="AJ194" s="243"/>
      <c r="AK194" s="272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</row>
    <row r="195" spans="1:49" ht="14.25" hidden="1">
      <c r="A195" s="13"/>
      <c r="B195" s="244">
        <v>185</v>
      </c>
      <c r="C195" s="245"/>
      <c r="D195" s="597" t="s">
        <v>90</v>
      </c>
      <c r="E195" s="598">
        <f>IF(punbascar&lt;913,G193,G190)</f>
        <v>9010.3513317928046</v>
      </c>
      <c r="F195" s="586"/>
      <c r="G195" s="800">
        <f>IF((totalremene22-E194*1.07)*0.81&lt;G194-E200-E201-E203,(G194-E200-E201-E203-(totalremene22-E194*1.07)*0.81)/0.81,0)/1.07</f>
        <v>9010.3513317928046</v>
      </c>
      <c r="H195" s="598">
        <f>IF(punbascar&lt;913,J193,J190)</f>
        <v>8846.792333738771</v>
      </c>
      <c r="I195" s="586"/>
      <c r="J195" s="800">
        <f>IF((totalrem5-H194*1.07)*0.804&lt;J194-H200-H201-H203,(J194-H200-H201-H203-(totalrem5-H194*1.07)*0.804)/0.804,0)/1.07</f>
        <v>8846.792333738771</v>
      </c>
      <c r="K195" s="276">
        <f>IF(punbascar&lt;913,M193,M190)</f>
        <v>8411.258160747584</v>
      </c>
      <c r="L195" s="248"/>
      <c r="M195" s="800">
        <f>IF((totalrem4-K194*1.07)*0.804&lt;M194-K200-K201-K203,(M194-K200-K201-K203-(totalrem4-K194*1.07)*0.804)/0.804,0)/1.07</f>
        <v>8411.258160747584</v>
      </c>
      <c r="N195" s="276">
        <f>IF(punbascar&lt;913,P193,P190)</f>
        <v>7787.0395884543368</v>
      </c>
      <c r="O195" s="248"/>
      <c r="P195" s="796">
        <f>IF((totalrem3-N194*1.07)*0.804&lt;P194-N200-N201-N203,(P194-N200-N201-N203-(totalrem3-N194*1.07)*0.804)/0.804,0)/1.07</f>
        <v>7787.0395884543368</v>
      </c>
      <c r="Q195" s="276">
        <f>IF(punbascar&lt;913,S193,S190)</f>
        <v>7166.3082528747118</v>
      </c>
      <c r="R195" s="248"/>
      <c r="S195" s="796">
        <f>IF((totalrem2-Q194*1.07)*0.804&lt;S194-Q200-Q201-Q203,(S194-Q200-Q201-Q203-(totalrem2-Q194*1.07)*0.804)/0.804,0)/1.07</f>
        <v>7166.3082528747118</v>
      </c>
      <c r="T195" s="276">
        <f>IF(punbascar&lt;913,V193,V190)</f>
        <v>6729.2390110456408</v>
      </c>
      <c r="U195" s="248"/>
      <c r="V195" s="796">
        <f>IF((totalrem1-T194*1.07)*0.804&lt;V194-T200-T201-T203,(V194-T200-T201-T203-(totalrem1-T194*1.07)*0.804)/0.804,0)/1.07</f>
        <v>6729.2390110456408</v>
      </c>
      <c r="W195" s="276">
        <f>IF(punbascar&lt;913,Y193,Y190)</f>
        <v>6230.5616005537704</v>
      </c>
      <c r="X195" s="248"/>
      <c r="Y195" s="796">
        <f>IF((totalremfeb21-W194*1.07)*0.804&lt;Y194-W200-W201-W203,(Y194-W200-W201-W203-(totalremfeb21-W194*1.07)*0.804)/0.804,0)/1.07</f>
        <v>6230.5616005537704</v>
      </c>
      <c r="Z195" s="276">
        <f>IF(punbascar&lt;913,AB193,AB190)</f>
        <v>6230.5616005537704</v>
      </c>
      <c r="AA195" s="248"/>
      <c r="AB195" s="796">
        <f>IF((totalremfeb21-Z194*1.07)*0.804&lt;AB194-Z200-Z201-Z203,(AB194-Z200-Z201-Z203-(totalremfeb21-Z194*1.07)*0.804)/0.804,0)/1.07</f>
        <v>6230.5616005537704</v>
      </c>
      <c r="AC195" s="276">
        <f>IF(punbascar&lt;913,AE193,AE190)</f>
        <v>5227.3663091737508</v>
      </c>
      <c r="AD195" s="248"/>
      <c r="AE195" s="869">
        <f>IF((totalremmar20-AC194*1.07)*0.804&lt;AE194-AC200-AC201-AC203,(AE194-AC200-AC201-AC203-(totalremmar20-AC194*1.07)*0.804)/0.804,0)/1.07</f>
        <v>5227.3663091737508</v>
      </c>
      <c r="AF195" s="243"/>
      <c r="AG195" s="243"/>
      <c r="AH195" s="249"/>
      <c r="AI195" s="277"/>
      <c r="AJ195" s="243"/>
      <c r="AK195" s="249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</row>
    <row r="196" spans="1:49" hidden="1">
      <c r="A196" s="13"/>
      <c r="B196" s="238" t="s">
        <v>91</v>
      </c>
      <c r="C196" s="278">
        <f>C132</f>
        <v>1</v>
      </c>
      <c r="D196" s="594" t="s">
        <v>92</v>
      </c>
      <c r="E196" s="590">
        <f>IF(AND(puntosproljor&lt;620,punbascar&lt;2200),1046.78,2093.56)*C196*aumento6</f>
        <v>1579.5910199999998</v>
      </c>
      <c r="F196" s="586"/>
      <c r="G196" s="801"/>
      <c r="H196" s="590">
        <f>IF(AND(puntosproljor&lt;620,punbascar&lt;2200),1046.78,2093.56)*C196*Aumento5</f>
        <v>1486.4276</v>
      </c>
      <c r="I196" s="586"/>
      <c r="J196" s="801"/>
      <c r="K196" s="279">
        <f>IF(AND(puntosproljor&lt;620,punbascar&lt;2200),1046.78,2093.56)*C196*Aumento4</f>
        <v>1413.153</v>
      </c>
      <c r="L196" s="280"/>
      <c r="M196" s="801"/>
      <c r="N196" s="279">
        <f>IF(AND(puntosproljor&lt;620,punbascar&lt;2200),1046.78,2093.56)*C196*Aumento3</f>
        <v>1308.4749999999999</v>
      </c>
      <c r="O196" s="280"/>
      <c r="P196" s="797"/>
      <c r="Q196" s="279">
        <f>IF(AND(puntosproljor&lt;620,punbascar&lt;2200),1046.78,2093.56)*C196*Aumento2</f>
        <v>1203.7969999999998</v>
      </c>
      <c r="R196" s="280"/>
      <c r="S196" s="797"/>
      <c r="T196" s="279">
        <f>IF(AND(puntosproljor&lt;620,punbascar&lt;2200),1046.78,2093.56)*C196*Aumento1</f>
        <v>1130.5224000000001</v>
      </c>
      <c r="U196" s="280"/>
      <c r="V196" s="797"/>
      <c r="W196" s="279">
        <f>IF(AND(puntosproljor&lt;620,punbascar&lt;2200),1046.78,2093.56)*C196</f>
        <v>1046.78</v>
      </c>
      <c r="X196" s="280"/>
      <c r="Y196" s="797"/>
      <c r="Z196" s="279">
        <f>IF(AND(puntosproljor&lt;620,punbascar&lt;2200),1046.78,2093.56)*C196</f>
        <v>1046.78</v>
      </c>
      <c r="AA196" s="280"/>
      <c r="AB196" s="797"/>
      <c r="AC196" s="279">
        <f>IF(AND(puntosproljor&lt;620,punbascar&lt;2200),910.2,1820.4)*C196</f>
        <v>910.2</v>
      </c>
      <c r="AD196" s="280"/>
      <c r="AE196" s="868"/>
      <c r="AF196" s="243"/>
      <c r="AG196" s="281"/>
      <c r="AH196" s="249"/>
      <c r="AI196" s="282"/>
      <c r="AJ196" s="281"/>
      <c r="AK196" s="249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</row>
    <row r="197" spans="1:49" ht="14.25" hidden="1">
      <c r="A197" s="13"/>
      <c r="B197" s="238">
        <v>29</v>
      </c>
      <c r="C197" s="283">
        <f>cantkm</f>
        <v>0</v>
      </c>
      <c r="D197" s="594" t="s">
        <v>93</v>
      </c>
      <c r="E197" s="590">
        <f>IF(kmsem&lt;300,kmsem*4.3141666*4,5177)*1.659</f>
        <v>0</v>
      </c>
      <c r="F197" s="818" t="s">
        <v>551</v>
      </c>
      <c r="G197" s="799">
        <v>68732</v>
      </c>
      <c r="H197" s="590">
        <f>IF(kmsem&lt;300,kmsem*4.3141666*4,5177)*1.57</f>
        <v>0</v>
      </c>
      <c r="I197" s="599" t="s">
        <v>113</v>
      </c>
      <c r="J197" s="799">
        <v>65277</v>
      </c>
      <c r="K197" s="820">
        <f>IF(kmsem&lt;300,kmsem*4.3141666*4,5177)*1.5</f>
        <v>0</v>
      </c>
      <c r="L197" s="284" t="s">
        <v>114</v>
      </c>
      <c r="M197" s="799">
        <v>60060</v>
      </c>
      <c r="N197" s="273">
        <f>IF(kmsem&lt;300,kmsem*4.3141666*4,5177)*1.4</f>
        <v>0</v>
      </c>
      <c r="O197" s="284" t="s">
        <v>114</v>
      </c>
      <c r="P197" s="795">
        <v>56179</v>
      </c>
      <c r="Q197" s="273">
        <f>IF(kmsem&lt;300,kmsem*4.3141666*4,5177)*1.3</f>
        <v>0</v>
      </c>
      <c r="R197" s="284" t="s">
        <v>114</v>
      </c>
      <c r="S197" s="795">
        <v>50897</v>
      </c>
      <c r="T197" s="273">
        <f>IF(kmsem&lt;300,kmsem*4.3141666*4,5177)*1.2</f>
        <v>0</v>
      </c>
      <c r="U197" s="819" t="s">
        <v>553</v>
      </c>
      <c r="V197" s="795">
        <v>48140</v>
      </c>
      <c r="W197" s="273">
        <f>IF(kmsem&lt;300,kmsem*4.3141666*4,5177)</f>
        <v>0</v>
      </c>
      <c r="X197" s="284"/>
      <c r="Y197" s="795">
        <v>45074.5</v>
      </c>
      <c r="Z197" s="273">
        <f>IF(kmsem&lt;300,kmsem*4.3141666*4,5177)</f>
        <v>0</v>
      </c>
      <c r="AA197" s="819" t="s">
        <v>554</v>
      </c>
      <c r="AB197" s="795">
        <v>44074.5</v>
      </c>
      <c r="AC197" s="273">
        <f>IF(kmsem&lt;300,kmsem*3.7508*4,4501)</f>
        <v>0</v>
      </c>
      <c r="AD197" s="284" t="s">
        <v>114</v>
      </c>
      <c r="AE197" s="867">
        <v>33798</v>
      </c>
      <c r="AF197" s="257"/>
      <c r="AG197" s="243"/>
      <c r="AH197" s="272"/>
      <c r="AI197" s="257"/>
      <c r="AJ197" s="243"/>
      <c r="AK197" s="272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</row>
    <row r="198" spans="1:49" ht="15" hidden="1">
      <c r="A198" s="13"/>
      <c r="B198" s="244" t="s">
        <v>94</v>
      </c>
      <c r="C198" s="285" t="s">
        <v>95</v>
      </c>
      <c r="D198" s="593"/>
      <c r="E198" s="600">
        <f>E134</f>
        <v>0</v>
      </c>
      <c r="F198" s="586"/>
      <c r="G198" s="800">
        <f>IF((totalremene22-E194*1.07)*0.804&lt;G197-E200-E201-E203,(G197-E200-E201-E203-(totalremene22-E194*1.07)*0.804)/0.804,0)/1.07</f>
        <v>30663.76649894768</v>
      </c>
      <c r="H198" s="600">
        <f>H134</f>
        <v>0</v>
      </c>
      <c r="I198" s="586"/>
      <c r="J198" s="800">
        <f>IF((totalrem5-H194*1.07)*0.804&lt;J197-H200-H201-H203,(J197-H200-H201-H203-(totalrem5-H194*1.07)*0.804)/0.804,0)/1.07</f>
        <v>29202.955443423987</v>
      </c>
      <c r="K198" s="286">
        <v>0</v>
      </c>
      <c r="L198" s="287"/>
      <c r="M198" s="800">
        <f>IF((totalrem4-K194*1.07)*0.804&lt;M197-K200-K201-K203,(M197-K200-K201-K203-(totalrem4-K194*1.07)*0.804)/0.804,0)/1.07</f>
        <v>26601.847271269737</v>
      </c>
      <c r="N198" s="286">
        <v>0</v>
      </c>
      <c r="O198" s="287"/>
      <c r="P198" s="796">
        <f>IF((totalrem3-N194*1.07)*0.804&lt;P197-N200-N201-N203,(P197-N200-N201-N203-(totalrem3-N194*1.07)*0.804)/0.804,0)/1.07</f>
        <v>24961.680403072831</v>
      </c>
      <c r="Q198" s="286">
        <v>0</v>
      </c>
      <c r="R198" s="287"/>
      <c r="S198" s="796">
        <f>IF((totalrem2-Q194*1.07)*0.804&lt;S197-Q200-Q201-Q203,(S197-Q200-Q201-Q203-(totalrem2-Q194*1.07)*0.804)/0.804,0)/1.07</f>
        <v>22506.662556124818</v>
      </c>
      <c r="T198" s="286">
        <v>0</v>
      </c>
      <c r="U198" s="287"/>
      <c r="V198" s="796">
        <f>IF((totalrem1-T194*1.07)*0.804&lt;V197-T200-T201-T203,(V197-T200-T201-T203-(totalrem1-T194*1.07)*0.804)/0.804,0)/1.07</f>
        <v>21311.700535200565</v>
      </c>
      <c r="W198" s="286">
        <v>0</v>
      </c>
      <c r="X198" s="287"/>
      <c r="Y198" s="796">
        <f>IF((totalremfeb21-W194*1.07)*0.804&lt;Y197-W200-W201-W203,(Y197-W200-W201-W203-(totalremfeb21-W194*1.07)*0.804)/0.804,0)/1.07</f>
        <v>20045.249841591572</v>
      </c>
      <c r="Z198" s="286">
        <v>0</v>
      </c>
      <c r="AA198" s="287"/>
      <c r="AB198" s="796">
        <f>IF((totalremfeb21-Z194*1.07)*0.804&lt;AB197-Z200-Z201-Z203,(AB197-Z200-Z201-Z203-(totalremfeb21-Z194*1.07)*0.804)/0.804,0)/1.07</f>
        <v>19464.043722653551</v>
      </c>
      <c r="AC198" s="286">
        <v>0</v>
      </c>
      <c r="AD198" s="287"/>
      <c r="AE198" s="869">
        <f>IF((totalremmar20-AC194*1.07)*0.804&lt;AE197-AC200-AC201-AC203,(AE197-AC200-AC201-AC203-(totalremmar20-AC194*1.07)*0.804)/0.804,0)/1.07</f>
        <v>15611.194830120417</v>
      </c>
      <c r="AF198" s="288"/>
      <c r="AG198" s="281"/>
      <c r="AH198" s="249"/>
      <c r="AI198" s="288"/>
      <c r="AJ198" s="281"/>
      <c r="AK198" s="249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</row>
    <row r="199" spans="1:49" hidden="1">
      <c r="A199" s="13"/>
      <c r="B199" s="289"/>
      <c r="C199" s="245"/>
      <c r="D199" s="601" t="s">
        <v>96</v>
      </c>
      <c r="E199" s="602">
        <f>SUM(E184:E196,E197,E198)</f>
        <v>55999.999999999993</v>
      </c>
      <c r="F199" s="586"/>
      <c r="G199" s="802"/>
      <c r="H199" s="602">
        <f>SUM(H184:H196,H197,H198)</f>
        <v>53090.796019900488</v>
      </c>
      <c r="I199" s="586"/>
      <c r="J199" s="802"/>
      <c r="K199" s="290">
        <f>SUM(K184:K196,K197,K198)</f>
        <v>50473.880597014919</v>
      </c>
      <c r="L199" s="287"/>
      <c r="M199" s="802"/>
      <c r="N199" s="290">
        <f>SUM(N184:N196,N197,N198)</f>
        <v>46733.830845771146</v>
      </c>
      <c r="O199" s="287"/>
      <c r="P199" s="798"/>
      <c r="Q199" s="290">
        <f>SUM(Q184:Q196,Q197,Q198)</f>
        <v>42997.512437810939</v>
      </c>
      <c r="R199" s="287"/>
      <c r="S199" s="291"/>
      <c r="T199" s="290">
        <f>SUM(T184:T196,T197,T198)</f>
        <v>40379.353233830843</v>
      </c>
      <c r="U199" s="287"/>
      <c r="V199" s="798"/>
      <c r="W199" s="290">
        <f>SUM(W184:W196,W197,W198)</f>
        <v>37388.05970149253</v>
      </c>
      <c r="X199" s="287"/>
      <c r="Y199" s="798"/>
      <c r="Z199" s="290">
        <f>SUM(Z184:Z196,Z197,Z198)</f>
        <v>37388.05970149253</v>
      </c>
      <c r="AA199" s="287"/>
      <c r="AB199" s="798"/>
      <c r="AC199" s="290">
        <f>SUM(AC184:AC198)</f>
        <v>27655.472636815917</v>
      </c>
      <c r="AD199" s="287"/>
      <c r="AE199" s="292"/>
      <c r="AF199" s="293"/>
      <c r="AG199" s="281"/>
      <c r="AH199" s="24"/>
      <c r="AI199" s="293"/>
      <c r="AJ199" s="281"/>
      <c r="AK199" s="24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</row>
    <row r="200" spans="1:49" hidden="1">
      <c r="A200" s="13"/>
      <c r="B200" s="238">
        <v>84</v>
      </c>
      <c r="C200" s="278">
        <f t="shared" ref="C200:C201" si="85">C136</f>
        <v>1</v>
      </c>
      <c r="D200" s="594" t="s">
        <v>97</v>
      </c>
      <c r="E200" s="590">
        <f>IF(AND(puntosproljor&lt;620,punbascar&lt;2200),2830,5660)*C200</f>
        <v>2830</v>
      </c>
      <c r="F200" s="586"/>
      <c r="G200" s="294"/>
      <c r="H200" s="590">
        <f>IF(AND(puntosproljor&lt;620,punbascar&lt;2200),2830,5660)*C200</f>
        <v>2830</v>
      </c>
      <c r="I200" s="586"/>
      <c r="J200" s="294"/>
      <c r="K200" s="279">
        <f>IF(AND(puntosproljor&lt;620,punbascar&lt;2200),2830,5660)*C200</f>
        <v>2830</v>
      </c>
      <c r="L200" s="280"/>
      <c r="M200" s="294"/>
      <c r="N200" s="279">
        <f>IF(AND(puntosproljor&lt;620,punbascar&lt;2200),2830,5660)*C200</f>
        <v>2830</v>
      </c>
      <c r="O200" s="280"/>
      <c r="P200" s="262"/>
      <c r="Q200" s="279">
        <f>IF(AND(puntosproljor&lt;620,punbascar&lt;2200),2420,4840)*C200</f>
        <v>2420</v>
      </c>
      <c r="R200" s="280"/>
      <c r="S200" s="262"/>
      <c r="T200" s="279">
        <f>IF(AND(puntosproljor&lt;620,punbascar&lt;2200),2420,4840)*C200</f>
        <v>2420</v>
      </c>
      <c r="U200" s="280"/>
      <c r="V200" s="262"/>
      <c r="W200" s="279">
        <f>IF(AND(puntosproljor&lt;620,punbascar&lt;2200),2420,4840)*C200</f>
        <v>2420</v>
      </c>
      <c r="X200" s="280"/>
      <c r="Y200" s="262"/>
      <c r="Z200" s="279">
        <f>IF(AND(puntosproljor&lt;620,punbascar&lt;2200),1210,2420)*C200</f>
        <v>1210</v>
      </c>
      <c r="AA200" s="280"/>
      <c r="AB200" s="262"/>
      <c r="AC200" s="279">
        <f>IF(AND(puntosproljor&lt;620,punbascar&lt;2200),1210,2420)*C200</f>
        <v>1210</v>
      </c>
      <c r="AD200" s="280"/>
      <c r="AE200" s="263"/>
      <c r="AF200" s="282"/>
      <c r="AG200" s="281"/>
      <c r="AH200" s="24"/>
      <c r="AI200" s="282"/>
      <c r="AJ200" s="281"/>
      <c r="AK200" s="24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</row>
    <row r="201" spans="1:49" hidden="1">
      <c r="A201" s="13"/>
      <c r="B201" s="295">
        <v>113</v>
      </c>
      <c r="C201" s="278">
        <f t="shared" si="85"/>
        <v>1</v>
      </c>
      <c r="D201" s="826" t="s">
        <v>147</v>
      </c>
      <c r="E201" s="825">
        <v>0</v>
      </c>
      <c r="F201" s="586"/>
      <c r="G201" s="294"/>
      <c r="H201" s="603">
        <v>0</v>
      </c>
      <c r="I201" s="586"/>
      <c r="J201" s="294"/>
      <c r="K201" s="296">
        <v>0</v>
      </c>
      <c r="L201" s="280"/>
      <c r="M201" s="294"/>
      <c r="N201" s="296">
        <v>0</v>
      </c>
      <c r="O201" s="280"/>
      <c r="P201" s="262"/>
      <c r="Q201" s="296">
        <v>0</v>
      </c>
      <c r="R201" s="280"/>
      <c r="S201" s="262"/>
      <c r="T201" s="296">
        <v>0</v>
      </c>
      <c r="U201" s="280"/>
      <c r="V201" s="262"/>
      <c r="W201" s="296">
        <v>0</v>
      </c>
      <c r="X201" s="280"/>
      <c r="Y201" s="262"/>
      <c r="Z201" s="296">
        <f>IF(AND(puntosproljor&lt;620,punbascar&lt;2200),1210,2420)*C201</f>
        <v>1210</v>
      </c>
      <c r="AA201" s="280"/>
      <c r="AB201" s="262"/>
      <c r="AC201" s="296">
        <f>IF(AND(puntosproljor&lt;620,punbascar&lt;2200),1210,2420)*C201</f>
        <v>1210</v>
      </c>
      <c r="AD201" s="280"/>
      <c r="AE201" s="263"/>
      <c r="AF201" s="282"/>
      <c r="AG201" s="281"/>
      <c r="AH201" s="24"/>
      <c r="AI201" s="282"/>
      <c r="AJ201" s="281"/>
      <c r="AK201" s="24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</row>
    <row r="202" spans="1:49" hidden="1">
      <c r="A202" s="13"/>
      <c r="B202" s="244">
        <v>99</v>
      </c>
      <c r="C202" s="297"/>
      <c r="D202" s="593" t="s">
        <v>99</v>
      </c>
      <c r="E202" s="600">
        <f>E138</f>
        <v>0</v>
      </c>
      <c r="F202" s="586"/>
      <c r="G202" s="298"/>
      <c r="H202" s="600">
        <f>H138</f>
        <v>0</v>
      </c>
      <c r="I202" s="586"/>
      <c r="J202" s="298"/>
      <c r="K202" s="299">
        <v>0</v>
      </c>
      <c r="L202" s="287"/>
      <c r="M202" s="298"/>
      <c r="N202" s="299">
        <v>0</v>
      </c>
      <c r="O202" s="287"/>
      <c r="P202" s="262"/>
      <c r="Q202" s="299">
        <v>0</v>
      </c>
      <c r="R202" s="287"/>
      <c r="S202" s="262"/>
      <c r="T202" s="299">
        <v>0</v>
      </c>
      <c r="U202" s="287"/>
      <c r="V202" s="262"/>
      <c r="W202" s="299">
        <v>0</v>
      </c>
      <c r="X202" s="287"/>
      <c r="Y202" s="262"/>
      <c r="Z202" s="299">
        <v>0</v>
      </c>
      <c r="AA202" s="287"/>
      <c r="AB202" s="262"/>
      <c r="AC202" s="299">
        <v>0</v>
      </c>
      <c r="AD202" s="287"/>
      <c r="AE202" s="263"/>
      <c r="AF202" s="300"/>
      <c r="AG202" s="281"/>
      <c r="AH202" s="24"/>
      <c r="AI202" s="300"/>
      <c r="AJ202" s="281"/>
      <c r="AK202" s="24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</row>
    <row r="203" spans="1:49" hidden="1">
      <c r="A203" s="13"/>
      <c r="B203" s="238">
        <v>54</v>
      </c>
      <c r="C203" s="278">
        <f>C139</f>
        <v>1</v>
      </c>
      <c r="D203" s="594" t="s">
        <v>100</v>
      </c>
      <c r="E203" s="590">
        <f>IF(AND(puntosproljor&lt;620,punbascar&lt;2200),2250,4500)*C203</f>
        <v>2250</v>
      </c>
      <c r="F203" s="586"/>
      <c r="G203" s="298"/>
      <c r="H203" s="590">
        <f>IF(AND(puntosproljor&lt;620,punbascar&lt;2200),2250,4500)*C203</f>
        <v>2250</v>
      </c>
      <c r="I203" s="586"/>
      <c r="J203" s="260"/>
      <c r="K203" s="279">
        <f>IF(AND(puntosproljor&lt;620,punbascar&lt;2200),1000,2000)*C203</f>
        <v>1000</v>
      </c>
      <c r="L203" s="280"/>
      <c r="M203" s="260"/>
      <c r="N203" s="279">
        <f>IF(AND(puntosproljor&lt;620,punbascar&lt;2200),1000,2000)*C203</f>
        <v>1000</v>
      </c>
      <c r="O203" s="280"/>
      <c r="P203" s="260"/>
      <c r="Q203" s="279">
        <f>IF(AND(puntosproljor&lt;620,punbascar&lt;2200),710,1420)*C203</f>
        <v>710</v>
      </c>
      <c r="R203" s="280"/>
      <c r="S203" s="262"/>
      <c r="T203" s="279">
        <f>IF(AND(puntosproljor&lt;620,punbascar&lt;2200),710,1420)*C203</f>
        <v>710</v>
      </c>
      <c r="U203" s="280"/>
      <c r="V203" s="262"/>
      <c r="W203" s="279">
        <f>IF(AND(puntosproljor&lt;620,punbascar&lt;2200),710,1420)*C203</f>
        <v>710</v>
      </c>
      <c r="X203" s="280"/>
      <c r="Y203" s="262"/>
      <c r="Z203" s="279">
        <f>IF(AND(puntosproljor&lt;620,punbascar&lt;2200),210,420)*C203</f>
        <v>210</v>
      </c>
      <c r="AA203" s="280"/>
      <c r="AB203" s="262"/>
      <c r="AC203" s="279">
        <f>IF(AND(puntosproljor&lt;620,punbascar&lt;2200),210,420)*C203</f>
        <v>210</v>
      </c>
      <c r="AD203" s="280"/>
      <c r="AE203" s="263"/>
      <c r="AF203" s="282"/>
      <c r="AG203" s="281"/>
      <c r="AH203" s="24"/>
      <c r="AI203" s="282"/>
      <c r="AJ203" s="281"/>
      <c r="AK203" s="24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</row>
    <row r="204" spans="1:49" hidden="1">
      <c r="A204" s="13"/>
      <c r="B204" s="289"/>
      <c r="C204" s="301"/>
      <c r="D204" s="604" t="s">
        <v>101</v>
      </c>
      <c r="E204" s="602">
        <f>SUM(E199:E203)</f>
        <v>61079.999999999993</v>
      </c>
      <c r="F204" s="586"/>
      <c r="G204" s="302"/>
      <c r="H204" s="602">
        <f>SUM(H199:H203)</f>
        <v>58170.796019900488</v>
      </c>
      <c r="I204" s="586"/>
      <c r="J204" s="302"/>
      <c r="K204" s="290">
        <f>SUM(K199:K203)</f>
        <v>54303.880597014919</v>
      </c>
      <c r="L204" s="303"/>
      <c r="M204" s="302"/>
      <c r="N204" s="290">
        <f>SUM(N199:N203)</f>
        <v>50563.830845771146</v>
      </c>
      <c r="O204" s="303"/>
      <c r="P204" s="302"/>
      <c r="Q204" s="290">
        <f>SUM(Q199:Q203)</f>
        <v>46127.512437810939</v>
      </c>
      <c r="R204" s="303"/>
      <c r="S204" s="304"/>
      <c r="T204" s="290">
        <f>SUM(T199:T203)</f>
        <v>43509.353233830843</v>
      </c>
      <c r="U204" s="303"/>
      <c r="V204" s="302"/>
      <c r="W204" s="290">
        <f>SUM(W199:W203)</f>
        <v>40518.05970149253</v>
      </c>
      <c r="X204" s="303"/>
      <c r="Y204" s="304"/>
      <c r="Z204" s="290">
        <f>SUM(Z199:Z203)</f>
        <v>40018.05970149253</v>
      </c>
      <c r="AA204" s="303"/>
      <c r="AB204" s="304"/>
      <c r="AC204" s="290">
        <f>SUM(AC199:AC203)</f>
        <v>30285.472636815917</v>
      </c>
      <c r="AD204" s="303"/>
      <c r="AE204" s="305"/>
      <c r="AF204" s="293"/>
      <c r="AG204" s="271"/>
      <c r="AH204" s="24"/>
      <c r="AI204" s="293"/>
      <c r="AJ204" s="271"/>
      <c r="AK204" s="24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</row>
    <row r="205" spans="1:49" ht="15" hidden="1">
      <c r="A205" s="13"/>
      <c r="B205" s="238">
        <v>440</v>
      </c>
      <c r="C205" s="306"/>
      <c r="D205" s="594" t="s">
        <v>102</v>
      </c>
      <c r="E205" s="600">
        <f>E141</f>
        <v>0</v>
      </c>
      <c r="F205" s="605">
        <f>-E205</f>
        <v>0</v>
      </c>
      <c r="G205" s="298"/>
      <c r="H205" s="600">
        <f>H141</f>
        <v>0</v>
      </c>
      <c r="I205" s="605">
        <f>-H205</f>
        <v>0</v>
      </c>
      <c r="J205" s="260"/>
      <c r="K205" s="308">
        <v>0</v>
      </c>
      <c r="L205" s="307">
        <f>-K205</f>
        <v>0</v>
      </c>
      <c r="M205" s="260"/>
      <c r="N205" s="308">
        <v>0</v>
      </c>
      <c r="O205" s="307">
        <f>-N205</f>
        <v>0</v>
      </c>
      <c r="P205" s="260"/>
      <c r="Q205" s="308">
        <v>0</v>
      </c>
      <c r="R205" s="307">
        <f>-Q205</f>
        <v>0</v>
      </c>
      <c r="S205" s="262"/>
      <c r="T205" s="308">
        <v>0</v>
      </c>
      <c r="U205" s="307">
        <f>-T205</f>
        <v>0</v>
      </c>
      <c r="V205" s="260"/>
      <c r="W205" s="308">
        <v>0</v>
      </c>
      <c r="X205" s="307">
        <f>-W205</f>
        <v>0</v>
      </c>
      <c r="Y205" s="262"/>
      <c r="Z205" s="308">
        <v>0</v>
      </c>
      <c r="AA205" s="307">
        <f>-Z205</f>
        <v>0</v>
      </c>
      <c r="AB205" s="262"/>
      <c r="AC205" s="308">
        <v>0</v>
      </c>
      <c r="AD205" s="307">
        <f>-AC205</f>
        <v>0</v>
      </c>
      <c r="AE205" s="263"/>
      <c r="AF205" s="300"/>
      <c r="AG205" s="64"/>
      <c r="AH205" s="257"/>
      <c r="AI205" s="300"/>
      <c r="AJ205" s="64"/>
      <c r="AK205" s="257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</row>
    <row r="206" spans="1:49" hidden="1">
      <c r="A206" s="13"/>
      <c r="B206" s="244">
        <v>502</v>
      </c>
      <c r="C206" s="309" t="s">
        <v>103</v>
      </c>
      <c r="D206" s="606" t="s">
        <v>104</v>
      </c>
      <c r="E206" s="607"/>
      <c r="F206" s="608">
        <f>-totalremene22*porjub-porjub*1.07*E195</f>
        <v>-8960</v>
      </c>
      <c r="G206" s="298"/>
      <c r="H206" s="607"/>
      <c r="I206" s="608">
        <f>-totalrem5*porjub-porjub*1.07*H195</f>
        <v>-8494.5273631840791</v>
      </c>
      <c r="J206" s="260"/>
      <c r="K206" s="311"/>
      <c r="L206" s="310">
        <f>-totalrem4*porjub-porjub*1.07*K195</f>
        <v>-8075.8208955223872</v>
      </c>
      <c r="M206" s="312"/>
      <c r="N206" s="311"/>
      <c r="O206" s="310">
        <f>-totalrem3*porjub-porjub*1.07*N195</f>
        <v>-7477.412935323383</v>
      </c>
      <c r="P206" s="312"/>
      <c r="Q206" s="311"/>
      <c r="R206" s="310">
        <f>-totalrem2*porjub-porjub*1.07*Q195</f>
        <v>-6879.6019900497504</v>
      </c>
      <c r="S206" s="313"/>
      <c r="T206" s="311"/>
      <c r="U206" s="310">
        <f>-totalrem1*porjub-porjub*1.07*T195</f>
        <v>-6460.6965174129346</v>
      </c>
      <c r="V206" s="312"/>
      <c r="W206" s="311"/>
      <c r="X206" s="310">
        <f>-totalremfeb21*porjub-porjub*1.07*W195</f>
        <v>-5982.0895522388055</v>
      </c>
      <c r="Y206" s="313"/>
      <c r="Z206" s="311"/>
      <c r="AA206" s="310">
        <f>-totalremfeb21*porjub-porjub*1.07*Z195</f>
        <v>-5982.0895522388055</v>
      </c>
      <c r="AB206" s="313"/>
      <c r="AC206" s="311"/>
      <c r="AD206" s="310">
        <f>-totalremmar20*porjub-porjub*1.07*AC195</f>
        <v>-4424.8756218905473</v>
      </c>
      <c r="AE206" s="314"/>
      <c r="AF206" s="157"/>
      <c r="AG206" s="315"/>
      <c r="AH206" s="316"/>
      <c r="AI206" s="157"/>
      <c r="AJ206" s="315"/>
      <c r="AK206" s="316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</row>
    <row r="207" spans="1:49" hidden="1">
      <c r="A207" s="13"/>
      <c r="B207" s="238">
        <v>504</v>
      </c>
      <c r="C207" s="317" t="s">
        <v>105</v>
      </c>
      <c r="D207" s="794" t="s">
        <v>552</v>
      </c>
      <c r="E207" s="609"/>
      <c r="F207" s="610"/>
      <c r="G207" s="298"/>
      <c r="H207" s="609"/>
      <c r="I207" s="610">
        <f>-totalrem5*porley-porley*1.07*H195</f>
        <v>-318.54477611940291</v>
      </c>
      <c r="J207" s="260"/>
      <c r="K207" s="319"/>
      <c r="L207" s="318">
        <f>-totalrem4*porley-porley*1.07*K195</f>
        <v>-302.84328358208955</v>
      </c>
      <c r="M207" s="298"/>
      <c r="N207" s="319"/>
      <c r="O207" s="318">
        <f>-totalrem3*porley-porley*1.07*N195</f>
        <v>-280.40298507462688</v>
      </c>
      <c r="P207" s="298"/>
      <c r="Q207" s="319"/>
      <c r="R207" s="318">
        <f>-totalrem2*porley-porley*1.07*Q195</f>
        <v>-257.98507462686564</v>
      </c>
      <c r="S207" s="262"/>
      <c r="T207" s="319"/>
      <c r="U207" s="318">
        <f>-totalrem1*porley-porley*1.07*T195</f>
        <v>-242.27611940298507</v>
      </c>
      <c r="V207" s="298"/>
      <c r="W207" s="319"/>
      <c r="X207" s="318">
        <f>-totalremfeb21*porley-porley*1.07*W195</f>
        <v>-224.32835820895519</v>
      </c>
      <c r="Y207" s="262"/>
      <c r="Z207" s="319"/>
      <c r="AA207" s="318">
        <f>-totalremfeb21*porley-porley*1.07*Z195</f>
        <v>-224.32835820895519</v>
      </c>
      <c r="AB207" s="262"/>
      <c r="AC207" s="319"/>
      <c r="AD207" s="318">
        <f>-totalremmar20*porley-porley*1.07*AC195</f>
        <v>-165.93283582089555</v>
      </c>
      <c r="AE207" s="320"/>
      <c r="AF207" s="157"/>
      <c r="AG207" s="315"/>
      <c r="AH207" s="316"/>
      <c r="AI207" s="157"/>
      <c r="AJ207" s="315"/>
      <c r="AK207" s="316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</row>
    <row r="208" spans="1:49" hidden="1">
      <c r="A208" s="13"/>
      <c r="B208" s="244">
        <v>505</v>
      </c>
      <c r="C208" s="309" t="s">
        <v>107</v>
      </c>
      <c r="D208" s="606" t="s">
        <v>108</v>
      </c>
      <c r="E208" s="607"/>
      <c r="F208" s="608">
        <f>-totalremene22*poros-poros*1.07*E195</f>
        <v>-1679.9999999999998</v>
      </c>
      <c r="G208" s="298"/>
      <c r="H208" s="607"/>
      <c r="I208" s="608">
        <f>-totalrem5*poros-poros*1.07*H195</f>
        <v>-1592.7238805970146</v>
      </c>
      <c r="J208" s="260"/>
      <c r="K208" s="311"/>
      <c r="L208" s="310">
        <f>-totalrem4*poros-poros*1.07*K195</f>
        <v>-1514.2164179104477</v>
      </c>
      <c r="M208" s="312"/>
      <c r="N208" s="311"/>
      <c r="O208" s="310">
        <f>-totalrem3*poros-poros*1.07*N195</f>
        <v>-1402.0149253731342</v>
      </c>
      <c r="P208" s="312"/>
      <c r="Q208" s="311"/>
      <c r="R208" s="310">
        <f>-totalrem2*poros-poros*1.07*Q195</f>
        <v>-1289.9253731343283</v>
      </c>
      <c r="S208" s="313"/>
      <c r="T208" s="311"/>
      <c r="U208" s="310">
        <f>-totalrem1*poros-poros*1.07*T195</f>
        <v>-1211.3805970149253</v>
      </c>
      <c r="V208" s="312"/>
      <c r="W208" s="311"/>
      <c r="X208" s="310">
        <f>-totalremfeb21*poros-poros*1.07*W195</f>
        <v>-1121.641791044776</v>
      </c>
      <c r="Y208" s="312"/>
      <c r="Z208" s="311"/>
      <c r="AA208" s="310">
        <f>-totalremfeb21*poros-poros*1.07*Z195</f>
        <v>-1121.641791044776</v>
      </c>
      <c r="AB208" s="312"/>
      <c r="AC208" s="311"/>
      <c r="AD208" s="310">
        <f>-totalremmar20*poros-AC195*1.07*poros</f>
        <v>-829.66417910447751</v>
      </c>
      <c r="AE208" s="16"/>
      <c r="AF208" s="157"/>
      <c r="AG208" s="315"/>
      <c r="AH208" s="316"/>
      <c r="AI208" s="157"/>
      <c r="AJ208" s="315"/>
      <c r="AK208" s="316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</row>
    <row r="209" spans="1:49" ht="15" hidden="1">
      <c r="A209" s="13"/>
      <c r="B209" s="238">
        <v>510</v>
      </c>
      <c r="C209" s="150"/>
      <c r="D209" s="611" t="s">
        <v>109</v>
      </c>
      <c r="E209" s="600">
        <f>E145</f>
        <v>0</v>
      </c>
      <c r="F209" s="605">
        <f>-E209</f>
        <v>0</v>
      </c>
      <c r="G209" s="298"/>
      <c r="H209" s="600">
        <f>H145</f>
        <v>0</v>
      </c>
      <c r="I209" s="605">
        <f>-H209</f>
        <v>0</v>
      </c>
      <c r="J209" s="260"/>
      <c r="K209" s="308">
        <v>0</v>
      </c>
      <c r="L209" s="307">
        <f>-H209</f>
        <v>0</v>
      </c>
      <c r="M209" s="312"/>
      <c r="N209" s="308">
        <v>0</v>
      </c>
      <c r="O209" s="307">
        <f>-K209</f>
        <v>0</v>
      </c>
      <c r="P209" s="312"/>
      <c r="Q209" s="308">
        <v>0</v>
      </c>
      <c r="R209" s="307">
        <f>-N209</f>
        <v>0</v>
      </c>
      <c r="S209" s="313"/>
      <c r="T209" s="308">
        <v>0</v>
      </c>
      <c r="U209" s="307">
        <f>-Q209</f>
        <v>0</v>
      </c>
      <c r="V209" s="312"/>
      <c r="W209" s="308">
        <v>0</v>
      </c>
      <c r="X209" s="307">
        <f>-T209</f>
        <v>0</v>
      </c>
      <c r="Y209" s="312"/>
      <c r="Z209" s="308">
        <v>0</v>
      </c>
      <c r="AA209" s="307">
        <f>-W209</f>
        <v>0</v>
      </c>
      <c r="AB209" s="312"/>
      <c r="AC209" s="308">
        <v>0</v>
      </c>
      <c r="AD209" s="307">
        <f>-Z209</f>
        <v>0</v>
      </c>
      <c r="AE209" s="16"/>
      <c r="AF209" s="300"/>
      <c r="AG209" s="64"/>
      <c r="AH209" s="316"/>
      <c r="AI209" s="300"/>
      <c r="AJ209" s="64"/>
      <c r="AK209" s="316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</row>
    <row r="210" spans="1:49" ht="15" hidden="1">
      <c r="A210" s="13"/>
      <c r="B210" s="244">
        <v>332</v>
      </c>
      <c r="C210" s="321">
        <f>C146</f>
        <v>0</v>
      </c>
      <c r="D210" s="606" t="s">
        <v>110</v>
      </c>
      <c r="E210" s="612"/>
      <c r="F210" s="608">
        <f>-totalremene22*C210-E195*C210-(E200+E201+E202)*C210</f>
        <v>0</v>
      </c>
      <c r="G210" s="298"/>
      <c r="H210" s="612"/>
      <c r="I210" s="608">
        <f>-totalrem5*C210-H195*C210-(H200+H201+H202)*C210</f>
        <v>0</v>
      </c>
      <c r="J210" s="260"/>
      <c r="K210" s="322"/>
      <c r="L210" s="310">
        <f>-totalrem4*C210-K195*C210-(K200+K201+K202)*C210</f>
        <v>0</v>
      </c>
      <c r="M210" s="323"/>
      <c r="N210" s="322"/>
      <c r="O210" s="310">
        <f>-totalrem3*C210-N195*C210-(N200+N201+N202)*C210</f>
        <v>0</v>
      </c>
      <c r="P210" s="323"/>
      <c r="Q210" s="322"/>
      <c r="R210" s="310">
        <f>-totalrem2*C210-Q195*C210-(Q200+Q201+Q202)*C210</f>
        <v>0</v>
      </c>
      <c r="S210" s="323"/>
      <c r="T210" s="322"/>
      <c r="U210" s="310">
        <f>-totalrem1*C210-T195*C210-(T200+T201+T202)*C210</f>
        <v>0</v>
      </c>
      <c r="V210" s="323"/>
      <c r="W210" s="322"/>
      <c r="X210" s="310">
        <f>-totalremfeb21*C210-W195*C210-(W200+W201+W202)*C210</f>
        <v>0</v>
      </c>
      <c r="Y210" s="323"/>
      <c r="Z210" s="322"/>
      <c r="AA210" s="310">
        <f>-totalrem4*C210-Z195*C210-(Z200+Z201+Z202)*C210</f>
        <v>0</v>
      </c>
      <c r="AB210" s="323"/>
      <c r="AC210" s="322"/>
      <c r="AD210" s="310">
        <f>-totalremmar20*C210-AC195*C210-(AC200+AC201+AC202)*C210</f>
        <v>0</v>
      </c>
      <c r="AE210" s="324"/>
      <c r="AF210" s="300"/>
      <c r="AG210" s="315"/>
      <c r="AH210" s="316"/>
      <c r="AI210" s="300"/>
      <c r="AJ210" s="315"/>
      <c r="AK210" s="316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</row>
    <row r="211" spans="1:49" ht="15" hidden="1">
      <c r="A211" s="13"/>
      <c r="B211" s="325"/>
      <c r="C211" s="326"/>
      <c r="D211" s="594" t="s">
        <v>111</v>
      </c>
      <c r="E211" s="600">
        <f>E147</f>
        <v>0</v>
      </c>
      <c r="F211" s="605">
        <f>-E211</f>
        <v>0</v>
      </c>
      <c r="G211" s="298"/>
      <c r="H211" s="600">
        <f>H147</f>
        <v>0</v>
      </c>
      <c r="I211" s="605">
        <f>-H211</f>
        <v>0</v>
      </c>
      <c r="J211" s="260"/>
      <c r="K211" s="308">
        <v>0</v>
      </c>
      <c r="L211" s="307">
        <f>-K211</f>
        <v>0</v>
      </c>
      <c r="M211" s="298"/>
      <c r="N211" s="308">
        <v>0</v>
      </c>
      <c r="O211" s="307">
        <f>-N211</f>
        <v>0</v>
      </c>
      <c r="P211" s="298"/>
      <c r="Q211" s="308">
        <v>0</v>
      </c>
      <c r="R211" s="307">
        <f>-Q211</f>
        <v>0</v>
      </c>
      <c r="S211" s="298"/>
      <c r="T211" s="308">
        <v>0</v>
      </c>
      <c r="U211" s="307">
        <f>-T211</f>
        <v>0</v>
      </c>
      <c r="V211" s="298"/>
      <c r="W211" s="308">
        <v>0</v>
      </c>
      <c r="X211" s="307">
        <f>-W211</f>
        <v>0</v>
      </c>
      <c r="Y211" s="298"/>
      <c r="Z211" s="308">
        <v>0</v>
      </c>
      <c r="AA211" s="307">
        <f>-Z211</f>
        <v>0</v>
      </c>
      <c r="AB211" s="298"/>
      <c r="AC211" s="308">
        <v>0</v>
      </c>
      <c r="AD211" s="307">
        <f>-AC211</f>
        <v>0</v>
      </c>
      <c r="AE211" s="320"/>
      <c r="AF211" s="300"/>
      <c r="AG211" s="64"/>
      <c r="AH211" s="316"/>
      <c r="AI211" s="300"/>
      <c r="AJ211" s="64"/>
      <c r="AK211" s="316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</row>
    <row r="212" spans="1:49" hidden="1">
      <c r="A212" s="13"/>
      <c r="B212" s="289"/>
      <c r="C212" s="301"/>
      <c r="D212" s="604" t="s">
        <v>112</v>
      </c>
      <c r="E212" s="613"/>
      <c r="F212" s="614">
        <f>SUM(F205:F211)</f>
        <v>-10640</v>
      </c>
      <c r="G212" s="302"/>
      <c r="H212" s="613"/>
      <c r="I212" s="614">
        <f>SUM(I205:I211)</f>
        <v>-10405.796019900496</v>
      </c>
      <c r="J212" s="302"/>
      <c r="K212" s="328"/>
      <c r="L212" s="327">
        <f>SUM(L205:L211)</f>
        <v>-9892.8805970149242</v>
      </c>
      <c r="M212" s="302"/>
      <c r="N212" s="328"/>
      <c r="O212" s="327">
        <f>SUM(O205:O211)</f>
        <v>-9159.8308457711428</v>
      </c>
      <c r="P212" s="302"/>
      <c r="Q212" s="328"/>
      <c r="R212" s="327">
        <f>SUM(R205:R211)</f>
        <v>-8427.5124378109449</v>
      </c>
      <c r="S212" s="302"/>
      <c r="T212" s="328"/>
      <c r="U212" s="327">
        <f>SUM(U205:U211)</f>
        <v>-7914.3532338308451</v>
      </c>
      <c r="V212" s="302"/>
      <c r="W212" s="328"/>
      <c r="X212" s="327">
        <f>SUM(X205:X211)</f>
        <v>-7328.059701492537</v>
      </c>
      <c r="Y212" s="302"/>
      <c r="Z212" s="328"/>
      <c r="AA212" s="327">
        <f>SUM(AA205:AA211)</f>
        <v>-7328.059701492537</v>
      </c>
      <c r="AB212" s="302"/>
      <c r="AC212" s="328"/>
      <c r="AD212" s="327">
        <f>SUM(AD205:AD211)</f>
        <v>-5420.4726368159209</v>
      </c>
      <c r="AE212" s="329"/>
      <c r="AF212" s="89"/>
      <c r="AG212" s="330"/>
      <c r="AH212" s="249"/>
      <c r="AI212" s="89"/>
      <c r="AJ212" s="330"/>
      <c r="AK212" s="249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</row>
    <row r="213" spans="1:49" ht="12.75" hidden="1">
      <c r="A213" s="13"/>
      <c r="B213" s="331"/>
      <c r="C213" s="13"/>
      <c r="D213" s="615"/>
      <c r="E213" s="594"/>
      <c r="F213" s="594"/>
      <c r="G213" s="333"/>
      <c r="H213" s="594"/>
      <c r="I213" s="594"/>
      <c r="J213" s="333"/>
      <c r="K213" s="13"/>
      <c r="L213" s="13"/>
      <c r="M213" s="333"/>
      <c r="N213" s="13"/>
      <c r="O213" s="13"/>
      <c r="P213" s="333"/>
      <c r="Q213" s="13"/>
      <c r="R213" s="13"/>
      <c r="S213" s="333"/>
      <c r="T213" s="13"/>
      <c r="U213" s="13"/>
      <c r="V213" s="333"/>
      <c r="W213" s="13"/>
      <c r="X213" s="13"/>
      <c r="Y213" s="333"/>
      <c r="Z213" s="13"/>
      <c r="AA213" s="13"/>
      <c r="AB213" s="333"/>
      <c r="AC213" s="13"/>
      <c r="AD213" s="13"/>
      <c r="AE213" s="33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</row>
    <row r="214" spans="1:49" ht="23.25" hidden="1">
      <c r="A214" s="13"/>
      <c r="B214" s="334"/>
      <c r="C214" s="13"/>
      <c r="D214" s="594"/>
      <c r="E214" s="616" t="s">
        <v>115</v>
      </c>
      <c r="F214" s="871">
        <f>E204+F212</f>
        <v>50439.999999999993</v>
      </c>
      <c r="G214" s="583"/>
      <c r="H214" s="616" t="s">
        <v>115</v>
      </c>
      <c r="I214" s="871">
        <f>H204+I212</f>
        <v>47764.999999999993</v>
      </c>
      <c r="J214" s="583"/>
      <c r="K214" s="335" t="s">
        <v>115</v>
      </c>
      <c r="L214" s="870">
        <f>K204+L212</f>
        <v>44410.999999999993</v>
      </c>
      <c r="M214" s="131"/>
      <c r="N214" s="335" t="s">
        <v>115</v>
      </c>
      <c r="O214" s="870">
        <f>N204+O212</f>
        <v>41404</v>
      </c>
      <c r="P214" s="131"/>
      <c r="Q214" s="335" t="s">
        <v>115</v>
      </c>
      <c r="R214" s="870">
        <f>Q204+R212</f>
        <v>37699.999999999993</v>
      </c>
      <c r="S214" s="131"/>
      <c r="T214" s="335" t="s">
        <v>115</v>
      </c>
      <c r="U214" s="821">
        <f>T204+U212</f>
        <v>35595</v>
      </c>
      <c r="V214" s="131"/>
      <c r="W214" s="335" t="s">
        <v>115</v>
      </c>
      <c r="X214" s="821">
        <f>W204+X212</f>
        <v>33189.999999999993</v>
      </c>
      <c r="Y214" s="131"/>
      <c r="Z214" s="335" t="s">
        <v>115</v>
      </c>
      <c r="AA214" s="821">
        <f>Z204+AA212</f>
        <v>32689.999999999993</v>
      </c>
      <c r="AB214" s="131"/>
      <c r="AC214" s="335" t="s">
        <v>115</v>
      </c>
      <c r="AD214" s="821">
        <f>AC204+AD212</f>
        <v>24864.999999999996</v>
      </c>
      <c r="AE214" s="131"/>
      <c r="AF214" s="31"/>
      <c r="AG214" s="336"/>
      <c r="AH214" s="13"/>
      <c r="AI214" s="31"/>
      <c r="AJ214" s="336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</row>
    <row r="215" spans="1:49" hidden="1">
      <c r="A215" s="13"/>
      <c r="B215" s="334"/>
      <c r="C215" s="31"/>
      <c r="D215" s="616"/>
      <c r="E215" s="617"/>
      <c r="F215" s="615"/>
      <c r="G215" s="337"/>
      <c r="H215" s="617"/>
      <c r="I215" s="615"/>
      <c r="J215" s="337"/>
      <c r="K215" s="293"/>
      <c r="L215" s="61"/>
      <c r="M215" s="337"/>
      <c r="N215" s="293"/>
      <c r="O215" s="61"/>
      <c r="P215" s="337"/>
      <c r="Q215" s="293"/>
      <c r="R215" s="61" t="s">
        <v>116</v>
      </c>
      <c r="S215" s="337"/>
      <c r="T215" s="293"/>
      <c r="U215" s="61"/>
      <c r="V215" s="337"/>
      <c r="W215" s="293"/>
      <c r="X215" s="61" t="s">
        <v>116</v>
      </c>
      <c r="Y215" s="337"/>
      <c r="Z215" s="293"/>
      <c r="AA215" s="61" t="s">
        <v>116</v>
      </c>
      <c r="AB215" s="337"/>
      <c r="AC215" s="293"/>
      <c r="AD215" s="61" t="s">
        <v>116</v>
      </c>
      <c r="AE215" s="337"/>
      <c r="AF215" s="293"/>
      <c r="AG215" s="13"/>
      <c r="AH215" s="13"/>
      <c r="AI215" s="29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</row>
    <row r="216" spans="1:49" hidden="1">
      <c r="A216" s="13"/>
      <c r="B216" s="334"/>
      <c r="C216" s="31"/>
      <c r="D216" s="616"/>
      <c r="E216" s="594" t="s">
        <v>117</v>
      </c>
      <c r="F216" s="594"/>
      <c r="G216" s="337"/>
      <c r="H216" s="594" t="s">
        <v>117</v>
      </c>
      <c r="I216" s="594"/>
      <c r="J216" s="337"/>
      <c r="K216" s="115" t="s">
        <v>117</v>
      </c>
      <c r="L216" s="13"/>
      <c r="M216" s="337"/>
      <c r="N216" s="115" t="s">
        <v>117</v>
      </c>
      <c r="O216" s="13"/>
      <c r="P216" s="337"/>
      <c r="Q216" s="115" t="s">
        <v>117</v>
      </c>
      <c r="R216" s="13"/>
      <c r="S216" s="337"/>
      <c r="T216" s="115" t="s">
        <v>117</v>
      </c>
      <c r="U216" s="13"/>
      <c r="V216" s="337"/>
      <c r="W216" s="115" t="s">
        <v>117</v>
      </c>
      <c r="X216" s="13"/>
      <c r="Y216" s="337"/>
      <c r="Z216" s="115" t="s">
        <v>117</v>
      </c>
      <c r="AA216" s="13"/>
      <c r="AB216" s="337"/>
      <c r="AC216" s="115" t="s">
        <v>117</v>
      </c>
      <c r="AD216" s="13"/>
      <c r="AE216" s="337"/>
      <c r="AF216" s="24"/>
      <c r="AG216" s="13"/>
      <c r="AH216" s="13"/>
      <c r="AI216" s="24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</row>
    <row r="217" spans="1:49" hidden="1">
      <c r="A217" s="13"/>
      <c r="B217" s="334"/>
      <c r="C217" s="31"/>
      <c r="D217" s="616"/>
      <c r="E217" s="605">
        <f>E184+E185+E186+E187+E188+E189+E192+E193+E194+F205+E196+( (E184+E185+E186+E187+E188+E189+E192+E193+E194+E205+E196)*0.07)</f>
        <v>46358.924074981696</v>
      </c>
      <c r="F217" s="594" t="s">
        <v>118</v>
      </c>
      <c r="G217" s="337"/>
      <c r="H217" s="605">
        <f>H184+H185+H186+H187+H188+H189+H192+H193+H194+I205+H196+( (H184+H185+H186+H187+H188+H189+H192+H193+H194+H205+H196)*0.07)</f>
        <v>43624.728222800004</v>
      </c>
      <c r="I217" s="594" t="s">
        <v>118</v>
      </c>
      <c r="J217" s="337"/>
      <c r="K217" s="338">
        <f>K184+K185+K186+K187+K188+K189+K192+K193+K194+L205+K196+( (K184+K185+K186+K187+K188+K189+K192+K193+K194+K205+K196)*0.07)</f>
        <v>41473.834365015005</v>
      </c>
      <c r="L217" s="115" t="s">
        <v>118</v>
      </c>
      <c r="M217" s="337"/>
      <c r="N217" s="338">
        <f>N184+N185+N186+N187+N188+N189+N192+N193+N194+O205+N196+( (N184+N185+N186+N187+N188+N189+N192+N193+N194+N205+N196)*0.07)</f>
        <v>38401.698486125002</v>
      </c>
      <c r="O217" s="115" t="s">
        <v>118</v>
      </c>
      <c r="P217" s="337"/>
      <c r="Q217" s="338">
        <f>Q184+Q185+Q186+Q187+Q188+Q189+Q192+Q193+Q194+R205+Q196+( (Q184+Q185+Q186+Q187+Q188+Q189+Q192+Q193+Q194+Q205+Q196)*0.07)</f>
        <v>35329.562607234999</v>
      </c>
      <c r="R217" s="115" t="s">
        <v>118</v>
      </c>
      <c r="S217" s="337"/>
      <c r="T217" s="338">
        <f>T184+T185+T186+T187+T188+T189+T192+T193+T194+U205+T196+( (T184+T185+T186+T187+T188+T189+T192+T193+T194+T205+T196)*0.07)</f>
        <v>33179.067492012007</v>
      </c>
      <c r="U217" s="115" t="s">
        <v>118</v>
      </c>
      <c r="V217" s="337"/>
      <c r="W217" s="338">
        <f>W184+W185+W186+W187+W188+W189+W192+W193+W194+X205+W196+( (W184+W185+W186+W187+W188+W189+W192+W193+W194+W205+W196)*0.07)</f>
        <v>30721.358788900001</v>
      </c>
      <c r="X217" s="115" t="s">
        <v>118</v>
      </c>
      <c r="Y217" s="337"/>
      <c r="Z217" s="338">
        <f>Z184+Z185+Z186+Z187+Z188+Z189+Z192+Z193+Z194+AA205+Z196+( (Z184+Z185+Z186+Z187+Z188+Z189+Z192+Z193+Z194+Z205+Z196)*0.07)</f>
        <v>30721.358788900001</v>
      </c>
      <c r="AA217" s="115" t="s">
        <v>118</v>
      </c>
      <c r="AB217" s="337"/>
      <c r="AC217" s="338">
        <f>AC184+AC185+AC186+AC187+AC188+AC189+AC192+AC193+AC194+AD205+AC196+( (AC184+AC185+AC186+AC187+AC188+AC189+AC192+AC193+AC194+AC205+AC196)*0.07)</f>
        <v>22062.190686000005</v>
      </c>
      <c r="AD217" s="115" t="s">
        <v>118</v>
      </c>
      <c r="AE217" s="337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</row>
    <row r="218" spans="1:49" hidden="1">
      <c r="A218" s="13"/>
      <c r="B218" s="334"/>
      <c r="C218" s="31"/>
      <c r="D218" s="616"/>
      <c r="E218" s="618">
        <f>totalremene22*1.07</f>
        <v>49604.04876023042</v>
      </c>
      <c r="F218" s="594" t="s">
        <v>119</v>
      </c>
      <c r="G218" s="337"/>
      <c r="H218" s="618">
        <f>totalrem5*1.07</f>
        <v>46678.459198396005</v>
      </c>
      <c r="I218" s="594" t="s">
        <v>119</v>
      </c>
      <c r="J218" s="337"/>
      <c r="K218" s="339">
        <f>totalrem4*1.07</f>
        <v>44377.002770566061</v>
      </c>
      <c r="L218" s="115" t="s">
        <v>119</v>
      </c>
      <c r="M218" s="337"/>
      <c r="N218" s="339">
        <f>totalrem3*1.07</f>
        <v>41089.817380153756</v>
      </c>
      <c r="O218" s="115" t="s">
        <v>119</v>
      </c>
      <c r="P218" s="337"/>
      <c r="Q218" s="339">
        <f>totalrem2*1.07</f>
        <v>37802.631989741451</v>
      </c>
      <c r="R218" s="115" t="s">
        <v>119</v>
      </c>
      <c r="S218" s="337"/>
      <c r="T218" s="339">
        <f>totalrem1*1.07</f>
        <v>35501.602216452848</v>
      </c>
      <c r="U218" s="115" t="s">
        <v>119</v>
      </c>
      <c r="V218" s="337"/>
      <c r="W218" s="339">
        <f>totalrem4*1.07</f>
        <v>44377.002770566061</v>
      </c>
      <c r="X218" s="115" t="s">
        <v>119</v>
      </c>
      <c r="Y218" s="337"/>
      <c r="Z218" s="339">
        <f>totalremfeb21*1.07</f>
        <v>32871.853904123003</v>
      </c>
      <c r="AA218" s="115" t="s">
        <v>119</v>
      </c>
      <c r="AB218" s="337"/>
      <c r="AC218" s="339">
        <f>totalrem4*1.07</f>
        <v>44377.002770566061</v>
      </c>
      <c r="AD218" s="115" t="s">
        <v>119</v>
      </c>
      <c r="AE218" s="337"/>
      <c r="AF218" s="293"/>
      <c r="AG218" s="13"/>
      <c r="AH218" s="13"/>
      <c r="AI218" s="29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</row>
    <row r="219" spans="1:49" ht="18" hidden="1">
      <c r="A219" s="13"/>
      <c r="B219" s="334"/>
      <c r="C219" s="31"/>
      <c r="D219" s="616"/>
      <c r="E219" s="619" t="s">
        <v>120</v>
      </c>
      <c r="F219" s="620">
        <f>F214-I214</f>
        <v>2675</v>
      </c>
      <c r="G219" s="337"/>
      <c r="H219" s="619" t="s">
        <v>120</v>
      </c>
      <c r="I219" s="620">
        <f>I214-L214</f>
        <v>3354</v>
      </c>
      <c r="J219" s="337"/>
      <c r="K219" s="340" t="s">
        <v>120</v>
      </c>
      <c r="L219" s="341">
        <f>L214-O214</f>
        <v>3006.9999999999927</v>
      </c>
      <c r="M219" s="337"/>
      <c r="N219" s="340" t="s">
        <v>120</v>
      </c>
      <c r="O219" s="341">
        <f>O214-R214</f>
        <v>3704.0000000000073</v>
      </c>
      <c r="P219" s="337"/>
      <c r="Q219" s="340" t="s">
        <v>120</v>
      </c>
      <c r="R219" s="341">
        <f>R214-U214</f>
        <v>2104.9999999999927</v>
      </c>
      <c r="S219" s="337"/>
      <c r="T219" s="340" t="s">
        <v>120</v>
      </c>
      <c r="U219" s="341">
        <f>U214-X214</f>
        <v>2405.0000000000073</v>
      </c>
      <c r="V219" s="337"/>
      <c r="W219" s="340" t="s">
        <v>120</v>
      </c>
      <c r="X219" s="341">
        <f>X214-AA214</f>
        <v>500</v>
      </c>
      <c r="Y219" s="337"/>
      <c r="Z219" s="340" t="s">
        <v>120</v>
      </c>
      <c r="AA219" s="341">
        <f>AA214-AD214</f>
        <v>7824.9999999999964</v>
      </c>
      <c r="AB219" s="337"/>
      <c r="AC219" s="342"/>
      <c r="AD219" s="343"/>
      <c r="AE219" s="337"/>
      <c r="AF219" s="344"/>
      <c r="AG219" s="345"/>
      <c r="AH219" s="13"/>
      <c r="AI219" s="344"/>
      <c r="AJ219" s="345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</row>
    <row r="220" spans="1:49" ht="18" hidden="1">
      <c r="A220" s="13"/>
      <c r="B220" s="13"/>
      <c r="C220" s="13"/>
      <c r="D220" s="594"/>
      <c r="E220" s="619" t="s">
        <v>121</v>
      </c>
      <c r="F220" s="621">
        <f>F219/I214</f>
        <v>5.6003349733068156E-2</v>
      </c>
      <c r="G220" s="131"/>
      <c r="H220" s="619" t="s">
        <v>121</v>
      </c>
      <c r="I220" s="621">
        <f>I219/L214</f>
        <v>7.5521830177208357E-2</v>
      </c>
      <c r="J220" s="131"/>
      <c r="K220" s="340" t="s">
        <v>121</v>
      </c>
      <c r="L220" s="346">
        <f>L219/O214</f>
        <v>7.2625833252825636E-2</v>
      </c>
      <c r="M220" s="131"/>
      <c r="N220" s="340" t="s">
        <v>121</v>
      </c>
      <c r="O220" s="346">
        <f>O219/R214</f>
        <v>9.8249336870026738E-2</v>
      </c>
      <c r="P220" s="131"/>
      <c r="Q220" s="340" t="s">
        <v>121</v>
      </c>
      <c r="R220" s="346">
        <f>R219/U214</f>
        <v>5.9137519314510258E-2</v>
      </c>
      <c r="S220" s="131"/>
      <c r="T220" s="340" t="s">
        <v>121</v>
      </c>
      <c r="U220" s="346">
        <f>U219/X214</f>
        <v>7.2461584814703453E-2</v>
      </c>
      <c r="V220" s="131"/>
      <c r="W220" s="340" t="s">
        <v>121</v>
      </c>
      <c r="X220" s="346">
        <f>X219/AA214</f>
        <v>1.5295197308045277E-2</v>
      </c>
      <c r="Y220" s="131"/>
      <c r="Z220" s="340" t="s">
        <v>121</v>
      </c>
      <c r="AA220" s="346">
        <f>AA219/AD214</f>
        <v>0.31469937663382253</v>
      </c>
      <c r="AB220" s="131"/>
      <c r="AC220" s="347"/>
      <c r="AD220" s="348"/>
      <c r="AE220" s="131"/>
      <c r="AF220" s="344"/>
      <c r="AG220" s="349"/>
      <c r="AH220" s="35"/>
      <c r="AI220" s="344"/>
      <c r="AJ220" s="349"/>
      <c r="AK220" s="35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</row>
    <row r="221" spans="1:49" ht="18" hidden="1">
      <c r="A221" s="13"/>
      <c r="B221" s="334"/>
      <c r="C221" s="31"/>
      <c r="D221" s="616"/>
      <c r="E221" s="594"/>
      <c r="F221" s="594"/>
      <c r="G221" s="337"/>
      <c r="H221" s="594"/>
      <c r="I221" s="594"/>
      <c r="J221" s="337"/>
      <c r="K221" s="13"/>
      <c r="L221" s="13"/>
      <c r="M221" s="337"/>
      <c r="N221" s="13"/>
      <c r="O221" s="13"/>
      <c r="P221" s="337"/>
      <c r="Q221" s="13"/>
      <c r="R221" s="13"/>
      <c r="S221" s="337"/>
      <c r="T221" s="13"/>
      <c r="U221" s="13"/>
      <c r="V221" s="337"/>
      <c r="W221" s="35"/>
      <c r="X221" s="349"/>
      <c r="Y221" s="337"/>
      <c r="Z221" s="35"/>
      <c r="AA221" s="349"/>
      <c r="AB221" s="337"/>
      <c r="AC221" s="13"/>
      <c r="AD221" s="13"/>
      <c r="AE221" s="337"/>
      <c r="AF221" s="13"/>
      <c r="AG221" s="13"/>
      <c r="AH221" s="293"/>
      <c r="AI221" s="13"/>
      <c r="AJ221" s="13"/>
      <c r="AK221" s="29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</row>
    <row r="222" spans="1:49" ht="18" hidden="1">
      <c r="A222" s="13"/>
      <c r="B222" s="334"/>
      <c r="C222" s="31"/>
      <c r="D222" s="616"/>
      <c r="E222" s="905" t="s">
        <v>555</v>
      </c>
      <c r="F222" s="872">
        <f>F214-AA214</f>
        <v>17750</v>
      </c>
      <c r="G222" s="337"/>
      <c r="H222" s="905" t="s">
        <v>555</v>
      </c>
      <c r="I222" s="623">
        <f>I214-AA214</f>
        <v>15075</v>
      </c>
      <c r="J222" s="337"/>
      <c r="K222" s="905" t="s">
        <v>555</v>
      </c>
      <c r="L222" s="351">
        <f>L214-AA214</f>
        <v>11721</v>
      </c>
      <c r="M222" s="337"/>
      <c r="N222" s="905" t="s">
        <v>555</v>
      </c>
      <c r="O222" s="351">
        <f>O214-AA214</f>
        <v>8714.0000000000073</v>
      </c>
      <c r="P222" s="337"/>
      <c r="Q222" s="905" t="s">
        <v>555</v>
      </c>
      <c r="R222" s="351">
        <f>R214-AA214</f>
        <v>5010</v>
      </c>
      <c r="S222" s="337"/>
      <c r="T222" s="905" t="s">
        <v>555</v>
      </c>
      <c r="U222" s="351">
        <f>U214-AA214</f>
        <v>2905.0000000000073</v>
      </c>
      <c r="V222" s="337"/>
      <c r="W222" s="905" t="s">
        <v>555</v>
      </c>
      <c r="X222" s="351">
        <f>X214-AA214</f>
        <v>500</v>
      </c>
      <c r="Y222" s="337"/>
      <c r="Z222" s="905" t="s">
        <v>555</v>
      </c>
      <c r="AA222" s="351">
        <f>AA214-AA214</f>
        <v>0</v>
      </c>
      <c r="AB222" s="337"/>
      <c r="AC222" s="13"/>
      <c r="AD222" s="13"/>
      <c r="AE222" s="337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</row>
    <row r="223" spans="1:49" ht="18" hidden="1">
      <c r="A223" s="13"/>
      <c r="B223" s="334"/>
      <c r="C223" s="31"/>
      <c r="D223" s="616"/>
      <c r="E223" s="905" t="s">
        <v>556</v>
      </c>
      <c r="F223" s="624">
        <f>F222/AA214</f>
        <v>0.54297950443560739</v>
      </c>
      <c r="G223" s="337"/>
      <c r="H223" s="905" t="s">
        <v>556</v>
      </c>
      <c r="I223" s="624">
        <f>I222/AA214</f>
        <v>0.46115019883756508</v>
      </c>
      <c r="J223" s="337"/>
      <c r="K223" s="905" t="s">
        <v>556</v>
      </c>
      <c r="L223" s="352">
        <f>L222/AA214</f>
        <v>0.35855001529519737</v>
      </c>
      <c r="M223" s="337"/>
      <c r="N223" s="905" t="s">
        <v>556</v>
      </c>
      <c r="O223" s="352">
        <f>O222/AA214</f>
        <v>0.2665646986846133</v>
      </c>
      <c r="P223" s="337"/>
      <c r="Q223" s="905" t="s">
        <v>556</v>
      </c>
      <c r="R223" s="352">
        <f>R222/AA214</f>
        <v>0.15325787702661367</v>
      </c>
      <c r="S223" s="337"/>
      <c r="T223" s="905" t="s">
        <v>556</v>
      </c>
      <c r="U223" s="352">
        <f>U222/AA214</f>
        <v>8.8865096359743281E-2</v>
      </c>
      <c r="V223" s="337"/>
      <c r="W223" s="905" t="s">
        <v>556</v>
      </c>
      <c r="X223" s="352">
        <f>X222/AA214</f>
        <v>1.5295197308045277E-2</v>
      </c>
      <c r="Y223" s="337"/>
      <c r="Z223" s="905" t="s">
        <v>556</v>
      </c>
      <c r="AA223" s="352">
        <f>AA222/AA214</f>
        <v>0</v>
      </c>
      <c r="AB223" s="337"/>
      <c r="AC223" s="13"/>
      <c r="AD223" s="13"/>
      <c r="AE223" s="337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</row>
    <row r="224" spans="1:49" ht="18" hidden="1">
      <c r="A224" s="13"/>
      <c r="B224" s="334"/>
      <c r="C224" s="31"/>
      <c r="D224" s="616"/>
      <c r="E224" s="594"/>
      <c r="F224" s="594"/>
      <c r="G224" s="337"/>
      <c r="H224" s="594"/>
      <c r="I224" s="594"/>
      <c r="J224" s="337"/>
      <c r="K224" s="13"/>
      <c r="L224" s="13"/>
      <c r="M224" s="337"/>
      <c r="N224" s="13"/>
      <c r="O224" s="13"/>
      <c r="P224" s="337"/>
      <c r="Q224" s="13"/>
      <c r="R224" s="13"/>
      <c r="S224" s="337"/>
      <c r="T224" s="13"/>
      <c r="U224" s="13"/>
      <c r="V224" s="337"/>
      <c r="W224" s="35"/>
      <c r="X224" s="349"/>
      <c r="Y224" s="337"/>
      <c r="Z224" s="35"/>
      <c r="AA224" s="349"/>
      <c r="AB224" s="337"/>
      <c r="AC224" s="13"/>
      <c r="AD224" s="13"/>
      <c r="AE224" s="337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</row>
    <row r="225" spans="1:49" ht="18" hidden="1">
      <c r="A225" s="13"/>
      <c r="B225" s="334"/>
      <c r="C225" s="31"/>
      <c r="D225" s="616"/>
      <c r="E225" s="622" t="s">
        <v>124</v>
      </c>
      <c r="F225" s="623">
        <f>F214-AD214</f>
        <v>25574.999999999996</v>
      </c>
      <c r="G225" s="337"/>
      <c r="H225" s="622" t="s">
        <v>124</v>
      </c>
      <c r="I225" s="623">
        <f>I214-AD214</f>
        <v>22899.999999999996</v>
      </c>
      <c r="J225" s="337"/>
      <c r="K225" s="350" t="s">
        <v>122</v>
      </c>
      <c r="L225" s="351">
        <f>L214-AD214</f>
        <v>19545.999999999996</v>
      </c>
      <c r="M225" s="337"/>
      <c r="N225" s="350" t="s">
        <v>122</v>
      </c>
      <c r="O225" s="351">
        <f>O214-AD214</f>
        <v>16539.000000000004</v>
      </c>
      <c r="P225" s="337"/>
      <c r="Q225" s="350" t="s">
        <v>122</v>
      </c>
      <c r="R225" s="351">
        <f>R214-AD214</f>
        <v>12834.999999999996</v>
      </c>
      <c r="S225" s="337"/>
      <c r="T225" s="350" t="s">
        <v>122</v>
      </c>
      <c r="U225" s="351">
        <f>U214-AD214</f>
        <v>10730.000000000004</v>
      </c>
      <c r="V225" s="337"/>
      <c r="W225" s="350" t="s">
        <v>122</v>
      </c>
      <c r="X225" s="351">
        <f>X214-AD214</f>
        <v>8324.9999999999964</v>
      </c>
      <c r="Y225" s="337"/>
      <c r="Z225" s="350" t="s">
        <v>122</v>
      </c>
      <c r="AA225" s="351">
        <f>AA214-AD214</f>
        <v>7824.9999999999964</v>
      </c>
      <c r="AB225" s="337"/>
      <c r="AC225" s="13"/>
      <c r="AD225" s="13"/>
      <c r="AE225" s="337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</row>
    <row r="226" spans="1:49" ht="18" hidden="1">
      <c r="A226" s="13"/>
      <c r="B226" s="334"/>
      <c r="C226" s="31"/>
      <c r="D226" s="616"/>
      <c r="E226" s="622" t="s">
        <v>123</v>
      </c>
      <c r="F226" s="624">
        <f>F225/AD214</f>
        <v>1.0285541926402575</v>
      </c>
      <c r="G226" s="337"/>
      <c r="H226" s="622" t="s">
        <v>123</v>
      </c>
      <c r="I226" s="624">
        <f>I225/AD214</f>
        <v>0.92097325558013265</v>
      </c>
      <c r="J226" s="337"/>
      <c r="K226" s="350" t="s">
        <v>123</v>
      </c>
      <c r="L226" s="352">
        <f>L225/AD214</f>
        <v>0.78608485823446606</v>
      </c>
      <c r="M226" s="337"/>
      <c r="N226" s="350" t="s">
        <v>123</v>
      </c>
      <c r="O226" s="352">
        <f>O225/AD214</f>
        <v>0.66515181982706639</v>
      </c>
      <c r="P226" s="337"/>
      <c r="Q226" s="350" t="s">
        <v>123</v>
      </c>
      <c r="R226" s="352">
        <f>R225/AD214</f>
        <v>0.51618741202493457</v>
      </c>
      <c r="S226" s="337"/>
      <c r="T226" s="350" t="s">
        <v>123</v>
      </c>
      <c r="U226" s="352">
        <f>U225/AD214</f>
        <v>0.43153026342248163</v>
      </c>
      <c r="V226" s="337"/>
      <c r="W226" s="350" t="s">
        <v>123</v>
      </c>
      <c r="X226" s="352">
        <f>X225/AD214</f>
        <v>0.33480796300020099</v>
      </c>
      <c r="Y226" s="337"/>
      <c r="Z226" s="350" t="s">
        <v>123</v>
      </c>
      <c r="AA226" s="352">
        <f>AA225/AD214</f>
        <v>0.31469937663382253</v>
      </c>
      <c r="AB226" s="337"/>
      <c r="AC226" s="13"/>
      <c r="AD226" s="13"/>
      <c r="AE226" s="337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</row>
    <row r="227" spans="1:49" ht="18" hidden="1">
      <c r="A227" s="13"/>
      <c r="B227" s="334"/>
      <c r="C227" s="31"/>
      <c r="D227" s="616"/>
      <c r="E227" s="594"/>
      <c r="F227" s="594"/>
      <c r="G227" s="337"/>
      <c r="H227" s="594"/>
      <c r="I227" s="594"/>
      <c r="J227" s="337"/>
      <c r="K227" s="13"/>
      <c r="L227" s="13"/>
      <c r="M227" s="337"/>
      <c r="N227" s="13"/>
      <c r="O227" s="13"/>
      <c r="P227" s="337"/>
      <c r="Q227" s="13"/>
      <c r="R227" s="13"/>
      <c r="S227" s="337"/>
      <c r="T227" s="13"/>
      <c r="U227" s="13"/>
      <c r="V227" s="337"/>
      <c r="W227" s="35"/>
      <c r="X227" s="349"/>
      <c r="Y227" s="337"/>
      <c r="Z227" s="35"/>
      <c r="AA227" s="349"/>
      <c r="AB227" s="337"/>
      <c r="AC227" s="13"/>
      <c r="AD227" s="13"/>
      <c r="AE227" s="337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</row>
    <row r="228" spans="1:49" hidden="1">
      <c r="A228" s="13"/>
      <c r="B228" s="334"/>
      <c r="C228" s="31"/>
      <c r="D228" s="616"/>
      <c r="E228" s="616" t="s">
        <v>125</v>
      </c>
      <c r="F228" s="617"/>
      <c r="G228" s="337"/>
      <c r="H228" s="616" t="s">
        <v>125</v>
      </c>
      <c r="I228" s="617"/>
      <c r="J228" s="337"/>
      <c r="K228" s="335" t="s">
        <v>125</v>
      </c>
      <c r="L228" s="293"/>
      <c r="M228" s="337"/>
      <c r="N228" s="335" t="s">
        <v>125</v>
      </c>
      <c r="O228" s="293"/>
      <c r="P228" s="337"/>
      <c r="Q228" s="335" t="s">
        <v>125</v>
      </c>
      <c r="R228" s="293"/>
      <c r="S228" s="337"/>
      <c r="T228" s="335" t="s">
        <v>125</v>
      </c>
      <c r="U228" s="293"/>
      <c r="V228" s="337"/>
      <c r="W228" s="335" t="s">
        <v>125</v>
      </c>
      <c r="X228" s="293"/>
      <c r="Y228" s="337"/>
      <c r="Z228" s="335" t="s">
        <v>125</v>
      </c>
      <c r="AA228" s="293"/>
      <c r="AB228" s="337"/>
      <c r="AC228" s="335" t="s">
        <v>125</v>
      </c>
      <c r="AD228" s="293"/>
      <c r="AE228" s="337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</row>
    <row r="229" spans="1:49" hidden="1">
      <c r="A229" s="13"/>
      <c r="B229" s="334"/>
      <c r="C229" s="31"/>
      <c r="D229" s="616"/>
      <c r="E229" s="625" t="s">
        <v>126</v>
      </c>
      <c r="F229" s="626">
        <f>(E184+E185+E186+E187+E188+E189+E190+E191+E192+E193+E194+E195+E196)*0.5</f>
        <v>27999.999999999996</v>
      </c>
      <c r="G229" s="355"/>
      <c r="H229" s="625" t="s">
        <v>126</v>
      </c>
      <c r="I229" s="626">
        <f>(H184+H185+H186+H187+H188+H189+H190+H191+H192+H193+H194+H195+H196)*0.5</f>
        <v>26545.398009950244</v>
      </c>
      <c r="J229" s="355"/>
      <c r="K229" s="353" t="s">
        <v>126</v>
      </c>
      <c r="L229" s="354">
        <f>(K184+K185+K186+K187+K188+K189+K190+K191+K192+K193+K194+K195+K196)*0.5</f>
        <v>25236.940298507459</v>
      </c>
      <c r="M229" s="355"/>
      <c r="N229" s="353" t="s">
        <v>126</v>
      </c>
      <c r="O229" s="354">
        <f>(N184+N185+N186+N187+N188+N189+N190+N191+N192+N193+N194+N195+N196)*0.5</f>
        <v>23366.915422885573</v>
      </c>
      <c r="P229" s="355"/>
      <c r="Q229" s="353" t="s">
        <v>126</v>
      </c>
      <c r="R229" s="354">
        <f>(Q184+Q185+Q186+Q187+Q188+Q189+Q190+Q191+Q192+Q193+Q194+Q195+Q196)*0.5</f>
        <v>21498.75621890547</v>
      </c>
      <c r="S229" s="355"/>
      <c r="T229" s="353" t="s">
        <v>126</v>
      </c>
      <c r="U229" s="354">
        <f>(T184+T185+T186+T187+T188+T189+T190+T191+T192+T193+T194+T195+T196)*0.5</f>
        <v>20189.676616915422</v>
      </c>
      <c r="V229" s="355"/>
      <c r="W229" s="353" t="s">
        <v>126</v>
      </c>
      <c r="X229" s="354">
        <f>(W184+W185+W186+W187+W188+W189+W190+W191+W192+W193+W194+W195+W196)*0.5</f>
        <v>18694.029850746265</v>
      </c>
      <c r="Y229" s="355"/>
      <c r="Z229" s="353" t="s">
        <v>126</v>
      </c>
      <c r="AA229" s="354">
        <f>(Z184+Z185+Z186+Z187+Z188+Z189+Z190+Z191+Z192+Z193+Z194+Z195+Z196)*0.5</f>
        <v>18694.029850746265</v>
      </c>
      <c r="AB229" s="355"/>
      <c r="AC229" s="353" t="s">
        <v>126</v>
      </c>
      <c r="AD229" s="354">
        <f>(AC184+AC185+AC186+AC187+AC188+AC189+AC190+AC191+AC192+AC193+AC194+AC195+AC196)*0.5</f>
        <v>13827.736318407959</v>
      </c>
      <c r="AE229" s="337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</row>
    <row r="230" spans="1:49" hidden="1">
      <c r="A230" s="13"/>
      <c r="B230" s="334"/>
      <c r="C230" s="31"/>
      <c r="D230" s="616"/>
      <c r="E230" s="625" t="s">
        <v>127</v>
      </c>
      <c r="F230" s="627"/>
      <c r="G230" s="355"/>
      <c r="H230" s="625" t="s">
        <v>127</v>
      </c>
      <c r="I230" s="627"/>
      <c r="J230" s="355"/>
      <c r="K230" s="356" t="s">
        <v>127</v>
      </c>
      <c r="L230" s="357"/>
      <c r="M230" s="355"/>
      <c r="N230" s="356" t="s">
        <v>127</v>
      </c>
      <c r="O230" s="357"/>
      <c r="P230" s="355"/>
      <c r="Q230" s="356" t="s">
        <v>127</v>
      </c>
      <c r="R230" s="357"/>
      <c r="S230" s="355"/>
      <c r="T230" s="356" t="s">
        <v>127</v>
      </c>
      <c r="U230" s="357"/>
      <c r="V230" s="355"/>
      <c r="W230" s="356" t="s">
        <v>127</v>
      </c>
      <c r="X230" s="357"/>
      <c r="Y230" s="355"/>
      <c r="Z230" s="356" t="s">
        <v>127</v>
      </c>
      <c r="AA230" s="357"/>
      <c r="AB230" s="355"/>
      <c r="AC230" s="356" t="s">
        <v>127</v>
      </c>
      <c r="AD230" s="357"/>
      <c r="AE230" s="337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</row>
    <row r="231" spans="1:49" hidden="1">
      <c r="A231" s="13"/>
      <c r="B231" s="334"/>
      <c r="C231" s="31"/>
      <c r="D231" s="616"/>
      <c r="E231" s="628" t="s">
        <v>128</v>
      </c>
      <c r="F231" s="628">
        <f>F229*0.804</f>
        <v>22512</v>
      </c>
      <c r="G231" s="355"/>
      <c r="H231" s="628" t="s">
        <v>128</v>
      </c>
      <c r="I231" s="628">
        <f>I229*0.804</f>
        <v>21342.499999999996</v>
      </c>
      <c r="J231" s="355"/>
      <c r="K231" s="358" t="s">
        <v>128</v>
      </c>
      <c r="L231" s="359">
        <f>L229*0.804</f>
        <v>20290.5</v>
      </c>
      <c r="M231" s="355"/>
      <c r="N231" s="358" t="s">
        <v>128</v>
      </c>
      <c r="O231" s="359">
        <f>O229*0.804</f>
        <v>18787.000000000004</v>
      </c>
      <c r="P231" s="355"/>
      <c r="Q231" s="358" t="s">
        <v>128</v>
      </c>
      <c r="R231" s="359">
        <f>R229*0.804</f>
        <v>17285</v>
      </c>
      <c r="S231" s="355"/>
      <c r="T231" s="358" t="s">
        <v>128</v>
      </c>
      <c r="U231" s="359">
        <f>U229*0.804</f>
        <v>16232.5</v>
      </c>
      <c r="V231" s="355"/>
      <c r="W231" s="358" t="s">
        <v>128</v>
      </c>
      <c r="X231" s="359">
        <f>X229*0.804</f>
        <v>15029.999999999998</v>
      </c>
      <c r="Y231" s="355"/>
      <c r="Z231" s="358" t="s">
        <v>128</v>
      </c>
      <c r="AA231" s="359">
        <f>AA229*0.804</f>
        <v>15029.999999999998</v>
      </c>
      <c r="AB231" s="355"/>
      <c r="AC231" s="358" t="s">
        <v>128</v>
      </c>
      <c r="AD231" s="359">
        <f>AD229*0.804</f>
        <v>11117.5</v>
      </c>
      <c r="AE231" s="337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</row>
    <row r="232" spans="1:49" hidden="1">
      <c r="A232" s="13"/>
      <c r="B232" s="334"/>
      <c r="C232" s="31"/>
      <c r="D232" s="616"/>
      <c r="E232" s="981" t="s">
        <v>129</v>
      </c>
      <c r="F232" s="982"/>
      <c r="G232" s="355"/>
      <c r="H232" s="981" t="s">
        <v>129</v>
      </c>
      <c r="I232" s="982"/>
      <c r="J232" s="355"/>
      <c r="K232" s="983" t="s">
        <v>129</v>
      </c>
      <c r="L232" s="956"/>
      <c r="M232" s="355"/>
      <c r="N232" s="983" t="s">
        <v>129</v>
      </c>
      <c r="O232" s="956"/>
      <c r="P232" s="355"/>
      <c r="Q232" s="983" t="s">
        <v>129</v>
      </c>
      <c r="R232" s="956"/>
      <c r="S232" s="355"/>
      <c r="T232" s="983" t="s">
        <v>129</v>
      </c>
      <c r="U232" s="956"/>
      <c r="V232" s="355"/>
      <c r="W232" s="983" t="s">
        <v>129</v>
      </c>
      <c r="X232" s="956"/>
      <c r="Y232" s="355"/>
      <c r="Z232" s="983" t="s">
        <v>129</v>
      </c>
      <c r="AA232" s="956"/>
      <c r="AB232" s="355"/>
      <c r="AC232" s="983" t="s">
        <v>129</v>
      </c>
      <c r="AD232" s="956"/>
      <c r="AE232" s="337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</row>
    <row r="233" spans="1:49" hidden="1">
      <c r="A233" s="13"/>
      <c r="B233" s="334"/>
      <c r="C233" s="31"/>
      <c r="D233" s="616"/>
      <c r="E233" s="629">
        <v>502</v>
      </c>
      <c r="F233" s="630">
        <f>-(totalrem5+F229+E195*1.07)*0.16</f>
        <v>-13002.528663650928</v>
      </c>
      <c r="G233" s="355"/>
      <c r="H233" s="629">
        <v>502</v>
      </c>
      <c r="I233" s="630">
        <f>-(totalrem5+I229+H195*1.07)*0.16</f>
        <v>-12741.791044776119</v>
      </c>
      <c r="J233" s="355"/>
      <c r="K233" s="361">
        <v>502</v>
      </c>
      <c r="L233" s="362">
        <f>-(totalrem4+L229+K195*1.07)*0.16</f>
        <v>-12113.731343283582</v>
      </c>
      <c r="M233" s="355"/>
      <c r="N233" s="361">
        <v>502</v>
      </c>
      <c r="O233" s="362">
        <f>-(totalrem3+O229+N195*1.07)*0.16</f>
        <v>-11216.119402985074</v>
      </c>
      <c r="P233" s="355"/>
      <c r="Q233" s="361">
        <v>502</v>
      </c>
      <c r="R233" s="362">
        <f>-(totalrem2+R229+Q195*1.07)*0.16</f>
        <v>-10319.402985074626</v>
      </c>
      <c r="S233" s="355"/>
      <c r="T233" s="361">
        <v>502</v>
      </c>
      <c r="U233" s="362">
        <f>-(totalrem1+U229+T195*1.07)*0.16</f>
        <v>-9691.0447761194027</v>
      </c>
      <c r="V233" s="355"/>
      <c r="W233" s="361">
        <v>502</v>
      </c>
      <c r="X233" s="362">
        <f>-(totalremfeb21+X229+W195*1.07)*0.16</f>
        <v>-8973.1343283582082</v>
      </c>
      <c r="Y233" s="355"/>
      <c r="Z233" s="361">
        <v>502</v>
      </c>
      <c r="AA233" s="362">
        <f>-(totalremfeb21+AA229+Z195*1.07)*0.16</f>
        <v>-8973.1343283582082</v>
      </c>
      <c r="AB233" s="355"/>
      <c r="AC233" s="361">
        <v>502</v>
      </c>
      <c r="AD233" s="362">
        <f>-(totalremmar20+AD229+AC195*1.07)*0.16</f>
        <v>-6637.3134328358201</v>
      </c>
      <c r="AE233" s="337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</row>
    <row r="234" spans="1:49" hidden="1">
      <c r="A234" s="13"/>
      <c r="B234" s="334"/>
      <c r="C234" s="31"/>
      <c r="D234" s="616"/>
      <c r="E234" s="629">
        <v>504</v>
      </c>
      <c r="F234" s="630">
        <f>-(totalrem5+F229+E195*1.07)*0.006</f>
        <v>-487.59482488690981</v>
      </c>
      <c r="G234" s="355"/>
      <c r="H234" s="629">
        <v>504</v>
      </c>
      <c r="I234" s="630">
        <f>-(totalrem5+I229+H195*1.07)*0.006</f>
        <v>-477.81716417910445</v>
      </c>
      <c r="J234" s="355"/>
      <c r="K234" s="361">
        <v>504</v>
      </c>
      <c r="L234" s="362">
        <f>-(totalrem4+L229+K195*1.07)*0.006</f>
        <v>-454.2649253731343</v>
      </c>
      <c r="M234" s="355"/>
      <c r="N234" s="361">
        <v>504</v>
      </c>
      <c r="O234" s="362">
        <f>-(totalrem3+O229+N195*1.07)*0.006</f>
        <v>-420.6044776119403</v>
      </c>
      <c r="P234" s="355"/>
      <c r="Q234" s="361">
        <v>504</v>
      </c>
      <c r="R234" s="362">
        <f>-(totalrem2+R229+Q195*1.07)*0.006</f>
        <v>-386.97761194029846</v>
      </c>
      <c r="S234" s="355"/>
      <c r="T234" s="361">
        <v>504</v>
      </c>
      <c r="U234" s="362">
        <f>-(totalrem1+U229+T195*1.07)*0.006</f>
        <v>-363.41417910447757</v>
      </c>
      <c r="V234" s="355"/>
      <c r="W234" s="361">
        <v>504</v>
      </c>
      <c r="X234" s="362">
        <f>-(totalremfeb21+X229+W195*1.07)*0.006</f>
        <v>-336.49253731343276</v>
      </c>
      <c r="Y234" s="355"/>
      <c r="Z234" s="361">
        <v>504</v>
      </c>
      <c r="AA234" s="362">
        <f>-(totalremfeb21+AA229+Z195*1.07)*0.006</f>
        <v>-336.49253731343276</v>
      </c>
      <c r="AB234" s="355"/>
      <c r="AC234" s="361">
        <v>504</v>
      </c>
      <c r="AD234" s="362">
        <f>-(totalremmar20+AD229+AC195*1.07)*0.006</f>
        <v>-248.89925373134326</v>
      </c>
      <c r="AE234" s="337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</row>
    <row r="235" spans="1:49" hidden="1">
      <c r="A235" s="13"/>
      <c r="B235" s="334"/>
      <c r="C235" s="31"/>
      <c r="D235" s="616"/>
      <c r="E235" s="629">
        <v>505</v>
      </c>
      <c r="F235" s="630">
        <f>-(totalrem5+F229+E195*1.07)*0.03</f>
        <v>-2437.9741244345491</v>
      </c>
      <c r="G235" s="355"/>
      <c r="H235" s="629">
        <v>505</v>
      </c>
      <c r="I235" s="630">
        <f>-(totalrem5+I229+H195*1.07)*0.03</f>
        <v>-2389.0858208955219</v>
      </c>
      <c r="J235" s="355"/>
      <c r="K235" s="361">
        <v>505</v>
      </c>
      <c r="L235" s="362">
        <f>-(totalrem4+L229+K195*1.07)*0.03</f>
        <v>-2271.3246268656712</v>
      </c>
      <c r="M235" s="355"/>
      <c r="N235" s="361">
        <v>505</v>
      </c>
      <c r="O235" s="362">
        <f>-(totalrem3+O229+N195*1.07)*0.03</f>
        <v>-2103.0223880597014</v>
      </c>
      <c r="P235" s="355"/>
      <c r="Q235" s="361">
        <v>505</v>
      </c>
      <c r="R235" s="362">
        <f>-(totalrem2+R229+Q195*1.07)*0.03</f>
        <v>-1934.8880597014922</v>
      </c>
      <c r="S235" s="355"/>
      <c r="T235" s="361">
        <v>505</v>
      </c>
      <c r="U235" s="362">
        <f>-(totalrem1+U229+T195*1.07)*0.03</f>
        <v>-1817.0708955223879</v>
      </c>
      <c r="V235" s="355"/>
      <c r="W235" s="361">
        <v>505</v>
      </c>
      <c r="X235" s="362">
        <f>-(totalremfeb21+X229+W195*1.07)*0.03</f>
        <v>-1682.4626865671637</v>
      </c>
      <c r="Y235" s="355"/>
      <c r="Z235" s="361">
        <v>505</v>
      </c>
      <c r="AA235" s="362">
        <f>-(totalremfeb21+AA229+Z195*1.07)*0.03</f>
        <v>-1682.4626865671637</v>
      </c>
      <c r="AB235" s="355"/>
      <c r="AC235" s="361">
        <v>505</v>
      </c>
      <c r="AD235" s="362">
        <f>-(totalremmar20+AD229+AC195*1.07)*0.03</f>
        <v>-1244.4962686567162</v>
      </c>
      <c r="AE235" s="337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</row>
    <row r="236" spans="1:49" hidden="1">
      <c r="A236" s="13"/>
      <c r="B236" s="334"/>
      <c r="C236" s="31"/>
      <c r="D236" s="616"/>
      <c r="E236" s="631"/>
      <c r="F236" s="631"/>
      <c r="G236" s="355"/>
      <c r="H236" s="631"/>
      <c r="I236" s="631"/>
      <c r="J236" s="355"/>
      <c r="K236" s="363"/>
      <c r="L236" s="363"/>
      <c r="M236" s="355"/>
      <c r="N236" s="363"/>
      <c r="O236" s="363"/>
      <c r="P236" s="355"/>
      <c r="Q236" s="363"/>
      <c r="R236" s="363"/>
      <c r="S236" s="355"/>
      <c r="T236" s="363"/>
      <c r="U236" s="363"/>
      <c r="V236" s="355"/>
      <c r="W236" s="363"/>
      <c r="X236" s="363"/>
      <c r="Y236" s="355"/>
      <c r="Z236" s="363"/>
      <c r="AA236" s="363"/>
      <c r="AB236" s="355"/>
      <c r="AC236" s="363"/>
      <c r="AD236" s="363"/>
      <c r="AE236" s="337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</row>
    <row r="237" spans="1:49" ht="18" hidden="1">
      <c r="A237" s="13"/>
      <c r="B237" s="334"/>
      <c r="C237" s="31"/>
      <c r="D237" s="616"/>
      <c r="E237" s="986" t="s">
        <v>130</v>
      </c>
      <c r="F237" s="982"/>
      <c r="G237" s="355"/>
      <c r="H237" s="986" t="s">
        <v>130</v>
      </c>
      <c r="I237" s="982"/>
      <c r="J237" s="355"/>
      <c r="K237" s="984" t="s">
        <v>130</v>
      </c>
      <c r="L237" s="956"/>
      <c r="M237" s="355"/>
      <c r="N237" s="984" t="s">
        <v>130</v>
      </c>
      <c r="O237" s="956"/>
      <c r="P237" s="355"/>
      <c r="Q237" s="984" t="s">
        <v>130</v>
      </c>
      <c r="R237" s="956"/>
      <c r="S237" s="355"/>
      <c r="T237" s="984" t="s">
        <v>130</v>
      </c>
      <c r="U237" s="956"/>
      <c r="V237" s="355"/>
      <c r="W237" s="984" t="s">
        <v>130</v>
      </c>
      <c r="X237" s="956"/>
      <c r="Y237" s="355"/>
      <c r="Z237" s="984" t="s">
        <v>130</v>
      </c>
      <c r="AA237" s="956"/>
      <c r="AB237" s="355"/>
      <c r="AC237" s="984" t="s">
        <v>130</v>
      </c>
      <c r="AD237" s="956"/>
      <c r="AE237" s="337"/>
      <c r="AF237" s="13"/>
      <c r="AG237" s="365"/>
      <c r="AH237" s="13"/>
      <c r="AI237" s="13"/>
      <c r="AJ237" s="365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</row>
    <row r="238" spans="1:49" ht="18" hidden="1">
      <c r="A238" s="13"/>
      <c r="B238" s="334"/>
      <c r="C238" s="31"/>
      <c r="D238" s="616"/>
      <c r="E238" s="632"/>
      <c r="F238" s="633">
        <f>E204+F229+F230+F233+F234+F235</f>
        <v>73151.9023870276</v>
      </c>
      <c r="G238" s="355"/>
      <c r="H238" s="632"/>
      <c r="I238" s="633">
        <f>H204+I229+I230+I233+I234+I235</f>
        <v>69107.5</v>
      </c>
      <c r="J238" s="355"/>
      <c r="K238" s="366"/>
      <c r="L238" s="367">
        <f>K204+L229+L230+L233+L234+L235</f>
        <v>64701.499999999993</v>
      </c>
      <c r="M238" s="355"/>
      <c r="N238" s="366"/>
      <c r="O238" s="367">
        <f>N204+O229+O230+O233+O234+O235</f>
        <v>60191</v>
      </c>
      <c r="P238" s="355"/>
      <c r="Q238" s="366"/>
      <c r="R238" s="367">
        <f>Q204+R229+R230+R233+R234+R235</f>
        <v>54984.999999999985</v>
      </c>
      <c r="S238" s="355"/>
      <c r="T238" s="366"/>
      <c r="U238" s="367">
        <f>T204+U229+U230+U233+U234+U235</f>
        <v>51827.5</v>
      </c>
      <c r="V238" s="355"/>
      <c r="W238" s="366"/>
      <c r="X238" s="367">
        <f>W204+X229+X230+X233+X234+X235</f>
        <v>48219.999999999985</v>
      </c>
      <c r="Y238" s="355"/>
      <c r="Z238" s="366"/>
      <c r="AA238" s="367">
        <f>Z204+AA229+AA230+AA233+AA234+AA235</f>
        <v>47719.999999999985</v>
      </c>
      <c r="AB238" s="355"/>
      <c r="AC238" s="366"/>
      <c r="AD238" s="367">
        <f>AC204+AD229+AD230+AD233+AD234+AD235</f>
        <v>35982.499999999993</v>
      </c>
      <c r="AE238" s="337"/>
      <c r="AF238" s="13"/>
      <c r="AG238" s="365"/>
      <c r="AH238" s="13"/>
      <c r="AI238" s="13"/>
      <c r="AJ238" s="365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</row>
    <row r="239" spans="1:49" ht="18" hidden="1">
      <c r="A239" s="13"/>
      <c r="B239" s="334"/>
      <c r="C239" s="31"/>
      <c r="D239" s="616"/>
      <c r="E239" s="987" t="s">
        <v>131</v>
      </c>
      <c r="F239" s="988"/>
      <c r="G239" s="355"/>
      <c r="H239" s="987" t="s">
        <v>131</v>
      </c>
      <c r="I239" s="988"/>
      <c r="J239" s="355"/>
      <c r="K239" s="989" t="s">
        <v>131</v>
      </c>
      <c r="L239" s="990"/>
      <c r="M239" s="355"/>
      <c r="N239" s="989" t="s">
        <v>131</v>
      </c>
      <c r="O239" s="990"/>
      <c r="P239" s="355"/>
      <c r="Q239" s="989" t="s">
        <v>131</v>
      </c>
      <c r="R239" s="990"/>
      <c r="S239" s="355"/>
      <c r="T239" s="989" t="s">
        <v>131</v>
      </c>
      <c r="U239" s="990"/>
      <c r="V239" s="355"/>
      <c r="W239" s="989" t="s">
        <v>131</v>
      </c>
      <c r="X239" s="990"/>
      <c r="Y239" s="355"/>
      <c r="Z239" s="989" t="s">
        <v>131</v>
      </c>
      <c r="AA239" s="990"/>
      <c r="AB239" s="355"/>
      <c r="AC239" s="989" t="s">
        <v>131</v>
      </c>
      <c r="AD239" s="990"/>
      <c r="AE239" s="337"/>
      <c r="AF239" s="13"/>
      <c r="AG239" s="365"/>
      <c r="AH239" s="13"/>
      <c r="AI239" s="13"/>
      <c r="AJ239" s="365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</row>
    <row r="240" spans="1:49" hidden="1">
      <c r="A240" s="13"/>
      <c r="B240" s="334"/>
      <c r="C240" s="31"/>
      <c r="D240" s="616"/>
      <c r="E240" s="628"/>
      <c r="F240" s="634">
        <f>F238-F214+F210</f>
        <v>22711.902387027607</v>
      </c>
      <c r="G240" s="355"/>
      <c r="H240" s="628"/>
      <c r="I240" s="634">
        <f>I238-I214+I210</f>
        <v>21342.500000000007</v>
      </c>
      <c r="J240" s="355"/>
      <c r="K240" s="369"/>
      <c r="L240" s="370">
        <f>L238-L214+L210</f>
        <v>20290.5</v>
      </c>
      <c r="M240" s="355"/>
      <c r="N240" s="369"/>
      <c r="O240" s="370">
        <f>O238-O214+O210</f>
        <v>18787</v>
      </c>
      <c r="P240" s="355"/>
      <c r="Q240" s="369"/>
      <c r="R240" s="370">
        <f>R238-R214+R210</f>
        <v>17284.999999999993</v>
      </c>
      <c r="S240" s="355"/>
      <c r="T240" s="369"/>
      <c r="U240" s="370">
        <f>U238-U214+U210</f>
        <v>16232.5</v>
      </c>
      <c r="V240" s="355"/>
      <c r="W240" s="369"/>
      <c r="X240" s="370">
        <f>X238-X214+X210</f>
        <v>15029.999999999993</v>
      </c>
      <c r="Y240" s="355"/>
      <c r="Z240" s="369"/>
      <c r="AA240" s="370">
        <f>AA238-AA214+AA210</f>
        <v>15029.999999999993</v>
      </c>
      <c r="AB240" s="355"/>
      <c r="AC240" s="369"/>
      <c r="AD240" s="370">
        <f>AD238-AD214+AD210</f>
        <v>11117.499999999996</v>
      </c>
      <c r="AE240" s="337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</row>
    <row r="241" spans="1:49" ht="26.25" hidden="1">
      <c r="A241" s="13"/>
      <c r="B241" s="13"/>
      <c r="C241" s="13"/>
      <c r="D241" s="594"/>
      <c r="E241" s="806">
        <v>44562</v>
      </c>
      <c r="F241" s="807">
        <v>8.8999999999999996E-2</v>
      </c>
      <c r="G241" s="727"/>
      <c r="H241" s="635">
        <v>44916</v>
      </c>
      <c r="I241" s="636">
        <v>7.0000000000000007E-2</v>
      </c>
      <c r="J241" s="373"/>
      <c r="K241" s="371">
        <v>44855</v>
      </c>
      <c r="L241" s="372">
        <v>0.1</v>
      </c>
      <c r="M241" s="373"/>
      <c r="N241" s="374" t="s">
        <v>0</v>
      </c>
      <c r="O241" s="372">
        <v>0.1</v>
      </c>
      <c r="P241" s="373"/>
      <c r="Q241" s="371">
        <v>44763</v>
      </c>
      <c r="R241" s="372">
        <v>7.0000000000000007E-2</v>
      </c>
      <c r="S241" s="373"/>
      <c r="T241" s="371">
        <v>44702</v>
      </c>
      <c r="U241" s="372">
        <v>0.08</v>
      </c>
      <c r="V241" s="373"/>
      <c r="W241" s="375">
        <v>44641</v>
      </c>
      <c r="X241" s="376"/>
      <c r="Y241" s="373"/>
      <c r="Z241" s="377">
        <v>44228</v>
      </c>
      <c r="AA241" s="378"/>
      <c r="AB241" s="373"/>
      <c r="AC241" s="379">
        <v>43891</v>
      </c>
      <c r="AD241" s="380"/>
      <c r="AE241" s="3"/>
      <c r="AF241" s="12"/>
      <c r="AG241" s="12"/>
      <c r="AH241" s="381"/>
      <c r="AI241" s="382"/>
      <c r="AJ241" s="381"/>
      <c r="AK241" s="381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</row>
    <row r="242" spans="1:49" ht="12.75">
      <c r="A242" s="132"/>
      <c r="B242" s="383"/>
      <c r="C242" s="132"/>
      <c r="D242" s="132"/>
      <c r="E242" s="132"/>
      <c r="F242" s="132"/>
      <c r="G242" s="728"/>
      <c r="H242" s="132"/>
      <c r="I242" s="132"/>
      <c r="J242" s="131"/>
      <c r="K242" s="132"/>
      <c r="L242" s="132"/>
      <c r="M242" s="131"/>
      <c r="N242" s="132"/>
      <c r="O242" s="132"/>
      <c r="P242" s="131"/>
      <c r="Q242" s="132"/>
      <c r="R242" s="132"/>
      <c r="S242" s="131"/>
      <c r="T242" s="132"/>
      <c r="U242" s="132"/>
      <c r="V242" s="131"/>
      <c r="W242" s="132"/>
      <c r="X242" s="132"/>
      <c r="Y242" s="131"/>
      <c r="Z242" s="132"/>
      <c r="AA242" s="132"/>
      <c r="AB242" s="131"/>
      <c r="AC242" s="132"/>
      <c r="AD242" s="132"/>
      <c r="AE242" s="131"/>
      <c r="AF242" s="13"/>
      <c r="AG242" s="13"/>
      <c r="AH242" s="13"/>
      <c r="AI242" s="13"/>
      <c r="AJ242" s="13"/>
      <c r="AK242" s="13"/>
      <c r="AL242" s="132"/>
      <c r="AM242" s="132"/>
      <c r="AN242" s="132"/>
      <c r="AO242" s="132"/>
      <c r="AP242" s="132"/>
      <c r="AQ242" s="132"/>
      <c r="AR242" s="132"/>
      <c r="AS242" s="132"/>
      <c r="AT242" s="132"/>
      <c r="AU242" s="132"/>
      <c r="AV242" s="132"/>
      <c r="AW242" s="132"/>
    </row>
    <row r="243" spans="1:49" ht="12.75">
      <c r="A243" s="13"/>
      <c r="B243" s="13"/>
      <c r="C243" s="13"/>
      <c r="D243" s="13"/>
      <c r="E243" s="203"/>
      <c r="F243" s="203"/>
      <c r="G243" s="724"/>
      <c r="H243" s="13"/>
      <c r="I243" s="13"/>
      <c r="J243" s="131"/>
      <c r="K243" s="13"/>
      <c r="L243" s="13"/>
      <c r="M243" s="131"/>
      <c r="N243" s="13"/>
      <c r="O243" s="13"/>
      <c r="P243" s="131"/>
      <c r="Q243" s="13"/>
      <c r="R243" s="13"/>
      <c r="S243" s="131"/>
      <c r="T243" s="13"/>
      <c r="U243" s="13"/>
      <c r="V243" s="131"/>
      <c r="W243" s="13"/>
      <c r="X243" s="13"/>
      <c r="Y243" s="131"/>
      <c r="Z243" s="13"/>
      <c r="AA243" s="13"/>
      <c r="AB243" s="131"/>
      <c r="AC243" s="13"/>
      <c r="AD243" s="13"/>
      <c r="AE243" s="131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</row>
    <row r="244" spans="1:49" ht="18">
      <c r="A244" s="13"/>
      <c r="B244" s="13"/>
      <c r="C244" s="384" t="s">
        <v>132</v>
      </c>
      <c r="G244" s="729"/>
      <c r="H244" s="13"/>
      <c r="I244" s="13"/>
      <c r="J244" s="131"/>
      <c r="K244" s="13"/>
      <c r="L244" s="13"/>
      <c r="M244" s="131"/>
      <c r="N244" s="13"/>
      <c r="O244" s="13"/>
      <c r="P244" s="131"/>
      <c r="Q244" s="13"/>
      <c r="R244" s="13"/>
      <c r="S244" s="131"/>
      <c r="T244" s="13"/>
      <c r="U244" s="13"/>
      <c r="V244" s="131"/>
      <c r="W244" s="13"/>
      <c r="X244" s="13"/>
      <c r="Y244" s="131"/>
      <c r="Z244" s="13"/>
      <c r="AA244" s="13"/>
      <c r="AB244" s="131"/>
      <c r="AC244" s="13"/>
      <c r="AD244" s="13"/>
      <c r="AE244" s="131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</row>
    <row r="245" spans="1:49" ht="12.75">
      <c r="A245" s="13"/>
      <c r="B245" s="13"/>
      <c r="C245" s="13"/>
      <c r="D245" s="13"/>
      <c r="E245" s="203"/>
      <c r="F245" s="203"/>
      <c r="G245" s="724"/>
      <c r="H245" s="13"/>
      <c r="I245" s="13"/>
      <c r="J245" s="131"/>
      <c r="K245" s="13"/>
      <c r="L245" s="13"/>
      <c r="M245" s="131"/>
      <c r="N245" s="13"/>
      <c r="O245" s="13"/>
      <c r="P245" s="131"/>
      <c r="Q245" s="13"/>
      <c r="R245" s="13"/>
      <c r="S245" s="131"/>
      <c r="T245" s="13"/>
      <c r="U245" s="13"/>
      <c r="V245" s="131"/>
      <c r="W245" s="13"/>
      <c r="X245" s="13"/>
      <c r="Y245" s="131"/>
      <c r="Z245" s="13"/>
      <c r="AA245" s="13"/>
      <c r="AB245" s="131"/>
      <c r="AC245" s="13"/>
      <c r="AD245" s="13"/>
      <c r="AE245" s="131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</row>
    <row r="246" spans="1:49">
      <c r="A246" s="13"/>
      <c r="B246" s="960" t="s">
        <v>133</v>
      </c>
      <c r="C246" s="961"/>
      <c r="D246" s="926">
        <v>36</v>
      </c>
      <c r="E246" s="714"/>
      <c r="F246" s="714"/>
      <c r="G246" s="730"/>
      <c r="H246" s="13"/>
      <c r="I246" s="13"/>
      <c r="J246" s="385"/>
      <c r="K246" s="13"/>
      <c r="L246" s="13"/>
      <c r="M246" s="385"/>
      <c r="N246" s="13"/>
      <c r="O246" s="13"/>
      <c r="P246" s="385"/>
      <c r="Q246" s="13"/>
      <c r="R246" s="13"/>
      <c r="S246" s="385"/>
      <c r="T246" s="13"/>
      <c r="U246" s="13"/>
      <c r="V246" s="385"/>
      <c r="W246" s="13"/>
      <c r="X246" s="13"/>
      <c r="Y246" s="385"/>
      <c r="Z246" s="13"/>
      <c r="AA246" s="13"/>
      <c r="AB246" s="385"/>
      <c r="AC246" s="13"/>
      <c r="AD246" s="13"/>
      <c r="AE246" s="385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31"/>
      <c r="AW246" s="13"/>
    </row>
    <row r="247" spans="1:49" ht="16.5" thickBot="1">
      <c r="A247" s="13"/>
      <c r="B247" s="960" t="s">
        <v>134</v>
      </c>
      <c r="C247" s="961"/>
      <c r="D247" s="927">
        <v>24</v>
      </c>
      <c r="E247" s="714"/>
      <c r="F247" s="714"/>
      <c r="G247" s="730"/>
      <c r="H247" s="13"/>
      <c r="I247" s="13"/>
      <c r="J247" s="385"/>
      <c r="K247" s="13"/>
      <c r="L247" s="13"/>
      <c r="M247" s="385"/>
      <c r="N247" s="13"/>
      <c r="O247" s="13"/>
      <c r="P247" s="385"/>
      <c r="Q247" s="13"/>
      <c r="R247" s="13"/>
      <c r="S247" s="385"/>
      <c r="T247" s="13"/>
      <c r="U247" s="13"/>
      <c r="V247" s="385"/>
      <c r="W247" s="13"/>
      <c r="X247" s="13"/>
      <c r="Y247" s="385"/>
      <c r="Z247" s="13"/>
      <c r="AA247" s="13"/>
      <c r="AB247" s="385"/>
      <c r="AC247" s="13"/>
      <c r="AD247" s="13"/>
      <c r="AE247" s="385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31"/>
      <c r="AW247" s="13"/>
    </row>
    <row r="248" spans="1:49" ht="16.5" thickTop="1">
      <c r="A248" s="13"/>
      <c r="B248" s="13"/>
      <c r="C248" s="13"/>
      <c r="D248" s="155">
        <f>LOOKUP(D247,D18:D29,E18:E29)</f>
        <v>1.2</v>
      </c>
      <c r="E248" s="156" t="s">
        <v>69</v>
      </c>
      <c r="F248" s="155"/>
      <c r="G248" s="731"/>
      <c r="H248" s="156" t="s">
        <v>69</v>
      </c>
      <c r="I248" s="13"/>
      <c r="J248" s="386"/>
      <c r="K248" s="156" t="s">
        <v>69</v>
      </c>
      <c r="L248" s="13"/>
      <c r="M248" s="386"/>
      <c r="N248" s="156" t="s">
        <v>69</v>
      </c>
      <c r="O248" s="13"/>
      <c r="P248" s="386"/>
      <c r="Q248" s="156" t="s">
        <v>69</v>
      </c>
      <c r="R248" s="13"/>
      <c r="S248" s="386"/>
      <c r="T248" s="156" t="s">
        <v>69</v>
      </c>
      <c r="U248" s="13"/>
      <c r="V248" s="386"/>
      <c r="W248" s="156" t="s">
        <v>69</v>
      </c>
      <c r="X248" s="13"/>
      <c r="Y248" s="386"/>
      <c r="Z248" s="156" t="s">
        <v>69</v>
      </c>
      <c r="AA248" s="13"/>
      <c r="AB248" s="386"/>
      <c r="AC248" s="156" t="s">
        <v>69</v>
      </c>
      <c r="AD248" s="13"/>
      <c r="AE248" s="386"/>
      <c r="AF248" s="387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</row>
    <row r="249" spans="1:49" ht="27" thickBot="1">
      <c r="A249" s="13"/>
      <c r="B249" s="579" t="s">
        <v>135</v>
      </c>
      <c r="C249" s="580"/>
      <c r="D249" s="948"/>
      <c r="E249" s="389">
        <f>F346</f>
        <v>118677.12566531196</v>
      </c>
      <c r="F249" s="715"/>
      <c r="G249" s="732"/>
      <c r="H249" s="389">
        <f>I346</f>
        <v>111520.50820876218</v>
      </c>
      <c r="I249" s="13"/>
      <c r="J249" s="386"/>
      <c r="K249" s="389">
        <f>L346</f>
        <v>104024.33105301263</v>
      </c>
      <c r="L249" s="13"/>
      <c r="M249" s="386"/>
      <c r="N249" s="389">
        <f>O346</f>
        <v>96886.232456493162</v>
      </c>
      <c r="O249" s="13"/>
      <c r="P249" s="386"/>
      <c r="Q249" s="389">
        <f>R346</f>
        <v>88348.133859973706</v>
      </c>
      <c r="R249" s="13"/>
      <c r="S249" s="386"/>
      <c r="T249" s="389">
        <f>U346</f>
        <v>83351.464842410103</v>
      </c>
      <c r="U249" s="13"/>
      <c r="V249" s="386"/>
      <c r="W249" s="389">
        <f>X346</f>
        <v>77640.985965194544</v>
      </c>
      <c r="X249" s="13"/>
      <c r="Y249" s="386"/>
      <c r="Z249" s="389">
        <f>AA346</f>
        <v>76640.985965194544</v>
      </c>
      <c r="AA249" s="13"/>
      <c r="AB249" s="386"/>
      <c r="AC249" s="389">
        <f>AD346</f>
        <v>63589.573635502733</v>
      </c>
      <c r="AD249" s="13"/>
      <c r="AE249" s="386"/>
      <c r="AF249" s="390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391"/>
      <c r="AW249" s="392"/>
    </row>
    <row r="250" spans="1:49" ht="16.5" thickTop="1">
      <c r="A250" s="13"/>
      <c r="B250" s="974" t="s">
        <v>136</v>
      </c>
      <c r="C250" s="956"/>
      <c r="D250" s="928">
        <v>36</v>
      </c>
      <c r="E250" s="714"/>
      <c r="F250" s="714"/>
      <c r="G250" s="730"/>
      <c r="H250" s="13"/>
      <c r="I250" s="13"/>
      <c r="J250" s="385"/>
      <c r="K250" s="13"/>
      <c r="L250" s="13"/>
      <c r="M250" s="385"/>
      <c r="N250" s="13"/>
      <c r="O250" s="13"/>
      <c r="P250" s="385"/>
      <c r="Q250" s="13"/>
      <c r="R250" s="13"/>
      <c r="S250" s="385"/>
      <c r="T250" s="13"/>
      <c r="U250" s="13"/>
      <c r="V250" s="385"/>
      <c r="W250" s="13"/>
      <c r="X250" s="13"/>
      <c r="Y250" s="385"/>
      <c r="Z250" s="13"/>
      <c r="AA250" s="13"/>
      <c r="AB250" s="385"/>
      <c r="AC250" s="13"/>
      <c r="AD250" s="13"/>
      <c r="AE250" s="385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31"/>
      <c r="AW250" s="13"/>
    </row>
    <row r="251" spans="1:49">
      <c r="A251" s="13"/>
      <c r="B251" s="974" t="s">
        <v>137</v>
      </c>
      <c r="C251" s="956"/>
      <c r="D251" s="928">
        <v>36</v>
      </c>
      <c r="E251" s="714"/>
      <c r="F251" s="714"/>
      <c r="G251" s="730"/>
      <c r="H251" s="13"/>
      <c r="I251" s="13"/>
      <c r="J251" s="385"/>
      <c r="K251" s="13"/>
      <c r="L251" s="13"/>
      <c r="M251" s="385"/>
      <c r="N251" s="13"/>
      <c r="O251" s="13"/>
      <c r="P251" s="385"/>
      <c r="Q251" s="13"/>
      <c r="R251" s="13"/>
      <c r="S251" s="385"/>
      <c r="T251" s="13"/>
      <c r="U251" s="13"/>
      <c r="V251" s="385"/>
      <c r="W251" s="13"/>
      <c r="X251" s="13"/>
      <c r="Y251" s="385"/>
      <c r="Z251" s="13"/>
      <c r="AA251" s="13"/>
      <c r="AB251" s="385"/>
      <c r="AC251" s="13"/>
      <c r="AD251" s="13"/>
      <c r="AE251" s="385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31"/>
      <c r="AW251" s="13"/>
    </row>
    <row r="252" spans="1:49">
      <c r="A252" s="13"/>
      <c r="B252" s="975" t="s">
        <v>138</v>
      </c>
      <c r="C252" s="976"/>
      <c r="D252" s="928">
        <v>1</v>
      </c>
      <c r="E252" s="581" t="s">
        <v>139</v>
      </c>
      <c r="F252" s="714"/>
      <c r="G252" s="730"/>
      <c r="H252" s="121"/>
      <c r="I252" s="13"/>
      <c r="J252" s="385"/>
      <c r="K252" s="121"/>
      <c r="L252" s="13"/>
      <c r="M252" s="385"/>
      <c r="N252" s="121"/>
      <c r="O252" s="13"/>
      <c r="P252" s="385"/>
      <c r="Q252" s="121"/>
      <c r="R252" s="13"/>
      <c r="S252" s="385"/>
      <c r="T252" s="121"/>
      <c r="U252" s="13"/>
      <c r="V252" s="385"/>
      <c r="W252" s="121"/>
      <c r="X252" s="13"/>
      <c r="Y252" s="385"/>
      <c r="Z252" s="121"/>
      <c r="AA252" s="13"/>
      <c r="AB252" s="385"/>
      <c r="AC252" s="121"/>
      <c r="AD252" s="13"/>
      <c r="AE252" s="385"/>
      <c r="AF252" s="13"/>
      <c r="AG252" s="13"/>
      <c r="AH252" s="13"/>
      <c r="AI252" s="13"/>
      <c r="AJ252" s="13"/>
      <c r="AK252" s="13"/>
      <c r="AL252" s="13"/>
      <c r="AM252" s="13"/>
      <c r="AN252" s="31"/>
      <c r="AO252" s="13"/>
      <c r="AP252" s="13"/>
      <c r="AQ252" s="13"/>
      <c r="AR252" s="13"/>
      <c r="AS252" s="13"/>
      <c r="AT252" s="13"/>
      <c r="AU252" s="13"/>
      <c r="AV252" s="13"/>
      <c r="AW252" s="13"/>
    </row>
    <row r="253" spans="1:49">
      <c r="A253" s="13"/>
      <c r="B253" s="957" t="s">
        <v>140</v>
      </c>
      <c r="C253" s="956"/>
      <c r="D253" s="928">
        <v>0</v>
      </c>
      <c r="E253" s="714"/>
      <c r="F253" s="714"/>
      <c r="G253" s="730"/>
      <c r="H253" s="13"/>
      <c r="I253" s="13"/>
      <c r="J253" s="385"/>
      <c r="K253" s="13"/>
      <c r="L253" s="13"/>
      <c r="M253" s="385"/>
      <c r="N253" s="13"/>
      <c r="O253" s="13"/>
      <c r="P253" s="385"/>
      <c r="Q253" s="13"/>
      <c r="R253" s="13"/>
      <c r="S253" s="385"/>
      <c r="T253" s="13"/>
      <c r="U253" s="13"/>
      <c r="V253" s="385"/>
      <c r="W253" s="13"/>
      <c r="X253" s="13"/>
      <c r="Y253" s="385"/>
      <c r="Z253" s="13"/>
      <c r="AA253" s="13"/>
      <c r="AB253" s="385"/>
      <c r="AC253" s="13"/>
      <c r="AD253" s="13"/>
      <c r="AE253" s="385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31"/>
      <c r="AW253" s="13"/>
    </row>
    <row r="254" spans="1:49">
      <c r="A254" s="13"/>
      <c r="B254" s="394"/>
      <c r="C254" s="395"/>
      <c r="D254" s="58"/>
      <c r="E254" s="173"/>
      <c r="F254" s="173"/>
      <c r="G254" s="733"/>
      <c r="H254" s="13"/>
      <c r="I254" s="13"/>
      <c r="J254" s="385"/>
      <c r="K254" s="13"/>
      <c r="L254" s="13"/>
      <c r="M254" s="385"/>
      <c r="N254" s="13"/>
      <c r="O254" s="13"/>
      <c r="P254" s="385"/>
      <c r="Q254" s="13"/>
      <c r="R254" s="13"/>
      <c r="S254" s="385"/>
      <c r="T254" s="13"/>
      <c r="U254" s="13"/>
      <c r="V254" s="385"/>
      <c r="W254" s="13"/>
      <c r="X254" s="13"/>
      <c r="Y254" s="385"/>
      <c r="Z254" s="13"/>
      <c r="AA254" s="13"/>
      <c r="AB254" s="385"/>
      <c r="AC254" s="13"/>
      <c r="AD254" s="13"/>
      <c r="AE254" s="385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31"/>
      <c r="AW254" s="13"/>
    </row>
    <row r="255" spans="1:49" s="897" customFormat="1" ht="12.75">
      <c r="A255" s="772"/>
      <c r="B255" s="772"/>
      <c r="C255" s="772"/>
      <c r="D255" s="893"/>
      <c r="E255" s="893"/>
      <c r="F255" s="893"/>
      <c r="G255" s="894"/>
      <c r="H255" s="895"/>
      <c r="I255" s="772"/>
      <c r="J255" s="896"/>
      <c r="K255" s="772"/>
      <c r="L255" s="772"/>
      <c r="M255" s="896"/>
      <c r="N255" s="772"/>
      <c r="O255" s="772"/>
      <c r="P255" s="896"/>
      <c r="Q255" s="772"/>
      <c r="R255" s="772"/>
      <c r="S255" s="896"/>
      <c r="T255" s="772"/>
      <c r="U255" s="772"/>
      <c r="V255" s="896"/>
      <c r="W255" s="772"/>
      <c r="X255" s="772"/>
      <c r="Y255" s="896"/>
      <c r="Z255" s="772"/>
      <c r="AA255" s="772"/>
      <c r="AB255" s="896"/>
      <c r="AC255" s="772"/>
      <c r="AD255" s="772"/>
      <c r="AE255" s="896"/>
      <c r="AF255" s="772"/>
      <c r="AG255" s="772"/>
      <c r="AH255" s="772"/>
      <c r="AI255" s="772"/>
      <c r="AJ255" s="772"/>
      <c r="AK255" s="772"/>
      <c r="AL255" s="772"/>
      <c r="AM255" s="772"/>
      <c r="AN255" s="772"/>
      <c r="AO255" s="772"/>
      <c r="AP255" s="772"/>
      <c r="AQ255" s="772"/>
      <c r="AR255" s="772"/>
      <c r="AS255" s="772"/>
      <c r="AT255" s="772"/>
      <c r="AU255" s="985" t="s">
        <v>132</v>
      </c>
      <c r="AV255" s="976"/>
      <c r="AW255" s="976"/>
    </row>
    <row r="256" spans="1:49" ht="18">
      <c r="A256" s="13"/>
      <c r="B256" s="958" t="s">
        <v>71</v>
      </c>
      <c r="C256" s="959"/>
      <c r="D256" s="396">
        <f>canthormed*64.73</f>
        <v>2330.2800000000002</v>
      </c>
      <c r="E256" s="716"/>
      <c r="F256" s="716"/>
      <c r="G256" s="734"/>
      <c r="H256" s="13"/>
      <c r="I256" s="13"/>
      <c r="J256" s="397"/>
      <c r="K256" s="13"/>
      <c r="L256" s="13"/>
      <c r="M256" s="397"/>
      <c r="N256" s="13"/>
      <c r="O256" s="13"/>
      <c r="P256" s="397"/>
      <c r="Q256" s="13"/>
      <c r="R256" s="13"/>
      <c r="S256" s="397"/>
      <c r="T256" s="13"/>
      <c r="U256" s="13"/>
      <c r="V256" s="397"/>
      <c r="W256" s="13"/>
      <c r="X256" s="13"/>
      <c r="Y256" s="397"/>
      <c r="Z256" s="13"/>
      <c r="AA256" s="13"/>
      <c r="AB256" s="397"/>
      <c r="AC256" s="13"/>
      <c r="AD256" s="13"/>
      <c r="AE256" s="397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61"/>
      <c r="AW256" s="161"/>
    </row>
    <row r="257" spans="1:49" ht="18">
      <c r="A257" s="13"/>
      <c r="B257" s="161"/>
      <c r="C257" s="398"/>
      <c r="D257" s="161"/>
      <c r="E257" s="161"/>
      <c r="F257" s="161"/>
      <c r="G257" s="735"/>
      <c r="H257" s="13"/>
      <c r="I257" s="13"/>
      <c r="J257" s="397"/>
      <c r="K257" s="13"/>
      <c r="L257" s="13"/>
      <c r="M257" s="397"/>
      <c r="N257" s="13"/>
      <c r="O257" s="13"/>
      <c r="P257" s="397"/>
      <c r="Q257" s="13"/>
      <c r="R257" s="13"/>
      <c r="S257" s="397"/>
      <c r="T257" s="13"/>
      <c r="U257" s="13"/>
      <c r="V257" s="397"/>
      <c r="W257" s="13"/>
      <c r="X257" s="13"/>
      <c r="Y257" s="397"/>
      <c r="Z257" s="13"/>
      <c r="AA257" s="13"/>
      <c r="AB257" s="397"/>
      <c r="AC257" s="13"/>
      <c r="AD257" s="13"/>
      <c r="AE257" s="397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61"/>
      <c r="AW257" s="161"/>
    </row>
    <row r="258" spans="1:49" ht="18">
      <c r="A258" s="24"/>
      <c r="B258" s="399"/>
      <c r="C258" s="13"/>
      <c r="D258" s="399"/>
      <c r="E258" s="806">
        <v>44562</v>
      </c>
      <c r="F258" s="807">
        <v>8.8999999999999996E-2</v>
      </c>
      <c r="G258" s="736"/>
      <c r="H258" s="371">
        <v>44916</v>
      </c>
      <c r="I258" s="372">
        <v>7.0000000000000007E-2</v>
      </c>
      <c r="J258" s="373"/>
      <c r="K258" s="371">
        <v>44855</v>
      </c>
      <c r="L258" s="372">
        <v>0.1</v>
      </c>
      <c r="M258" s="373"/>
      <c r="N258" s="374" t="s">
        <v>0</v>
      </c>
      <c r="O258" s="372">
        <v>0.1</v>
      </c>
      <c r="P258" s="373"/>
      <c r="Q258" s="371">
        <v>44763</v>
      </c>
      <c r="R258" s="372">
        <v>7.0000000000000007E-2</v>
      </c>
      <c r="S258" s="373"/>
      <c r="T258" s="371">
        <v>44702</v>
      </c>
      <c r="U258" s="372">
        <v>0.08</v>
      </c>
      <c r="V258" s="373"/>
      <c r="W258" s="375">
        <v>44641</v>
      </c>
      <c r="X258" s="376"/>
      <c r="Y258" s="373"/>
      <c r="Z258" s="377">
        <v>44228</v>
      </c>
      <c r="AA258" s="378"/>
      <c r="AB258" s="373"/>
      <c r="AC258" s="379">
        <v>43891</v>
      </c>
      <c r="AD258" s="380"/>
      <c r="AE258" s="3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32"/>
      <c r="AW258" s="32"/>
    </row>
    <row r="259" spans="1:49" ht="12.75">
      <c r="A259" s="24"/>
      <c r="B259" s="400" t="s">
        <v>73</v>
      </c>
      <c r="C259" s="401" t="s">
        <v>74</v>
      </c>
      <c r="D259" s="402" t="s">
        <v>75</v>
      </c>
      <c r="E259" s="402"/>
      <c r="F259" s="402"/>
      <c r="G259" s="726"/>
      <c r="H259" s="400" t="s">
        <v>76</v>
      </c>
      <c r="I259" s="401" t="s">
        <v>77</v>
      </c>
      <c r="J259" s="403"/>
      <c r="K259" s="400" t="s">
        <v>76</v>
      </c>
      <c r="L259" s="401" t="s">
        <v>77</v>
      </c>
      <c r="M259" s="403"/>
      <c r="N259" s="400" t="s">
        <v>76</v>
      </c>
      <c r="O259" s="401" t="s">
        <v>77</v>
      </c>
      <c r="P259" s="403"/>
      <c r="Q259" s="400" t="s">
        <v>76</v>
      </c>
      <c r="R259" s="401" t="s">
        <v>77</v>
      </c>
      <c r="S259" s="403"/>
      <c r="T259" s="400" t="s">
        <v>76</v>
      </c>
      <c r="U259" s="401" t="s">
        <v>77</v>
      </c>
      <c r="V259" s="403"/>
      <c r="W259" s="400" t="s">
        <v>76</v>
      </c>
      <c r="X259" s="401" t="s">
        <v>77</v>
      </c>
      <c r="Y259" s="403"/>
      <c r="Z259" s="400" t="s">
        <v>76</v>
      </c>
      <c r="AA259" s="401" t="s">
        <v>77</v>
      </c>
      <c r="AB259" s="403"/>
      <c r="AC259" s="400" t="s">
        <v>76</v>
      </c>
      <c r="AD259" s="401" t="s">
        <v>77</v>
      </c>
      <c r="AE259" s="403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32"/>
      <c r="AW259" s="32"/>
    </row>
    <row r="260" spans="1:49" ht="15">
      <c r="A260" s="24"/>
      <c r="B260" s="404">
        <v>4</v>
      </c>
      <c r="C260" s="405">
        <v>36</v>
      </c>
      <c r="D260" s="406" t="s">
        <v>141</v>
      </c>
      <c r="E260" s="443">
        <f t="shared" ref="E260" si="86">E320</f>
        <v>44943.411276000006</v>
      </c>
      <c r="F260" s="443"/>
      <c r="G260" s="729"/>
      <c r="H260" s="407">
        <f t="shared" ref="H260:H270" si="87">H320</f>
        <v>42292.717776000005</v>
      </c>
      <c r="I260" s="407"/>
      <c r="J260" s="408"/>
      <c r="K260" s="407">
        <f t="shared" ref="K260:K270" si="88">K320</f>
        <v>40207.78130580001</v>
      </c>
      <c r="L260" s="407"/>
      <c r="M260" s="408"/>
      <c r="N260" s="407">
        <f t="shared" ref="N260:N270" si="89">N320</f>
        <v>37229.427135000005</v>
      </c>
      <c r="O260" s="407"/>
      <c r="P260" s="408"/>
      <c r="Q260" s="407">
        <f t="shared" ref="Q260:Q277" si="90">Q320</f>
        <v>34251.072964200001</v>
      </c>
      <c r="R260" s="407"/>
      <c r="S260" s="408"/>
      <c r="T260" s="407">
        <f t="shared" ref="T260:T278" si="91">T320</f>
        <v>32166.225044640007</v>
      </c>
      <c r="U260" s="407"/>
      <c r="V260" s="408"/>
      <c r="W260" s="407">
        <f t="shared" ref="W260:W278" si="92">W320</f>
        <v>29783.541708000004</v>
      </c>
      <c r="X260" s="407"/>
      <c r="Y260" s="408"/>
      <c r="Z260" s="407">
        <f t="shared" ref="Z260:Z278" si="93">Z320</f>
        <v>29783.541708000004</v>
      </c>
      <c r="AA260" s="407"/>
      <c r="AB260" s="408"/>
      <c r="AC260" s="407">
        <f t="shared" ref="AC260:AC278" si="94">AC320</f>
        <v>25898.731920000006</v>
      </c>
      <c r="AD260" s="407"/>
      <c r="AE260" s="408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32"/>
      <c r="AW260" s="32"/>
    </row>
    <row r="261" spans="1:49" ht="12.75">
      <c r="A261" s="24"/>
      <c r="B261" s="409">
        <v>10</v>
      </c>
      <c r="C261" s="410">
        <f>porantighormed</f>
        <v>1.2</v>
      </c>
      <c r="D261" s="411" t="s">
        <v>84</v>
      </c>
      <c r="E261" s="443">
        <f t="shared" ref="E261" si="95">E321</f>
        <v>53932.093531200007</v>
      </c>
      <c r="F261" s="443"/>
      <c r="G261" s="729"/>
      <c r="H261" s="407">
        <f t="shared" si="87"/>
        <v>50751.261331200003</v>
      </c>
      <c r="I261" s="407"/>
      <c r="J261" s="408"/>
      <c r="K261" s="407">
        <f t="shared" si="88"/>
        <v>48249.337566960014</v>
      </c>
      <c r="L261" s="407"/>
      <c r="M261" s="408"/>
      <c r="N261" s="407">
        <f t="shared" si="89"/>
        <v>44675.312562000006</v>
      </c>
      <c r="O261" s="407"/>
      <c r="P261" s="408"/>
      <c r="Q261" s="407">
        <f t="shared" si="90"/>
        <v>41101.287557039999</v>
      </c>
      <c r="R261" s="407"/>
      <c r="S261" s="408"/>
      <c r="T261" s="407">
        <f t="shared" si="91"/>
        <v>38599.470053568009</v>
      </c>
      <c r="U261" s="407"/>
      <c r="V261" s="408"/>
      <c r="W261" s="407">
        <f t="shared" si="92"/>
        <v>35740.250049600007</v>
      </c>
      <c r="X261" s="407"/>
      <c r="Y261" s="408"/>
      <c r="Z261" s="407">
        <f t="shared" si="93"/>
        <v>35740.250049600007</v>
      </c>
      <c r="AA261" s="407"/>
      <c r="AB261" s="408"/>
      <c r="AC261" s="407">
        <f t="shared" si="94"/>
        <v>31078.478304000004</v>
      </c>
      <c r="AD261" s="407"/>
      <c r="AE261" s="408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32"/>
      <c r="AW261" s="32"/>
    </row>
    <row r="262" spans="1:49">
      <c r="A262" s="24"/>
      <c r="B262" s="404">
        <v>6</v>
      </c>
      <c r="C262" s="412">
        <f t="shared" ref="C262:E264" si="96">C322</f>
        <v>36</v>
      </c>
      <c r="D262" s="413" t="s">
        <v>83</v>
      </c>
      <c r="E262" s="443">
        <f t="shared" si="96"/>
        <v>11154.884399999999</v>
      </c>
      <c r="F262" s="443"/>
      <c r="G262" s="729"/>
      <c r="H262" s="407">
        <f t="shared" si="87"/>
        <v>10496.976012000001</v>
      </c>
      <c r="I262" s="407"/>
      <c r="J262" s="408"/>
      <c r="K262" s="407">
        <f t="shared" si="88"/>
        <v>9980.2530000000006</v>
      </c>
      <c r="L262" s="407"/>
      <c r="M262" s="408"/>
      <c r="N262" s="407">
        <f t="shared" si="89"/>
        <v>9240.9750000000004</v>
      </c>
      <c r="O262" s="407"/>
      <c r="P262" s="408"/>
      <c r="Q262" s="407">
        <f t="shared" si="90"/>
        <v>8501.6969999999983</v>
      </c>
      <c r="R262" s="407"/>
      <c r="S262" s="408"/>
      <c r="T262" s="407">
        <f t="shared" si="91"/>
        <v>7984.2024000000001</v>
      </c>
      <c r="U262" s="407"/>
      <c r="V262" s="408"/>
      <c r="W262" s="407">
        <f t="shared" si="92"/>
        <v>7392.78</v>
      </c>
      <c r="X262" s="407"/>
      <c r="Y262" s="408"/>
      <c r="Z262" s="407">
        <f t="shared" si="93"/>
        <v>7392.78</v>
      </c>
      <c r="AA262" s="407"/>
      <c r="AB262" s="408"/>
      <c r="AC262" s="407">
        <f t="shared" si="94"/>
        <v>6428.16</v>
      </c>
      <c r="AD262" s="407"/>
      <c r="AE262" s="408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32"/>
      <c r="AW262" s="32"/>
    </row>
    <row r="263" spans="1:49" ht="12.75">
      <c r="A263" s="24"/>
      <c r="B263" s="409">
        <v>14</v>
      </c>
      <c r="C263" s="410">
        <v>7.0000000000000007E-2</v>
      </c>
      <c r="D263" s="414" t="s">
        <v>142</v>
      </c>
      <c r="E263" s="443">
        <f t="shared" ref="E263" si="97">E323</f>
        <v>780.84190799999999</v>
      </c>
      <c r="F263" s="443"/>
      <c r="G263" s="729"/>
      <c r="H263" s="407">
        <f t="shared" si="87"/>
        <v>734.7883208400001</v>
      </c>
      <c r="I263" s="407"/>
      <c r="J263" s="408"/>
      <c r="K263" s="407">
        <f t="shared" si="88"/>
        <v>698.6177100000001</v>
      </c>
      <c r="L263" s="407"/>
      <c r="M263" s="408"/>
      <c r="N263" s="407">
        <f t="shared" si="89"/>
        <v>646.8682500000001</v>
      </c>
      <c r="O263" s="407"/>
      <c r="P263" s="408"/>
      <c r="Q263" s="407">
        <f t="shared" si="90"/>
        <v>595.11878999999999</v>
      </c>
      <c r="R263" s="407"/>
      <c r="S263" s="408"/>
      <c r="T263" s="407">
        <f t="shared" si="91"/>
        <v>558.89416800000004</v>
      </c>
      <c r="U263" s="407"/>
      <c r="V263" s="408"/>
      <c r="W263" s="407">
        <f t="shared" si="92"/>
        <v>517.49459999999999</v>
      </c>
      <c r="X263" s="407"/>
      <c r="Y263" s="408"/>
      <c r="Z263" s="407">
        <f t="shared" si="93"/>
        <v>517.49459999999999</v>
      </c>
      <c r="AA263" s="407"/>
      <c r="AB263" s="408"/>
      <c r="AC263" s="407">
        <f t="shared" si="94"/>
        <v>449.97120000000001</v>
      </c>
      <c r="AD263" s="407"/>
      <c r="AE263" s="408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32"/>
      <c r="AW263" s="32"/>
    </row>
    <row r="264" spans="1:49">
      <c r="A264" s="24"/>
      <c r="B264" s="404">
        <v>18</v>
      </c>
      <c r="C264" s="412">
        <f t="shared" si="96"/>
        <v>18</v>
      </c>
      <c r="D264" s="415" t="s">
        <v>143</v>
      </c>
      <c r="E264" s="443">
        <f t="shared" ref="E264" si="98">E324</f>
        <v>4472.6760637605639</v>
      </c>
      <c r="F264" s="443"/>
      <c r="G264" s="729"/>
      <c r="H264" s="407">
        <f t="shared" si="87"/>
        <v>4208.8800600000004</v>
      </c>
      <c r="I264" s="407"/>
      <c r="J264" s="408"/>
      <c r="K264" s="407">
        <f t="shared" si="88"/>
        <v>4001.3998380000007</v>
      </c>
      <c r="L264" s="407"/>
      <c r="M264" s="408"/>
      <c r="N264" s="407">
        <f t="shared" si="89"/>
        <v>3704.9998500000002</v>
      </c>
      <c r="O264" s="407"/>
      <c r="P264" s="408"/>
      <c r="Q264" s="407">
        <f t="shared" si="90"/>
        <v>3408.599862</v>
      </c>
      <c r="R264" s="407"/>
      <c r="S264" s="408"/>
      <c r="T264" s="407">
        <f t="shared" si="91"/>
        <v>3201.1198704000008</v>
      </c>
      <c r="U264" s="407"/>
      <c r="V264" s="408"/>
      <c r="W264" s="407">
        <f t="shared" si="92"/>
        <v>2963.9998800000003</v>
      </c>
      <c r="X264" s="407"/>
      <c r="Y264" s="408"/>
      <c r="Z264" s="407">
        <f t="shared" si="93"/>
        <v>2963.9998800000003</v>
      </c>
      <c r="AA264" s="407"/>
      <c r="AB264" s="408"/>
      <c r="AC264" s="407">
        <f t="shared" si="94"/>
        <v>2577.2400000000002</v>
      </c>
      <c r="AD264" s="407"/>
      <c r="AE264" s="408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32"/>
      <c r="AW264" s="32"/>
    </row>
    <row r="265" spans="1:49" ht="12.75">
      <c r="A265" s="24"/>
      <c r="B265" s="404">
        <v>188</v>
      </c>
      <c r="C265" s="416">
        <v>7.0000000000000007E-2</v>
      </c>
      <c r="D265" s="406" t="s">
        <v>86</v>
      </c>
      <c r="E265" s="443">
        <f t="shared" ref="E265" si="99">E325</f>
        <v>7983.6657608263968</v>
      </c>
      <c r="F265" s="443"/>
      <c r="G265" s="729"/>
      <c r="H265" s="407">
        <f t="shared" si="87"/>
        <v>7512.8003417040009</v>
      </c>
      <c r="I265" s="407"/>
      <c r="J265" s="408"/>
      <c r="K265" s="407">
        <f t="shared" si="88"/>
        <v>7142.4377297532019</v>
      </c>
      <c r="L265" s="407"/>
      <c r="M265" s="408"/>
      <c r="N265" s="407">
        <f t="shared" si="89"/>
        <v>6613.3682682900007</v>
      </c>
      <c r="O265" s="407"/>
      <c r="P265" s="408"/>
      <c r="Q265" s="407">
        <f t="shared" si="90"/>
        <v>6084.2988068268005</v>
      </c>
      <c r="R265" s="407"/>
      <c r="S265" s="408"/>
      <c r="T265" s="407">
        <f t="shared" si="91"/>
        <v>5713.9501838025617</v>
      </c>
      <c r="U265" s="407"/>
      <c r="V265" s="408"/>
      <c r="W265" s="407">
        <f t="shared" si="92"/>
        <v>5290.6946146320006</v>
      </c>
      <c r="X265" s="407"/>
      <c r="Y265" s="408"/>
      <c r="Z265" s="407">
        <f t="shared" si="93"/>
        <v>5290.6946146320006</v>
      </c>
      <c r="AA265" s="407"/>
      <c r="AB265" s="408"/>
      <c r="AC265" s="407">
        <f t="shared" si="94"/>
        <v>4296.2395156800012</v>
      </c>
      <c r="AD265" s="407"/>
      <c r="AE265" s="408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32"/>
      <c r="AW265" s="32"/>
    </row>
    <row r="266" spans="1:49" ht="15">
      <c r="A266" s="24"/>
      <c r="B266" s="409">
        <v>78</v>
      </c>
      <c r="C266" s="929">
        <v>0</v>
      </c>
      <c r="D266" s="411" t="s">
        <v>89</v>
      </c>
      <c r="E266" s="443">
        <f t="shared" ref="E266" si="100">E326</f>
        <v>0</v>
      </c>
      <c r="F266" s="443"/>
      <c r="G266" s="729"/>
      <c r="H266" s="407">
        <f t="shared" si="87"/>
        <v>0</v>
      </c>
      <c r="I266" s="407"/>
      <c r="J266" s="408"/>
      <c r="K266" s="407">
        <f t="shared" si="88"/>
        <v>0</v>
      </c>
      <c r="L266" s="407"/>
      <c r="M266" s="408"/>
      <c r="N266" s="407">
        <f t="shared" si="89"/>
        <v>0</v>
      </c>
      <c r="O266" s="407"/>
      <c r="P266" s="408"/>
      <c r="Q266" s="407">
        <f t="shared" si="90"/>
        <v>0</v>
      </c>
      <c r="R266" s="407"/>
      <c r="S266" s="408"/>
      <c r="T266" s="407">
        <f t="shared" si="91"/>
        <v>0</v>
      </c>
      <c r="U266" s="407"/>
      <c r="V266" s="408"/>
      <c r="W266" s="407">
        <f t="shared" si="92"/>
        <v>0</v>
      </c>
      <c r="X266" s="407"/>
      <c r="Y266" s="408"/>
      <c r="Z266" s="407">
        <f t="shared" si="93"/>
        <v>0</v>
      </c>
      <c r="AA266" s="407"/>
      <c r="AB266" s="408"/>
      <c r="AC266" s="407">
        <f t="shared" si="94"/>
        <v>0</v>
      </c>
      <c r="AD266" s="407"/>
      <c r="AE266" s="408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32"/>
      <c r="AW266" s="32"/>
    </row>
    <row r="267" spans="1:49" ht="14.25">
      <c r="A267" s="24"/>
      <c r="B267" s="417">
        <v>29</v>
      </c>
      <c r="C267" s="418">
        <f>C327</f>
        <v>0</v>
      </c>
      <c r="D267" s="413" t="s">
        <v>93</v>
      </c>
      <c r="E267" s="443">
        <f t="shared" ref="E267:F267" si="101">E327</f>
        <v>0</v>
      </c>
      <c r="F267" s="443" t="str">
        <f t="shared" si="101"/>
        <v>aumenta 8,9%</v>
      </c>
      <c r="G267" s="729"/>
      <c r="H267" s="407">
        <f t="shared" si="87"/>
        <v>0</v>
      </c>
      <c r="I267" s="407" t="str">
        <f>I327</f>
        <v>aumenta 7%</v>
      </c>
      <c r="J267" s="408"/>
      <c r="K267" s="407">
        <f t="shared" si="88"/>
        <v>0</v>
      </c>
      <c r="L267" s="407" t="str">
        <f>L327</f>
        <v>aumenta 7%</v>
      </c>
      <c r="M267" s="408"/>
      <c r="N267" s="407">
        <f t="shared" si="89"/>
        <v>0</v>
      </c>
      <c r="O267" s="407" t="str">
        <f>O327</f>
        <v>aumenta 7%</v>
      </c>
      <c r="P267" s="408"/>
      <c r="Q267" s="407">
        <f t="shared" si="90"/>
        <v>0</v>
      </c>
      <c r="R267" s="407" t="str">
        <f>R327</f>
        <v>aumenta 7%</v>
      </c>
      <c r="S267" s="408"/>
      <c r="T267" s="407">
        <f t="shared" si="91"/>
        <v>0</v>
      </c>
      <c r="U267" s="407" t="str">
        <f>U327</f>
        <v>aumenta 7%</v>
      </c>
      <c r="V267" s="408"/>
      <c r="W267" s="407">
        <f t="shared" si="92"/>
        <v>0</v>
      </c>
      <c r="X267" s="407" t="str">
        <f>X327</f>
        <v>aumenta 7%</v>
      </c>
      <c r="Y267" s="408"/>
      <c r="Z267" s="407">
        <f t="shared" si="93"/>
        <v>0</v>
      </c>
      <c r="AA267" s="407" t="str">
        <f>AA327</f>
        <v>aumenta 7%</v>
      </c>
      <c r="AB267" s="408"/>
      <c r="AC267" s="407">
        <f t="shared" si="94"/>
        <v>0</v>
      </c>
      <c r="AD267" s="407" t="str">
        <f>AD327</f>
        <v>aumenta 7%</v>
      </c>
      <c r="AE267" s="408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32"/>
      <c r="AW267" s="32"/>
    </row>
    <row r="268" spans="1:49">
      <c r="A268" s="24"/>
      <c r="B268" s="417">
        <v>117</v>
      </c>
      <c r="C268" s="419"/>
      <c r="D268" s="413" t="s">
        <v>92</v>
      </c>
      <c r="E268" s="443">
        <f t="shared" ref="E268" si="102">E328</f>
        <v>3159.1871408450702</v>
      </c>
      <c r="F268" s="443"/>
      <c r="G268" s="729"/>
      <c r="H268" s="407">
        <f t="shared" si="87"/>
        <v>2972.86</v>
      </c>
      <c r="I268" s="407"/>
      <c r="J268" s="408"/>
      <c r="K268" s="407">
        <f t="shared" si="88"/>
        <v>2826.306</v>
      </c>
      <c r="L268" s="407"/>
      <c r="M268" s="408"/>
      <c r="N268" s="407">
        <f t="shared" si="89"/>
        <v>2616.9499999999998</v>
      </c>
      <c r="O268" s="407"/>
      <c r="P268" s="408"/>
      <c r="Q268" s="407">
        <f t="shared" si="90"/>
        <v>2407.5939999999996</v>
      </c>
      <c r="R268" s="407"/>
      <c r="S268" s="408"/>
      <c r="T268" s="407">
        <f t="shared" si="91"/>
        <v>2261.0448000000001</v>
      </c>
      <c r="U268" s="407"/>
      <c r="V268" s="408"/>
      <c r="W268" s="407">
        <f t="shared" si="92"/>
        <v>2093.56</v>
      </c>
      <c r="X268" s="407"/>
      <c r="Y268" s="408"/>
      <c r="Z268" s="407">
        <f t="shared" si="93"/>
        <v>2093.56</v>
      </c>
      <c r="AA268" s="407"/>
      <c r="AB268" s="408"/>
      <c r="AC268" s="407">
        <f t="shared" si="94"/>
        <v>1820.4</v>
      </c>
      <c r="AD268" s="407"/>
      <c r="AE268" s="408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32"/>
      <c r="AW268" s="32"/>
    </row>
    <row r="269" spans="1:49" ht="20.25">
      <c r="A269" s="24"/>
      <c r="B269" s="420">
        <v>38</v>
      </c>
      <c r="C269" s="951">
        <v>15</v>
      </c>
      <c r="D269" s="421" t="s">
        <v>144</v>
      </c>
      <c r="E269" s="443">
        <f t="shared" ref="E269" si="103">E329</f>
        <v>7545</v>
      </c>
      <c r="F269" s="443"/>
      <c r="G269" s="729"/>
      <c r="H269" s="407">
        <f t="shared" si="87"/>
        <v>7100</v>
      </c>
      <c r="I269" s="407"/>
      <c r="J269" s="408"/>
      <c r="K269" s="407">
        <f t="shared" si="88"/>
        <v>6750</v>
      </c>
      <c r="L269" s="407"/>
      <c r="M269" s="408"/>
      <c r="N269" s="407">
        <f t="shared" si="89"/>
        <v>6250</v>
      </c>
      <c r="O269" s="407"/>
      <c r="P269" s="408"/>
      <c r="Q269" s="407">
        <f t="shared" si="90"/>
        <v>5750</v>
      </c>
      <c r="R269" s="407"/>
      <c r="S269" s="408"/>
      <c r="T269" s="407">
        <f t="shared" si="91"/>
        <v>5400</v>
      </c>
      <c r="U269" s="407"/>
      <c r="V269" s="408"/>
      <c r="W269" s="407">
        <f t="shared" si="92"/>
        <v>5000</v>
      </c>
      <c r="X269" s="407"/>
      <c r="Y269" s="408"/>
      <c r="Z269" s="407">
        <f t="shared" si="93"/>
        <v>5000</v>
      </c>
      <c r="AA269" s="407"/>
      <c r="AB269" s="408"/>
      <c r="AC269" s="407">
        <f t="shared" si="94"/>
        <v>0</v>
      </c>
      <c r="AD269" s="407"/>
      <c r="AE269" s="408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32"/>
      <c r="AW269" s="32"/>
    </row>
    <row r="270" spans="1:49">
      <c r="A270" s="24"/>
      <c r="B270" s="422"/>
      <c r="C270" s="423"/>
      <c r="D270" s="424" t="s">
        <v>145</v>
      </c>
      <c r="E270" s="778">
        <f t="shared" ref="E270" si="104">E330</f>
        <v>133971.76008063206</v>
      </c>
      <c r="F270" s="443"/>
      <c r="G270" s="729"/>
      <c r="H270" s="425">
        <f t="shared" si="87"/>
        <v>126070.28384174401</v>
      </c>
      <c r="I270" s="407"/>
      <c r="J270" s="408"/>
      <c r="K270" s="426">
        <f t="shared" si="88"/>
        <v>119856.13315051323</v>
      </c>
      <c r="L270" s="407"/>
      <c r="M270" s="408"/>
      <c r="N270" s="426">
        <f t="shared" si="89"/>
        <v>110977.90106529</v>
      </c>
      <c r="O270" s="407"/>
      <c r="P270" s="408"/>
      <c r="Q270" s="426">
        <f t="shared" si="90"/>
        <v>102099.6689800668</v>
      </c>
      <c r="R270" s="407"/>
      <c r="S270" s="408"/>
      <c r="T270" s="426">
        <f t="shared" si="91"/>
        <v>95884.906520410572</v>
      </c>
      <c r="U270" s="407"/>
      <c r="V270" s="408"/>
      <c r="W270" s="426">
        <f t="shared" si="92"/>
        <v>88782.32085223202</v>
      </c>
      <c r="X270" s="407"/>
      <c r="Y270" s="408"/>
      <c r="Z270" s="426">
        <f t="shared" si="93"/>
        <v>88782.32085223202</v>
      </c>
      <c r="AA270" s="407"/>
      <c r="AB270" s="408"/>
      <c r="AC270" s="426">
        <f t="shared" si="94"/>
        <v>72549.220939680017</v>
      </c>
      <c r="AD270" s="407"/>
      <c r="AE270" s="408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32"/>
      <c r="AW270" s="32"/>
    </row>
    <row r="271" spans="1:49">
      <c r="A271" s="24"/>
      <c r="B271" s="427" t="s">
        <v>146</v>
      </c>
      <c r="C271" s="428"/>
      <c r="D271" s="428"/>
      <c r="E271" s="930">
        <v>0</v>
      </c>
      <c r="F271" s="443"/>
      <c r="G271" s="729"/>
      <c r="H271" s="429">
        <v>0</v>
      </c>
      <c r="I271" s="407"/>
      <c r="J271" s="408"/>
      <c r="K271" s="856">
        <v>0</v>
      </c>
      <c r="L271" s="407"/>
      <c r="M271" s="408"/>
      <c r="N271" s="856">
        <v>0</v>
      </c>
      <c r="O271" s="407"/>
      <c r="P271" s="408"/>
      <c r="Q271" s="407">
        <f t="shared" si="90"/>
        <v>0</v>
      </c>
      <c r="R271" s="407"/>
      <c r="S271" s="408"/>
      <c r="T271" s="407">
        <f t="shared" si="91"/>
        <v>0</v>
      </c>
      <c r="U271" s="407"/>
      <c r="V271" s="408"/>
      <c r="W271" s="407">
        <f t="shared" si="92"/>
        <v>0</v>
      </c>
      <c r="X271" s="407"/>
      <c r="Y271" s="408"/>
      <c r="Z271" s="407">
        <f t="shared" si="93"/>
        <v>0</v>
      </c>
      <c r="AA271" s="407"/>
      <c r="AB271" s="408"/>
      <c r="AC271" s="407">
        <f t="shared" si="94"/>
        <v>0</v>
      </c>
      <c r="AD271" s="407"/>
      <c r="AE271" s="408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32"/>
      <c r="AW271" s="32"/>
    </row>
    <row r="272" spans="1:49">
      <c r="A272" s="24"/>
      <c r="B272" s="430">
        <v>84</v>
      </c>
      <c r="C272" s="431">
        <f t="shared" ref="C272:E274" si="105">C332</f>
        <v>29.999999469964671</v>
      </c>
      <c r="D272" s="411" t="s">
        <v>97</v>
      </c>
      <c r="E272" s="443">
        <f t="shared" si="105"/>
        <v>5660</v>
      </c>
      <c r="F272" s="443"/>
      <c r="G272" s="729"/>
      <c r="H272" s="407">
        <f t="shared" ref="H272:H277" si="106">H332</f>
        <v>5660</v>
      </c>
      <c r="I272" s="407"/>
      <c r="J272" s="408"/>
      <c r="K272" s="407">
        <f t="shared" ref="K272:K278" si="107">K332</f>
        <v>5660</v>
      </c>
      <c r="L272" s="407"/>
      <c r="M272" s="408"/>
      <c r="N272" s="407">
        <f t="shared" ref="N272:N278" si="108">N332</f>
        <v>5660</v>
      </c>
      <c r="O272" s="407"/>
      <c r="P272" s="408"/>
      <c r="Q272" s="407">
        <f t="shared" si="90"/>
        <v>4840</v>
      </c>
      <c r="R272" s="407"/>
      <c r="S272" s="408"/>
      <c r="T272" s="407">
        <f t="shared" si="91"/>
        <v>4840</v>
      </c>
      <c r="U272" s="407"/>
      <c r="V272" s="408"/>
      <c r="W272" s="407">
        <f t="shared" si="92"/>
        <v>4840</v>
      </c>
      <c r="X272" s="407"/>
      <c r="Y272" s="408"/>
      <c r="Z272" s="407">
        <f t="shared" si="93"/>
        <v>2420</v>
      </c>
      <c r="AA272" s="407"/>
      <c r="AB272" s="408"/>
      <c r="AC272" s="407">
        <f t="shared" si="94"/>
        <v>2420</v>
      </c>
      <c r="AD272" s="407"/>
      <c r="AE272" s="408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32"/>
      <c r="AW272" s="32"/>
    </row>
    <row r="273" spans="1:49">
      <c r="A273" s="24"/>
      <c r="B273" s="432">
        <v>113</v>
      </c>
      <c r="C273" s="431"/>
      <c r="D273" s="433" t="s">
        <v>147</v>
      </c>
      <c r="E273" s="443" t="str">
        <f t="shared" ref="E273" si="109">E333</f>
        <v>Todo en el 084</v>
      </c>
      <c r="F273" s="443"/>
      <c r="G273" s="729"/>
      <c r="H273" s="407" t="str">
        <f t="shared" si="106"/>
        <v>Todo en el 084</v>
      </c>
      <c r="I273" s="407"/>
      <c r="J273" s="408"/>
      <c r="K273" s="407" t="str">
        <f t="shared" si="107"/>
        <v>Todo en el 084</v>
      </c>
      <c r="L273" s="407"/>
      <c r="M273" s="408"/>
      <c r="N273" s="407" t="str">
        <f t="shared" si="108"/>
        <v>Todo en el 084</v>
      </c>
      <c r="O273" s="407"/>
      <c r="P273" s="408"/>
      <c r="Q273" s="407" t="str">
        <f t="shared" si="90"/>
        <v>Todo en el 084</v>
      </c>
      <c r="R273" s="407"/>
      <c r="S273" s="408"/>
      <c r="T273" s="407" t="str">
        <f t="shared" si="91"/>
        <v>Todo en el 084</v>
      </c>
      <c r="U273" s="407"/>
      <c r="V273" s="408"/>
      <c r="W273" s="407" t="str">
        <f t="shared" si="92"/>
        <v>Todo en el 084</v>
      </c>
      <c r="X273" s="407"/>
      <c r="Y273" s="408"/>
      <c r="Z273" s="407">
        <f t="shared" si="93"/>
        <v>2420</v>
      </c>
      <c r="AA273" s="407"/>
      <c r="AB273" s="408"/>
      <c r="AC273" s="407">
        <f t="shared" si="94"/>
        <v>2420</v>
      </c>
      <c r="AD273" s="407"/>
      <c r="AE273" s="408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32"/>
      <c r="AW273" s="32"/>
    </row>
    <row r="274" spans="1:49">
      <c r="A274" s="24"/>
      <c r="B274" s="430">
        <v>54</v>
      </c>
      <c r="C274" s="431">
        <f t="shared" si="105"/>
        <v>30</v>
      </c>
      <c r="D274" s="414" t="s">
        <v>100</v>
      </c>
      <c r="E274" s="443">
        <f t="shared" ref="E274" si="110">E334</f>
        <v>4500</v>
      </c>
      <c r="F274" s="443"/>
      <c r="G274" s="729"/>
      <c r="H274" s="407">
        <f t="shared" si="106"/>
        <v>4500</v>
      </c>
      <c r="I274" s="407"/>
      <c r="J274" s="408"/>
      <c r="K274" s="407">
        <f t="shared" si="107"/>
        <v>2000</v>
      </c>
      <c r="L274" s="407"/>
      <c r="M274" s="408"/>
      <c r="N274" s="407">
        <f t="shared" si="108"/>
        <v>2000</v>
      </c>
      <c r="O274" s="407"/>
      <c r="P274" s="408"/>
      <c r="Q274" s="407">
        <f t="shared" si="90"/>
        <v>1420</v>
      </c>
      <c r="R274" s="407"/>
      <c r="S274" s="408"/>
      <c r="T274" s="407">
        <f t="shared" si="91"/>
        <v>1420</v>
      </c>
      <c r="U274" s="407"/>
      <c r="V274" s="408"/>
      <c r="W274" s="407">
        <f t="shared" si="92"/>
        <v>1420</v>
      </c>
      <c r="X274" s="407"/>
      <c r="Y274" s="408"/>
      <c r="Z274" s="407">
        <f t="shared" si="93"/>
        <v>420</v>
      </c>
      <c r="AA274" s="407"/>
      <c r="AB274" s="408"/>
      <c r="AC274" s="407">
        <f t="shared" si="94"/>
        <v>420</v>
      </c>
      <c r="AD274" s="407"/>
      <c r="AE274" s="408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32"/>
      <c r="AW274" s="32"/>
    </row>
    <row r="275" spans="1:49" ht="12.75">
      <c r="A275" s="24"/>
      <c r="B275" s="434"/>
      <c r="C275" s="428"/>
      <c r="D275" s="428"/>
      <c r="E275" s="443">
        <f t="shared" ref="E275" si="111">E335</f>
        <v>0</v>
      </c>
      <c r="F275" s="443"/>
      <c r="G275" s="729"/>
      <c r="H275" s="407">
        <f t="shared" si="106"/>
        <v>0</v>
      </c>
      <c r="I275" s="407"/>
      <c r="J275" s="408"/>
      <c r="K275" s="407">
        <f t="shared" si="107"/>
        <v>0</v>
      </c>
      <c r="L275" s="407"/>
      <c r="M275" s="408"/>
      <c r="N275" s="407">
        <f t="shared" si="108"/>
        <v>0</v>
      </c>
      <c r="O275" s="407"/>
      <c r="P275" s="408"/>
      <c r="Q275" s="407">
        <f t="shared" si="90"/>
        <v>0</v>
      </c>
      <c r="R275" s="407"/>
      <c r="S275" s="408"/>
      <c r="T275" s="407">
        <f t="shared" si="91"/>
        <v>0</v>
      </c>
      <c r="U275" s="407"/>
      <c r="V275" s="408"/>
      <c r="W275" s="407">
        <f t="shared" si="92"/>
        <v>0</v>
      </c>
      <c r="X275" s="407"/>
      <c r="Y275" s="408"/>
      <c r="Z275" s="407">
        <f t="shared" si="93"/>
        <v>0</v>
      </c>
      <c r="AA275" s="407"/>
      <c r="AB275" s="408"/>
      <c r="AC275" s="407">
        <f t="shared" si="94"/>
        <v>0</v>
      </c>
      <c r="AD275" s="407"/>
      <c r="AE275" s="408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32"/>
      <c r="AW275" s="32"/>
    </row>
    <row r="276" spans="1:49" ht="12.75">
      <c r="A276" s="24"/>
      <c r="B276" s="434"/>
      <c r="C276" s="428"/>
      <c r="D276" s="428"/>
      <c r="E276" s="443">
        <f t="shared" ref="E276" si="112">E336</f>
        <v>0</v>
      </c>
      <c r="F276" s="443"/>
      <c r="G276" s="729"/>
      <c r="H276" s="407">
        <f t="shared" si="106"/>
        <v>0</v>
      </c>
      <c r="I276" s="407"/>
      <c r="J276" s="408"/>
      <c r="K276" s="407">
        <f t="shared" si="107"/>
        <v>0</v>
      </c>
      <c r="L276" s="407"/>
      <c r="M276" s="408"/>
      <c r="N276" s="407">
        <f t="shared" si="108"/>
        <v>0</v>
      </c>
      <c r="O276" s="407"/>
      <c r="P276" s="408"/>
      <c r="Q276" s="407">
        <f t="shared" si="90"/>
        <v>0</v>
      </c>
      <c r="R276" s="407"/>
      <c r="S276" s="408"/>
      <c r="T276" s="407">
        <f t="shared" si="91"/>
        <v>0</v>
      </c>
      <c r="U276" s="407"/>
      <c r="V276" s="408"/>
      <c r="W276" s="407">
        <f t="shared" si="92"/>
        <v>0</v>
      </c>
      <c r="X276" s="407"/>
      <c r="Y276" s="408"/>
      <c r="Z276" s="407">
        <f t="shared" si="93"/>
        <v>0</v>
      </c>
      <c r="AA276" s="407"/>
      <c r="AB276" s="408"/>
      <c r="AC276" s="407">
        <f t="shared" si="94"/>
        <v>0</v>
      </c>
      <c r="AD276" s="407"/>
      <c r="AE276" s="408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32"/>
      <c r="AW276" s="32"/>
    </row>
    <row r="277" spans="1:49" ht="15">
      <c r="A277" s="24"/>
      <c r="B277" s="435"/>
      <c r="D277" s="436" t="s">
        <v>148</v>
      </c>
      <c r="E277" s="778">
        <f t="shared" ref="E277" si="113">E337</f>
        <v>144131.76008063206</v>
      </c>
      <c r="F277" s="443"/>
      <c r="G277" s="729"/>
      <c r="H277" s="426">
        <f t="shared" si="106"/>
        <v>136230.28384174401</v>
      </c>
      <c r="I277" s="407"/>
      <c r="J277" s="408"/>
      <c r="K277" s="426">
        <f t="shared" si="107"/>
        <v>127516.13315051323</v>
      </c>
      <c r="L277" s="407"/>
      <c r="M277" s="408"/>
      <c r="N277" s="426">
        <f t="shared" si="108"/>
        <v>118637.90106529</v>
      </c>
      <c r="O277" s="407"/>
      <c r="P277" s="408"/>
      <c r="Q277" s="426">
        <f t="shared" si="90"/>
        <v>108359.6689800668</v>
      </c>
      <c r="R277" s="407"/>
      <c r="S277" s="408"/>
      <c r="T277" s="426">
        <f t="shared" si="91"/>
        <v>102144.90652041057</v>
      </c>
      <c r="U277" s="407"/>
      <c r="V277" s="408"/>
      <c r="W277" s="426">
        <f t="shared" si="92"/>
        <v>95042.32085223202</v>
      </c>
      <c r="X277" s="407"/>
      <c r="Y277" s="408"/>
      <c r="Z277" s="426">
        <f t="shared" si="93"/>
        <v>94042.32085223202</v>
      </c>
      <c r="AA277" s="407"/>
      <c r="AB277" s="408"/>
      <c r="AC277" s="426">
        <f t="shared" si="94"/>
        <v>77809.220939680017</v>
      </c>
      <c r="AD277" s="407"/>
      <c r="AE277" s="408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32"/>
      <c r="AW277" s="32"/>
    </row>
    <row r="278" spans="1:49">
      <c r="A278" s="24"/>
      <c r="B278" s="430">
        <v>440</v>
      </c>
      <c r="C278" s="437"/>
      <c r="D278" s="414" t="s">
        <v>102</v>
      </c>
      <c r="E278" s="932">
        <v>0</v>
      </c>
      <c r="F278" s="873">
        <f t="shared" ref="F278" si="114">F338</f>
        <v>0</v>
      </c>
      <c r="G278" s="729"/>
      <c r="H278" s="429">
        <v>0</v>
      </c>
      <c r="I278" s="873">
        <f t="shared" ref="I278:I284" si="115">I338</f>
        <v>0</v>
      </c>
      <c r="J278" s="876"/>
      <c r="K278" s="873">
        <f t="shared" si="107"/>
        <v>0</v>
      </c>
      <c r="L278" s="873">
        <f t="shared" ref="L278:L284" si="116">L338</f>
        <v>0</v>
      </c>
      <c r="M278" s="408"/>
      <c r="N278" s="407">
        <f t="shared" si="108"/>
        <v>0</v>
      </c>
      <c r="O278" s="407">
        <f t="shared" ref="O278:O284" si="117">O338</f>
        <v>0</v>
      </c>
      <c r="P278" s="408"/>
      <c r="Q278" s="407"/>
      <c r="R278" s="407">
        <f t="shared" ref="R278:R286" si="118">R338</f>
        <v>0</v>
      </c>
      <c r="S278" s="408"/>
      <c r="T278" s="443">
        <f t="shared" si="91"/>
        <v>0</v>
      </c>
      <c r="U278" s="407">
        <f t="shared" ref="U278:U284" si="119">U338</f>
        <v>0</v>
      </c>
      <c r="V278" s="408"/>
      <c r="W278" s="443">
        <f t="shared" si="92"/>
        <v>0</v>
      </c>
      <c r="X278" s="407">
        <f t="shared" ref="X278:X286" si="120">X338</f>
        <v>0</v>
      </c>
      <c r="Y278" s="408"/>
      <c r="Z278" s="443">
        <f t="shared" si="93"/>
        <v>0</v>
      </c>
      <c r="AA278" s="407">
        <f t="shared" ref="AA278:AA286" si="121">AA338</f>
        <v>0</v>
      </c>
      <c r="AB278" s="408"/>
      <c r="AC278" s="407">
        <f t="shared" si="94"/>
        <v>0</v>
      </c>
      <c r="AD278" s="407">
        <f t="shared" ref="AD278:AD284" si="122">AD338</f>
        <v>0</v>
      </c>
      <c r="AE278" s="408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32"/>
      <c r="AW278" s="32"/>
    </row>
    <row r="279" spans="1:49" ht="12.75">
      <c r="A279" s="24"/>
      <c r="B279" s="404">
        <v>502</v>
      </c>
      <c r="C279" s="404" t="s">
        <v>30</v>
      </c>
      <c r="D279" s="415" t="s">
        <v>149</v>
      </c>
      <c r="E279" s="443"/>
      <c r="F279" s="873">
        <f t="shared" ref="F279:F280" si="123">F339</f>
        <v>-21435.481612901131</v>
      </c>
      <c r="G279" s="729"/>
      <c r="H279" s="407"/>
      <c r="I279" s="873">
        <f t="shared" si="115"/>
        <v>-20171.245414679041</v>
      </c>
      <c r="J279" s="876"/>
      <c r="K279" s="873"/>
      <c r="L279" s="873">
        <f t="shared" si="116"/>
        <v>-19176.981304082117</v>
      </c>
      <c r="M279" s="408"/>
      <c r="N279" s="407"/>
      <c r="O279" s="407">
        <f t="shared" si="117"/>
        <v>-17756.464170446405</v>
      </c>
      <c r="P279" s="408"/>
      <c r="Q279" s="407"/>
      <c r="R279" s="407">
        <f t="shared" si="118"/>
        <v>-16335.947036810687</v>
      </c>
      <c r="S279" s="408"/>
      <c r="T279" s="407"/>
      <c r="U279" s="407">
        <f t="shared" si="119"/>
        <v>-15341.585043265692</v>
      </c>
      <c r="V279" s="408"/>
      <c r="W279" s="407"/>
      <c r="X279" s="407">
        <f t="shared" si="120"/>
        <v>-14205.171336357123</v>
      </c>
      <c r="Y279" s="408"/>
      <c r="Z279" s="407"/>
      <c r="AA279" s="407">
        <f t="shared" si="121"/>
        <v>-14205.171336357123</v>
      </c>
      <c r="AB279" s="408"/>
      <c r="AC279" s="407"/>
      <c r="AD279" s="407">
        <f t="shared" si="122"/>
        <v>-11607.875350348802</v>
      </c>
      <c r="AE279" s="408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32"/>
      <c r="AW279" s="32"/>
    </row>
    <row r="280" spans="1:49" ht="12.75">
      <c r="A280" s="24"/>
      <c r="B280" s="409">
        <v>504</v>
      </c>
      <c r="C280" s="409" t="s">
        <v>105</v>
      </c>
      <c r="D280" s="794" t="s">
        <v>552</v>
      </c>
      <c r="E280" s="443"/>
      <c r="F280" s="873">
        <f t="shared" si="123"/>
        <v>0</v>
      </c>
      <c r="G280" s="729"/>
      <c r="H280" s="407"/>
      <c r="I280" s="873">
        <f t="shared" si="115"/>
        <v>-756.42170305046409</v>
      </c>
      <c r="J280" s="876"/>
      <c r="K280" s="873"/>
      <c r="L280" s="873">
        <f t="shared" si="116"/>
        <v>-719.13679890307935</v>
      </c>
      <c r="M280" s="408"/>
      <c r="N280" s="407"/>
      <c r="O280" s="407">
        <f t="shared" si="117"/>
        <v>-665.86740639174013</v>
      </c>
      <c r="P280" s="408"/>
      <c r="Q280" s="407"/>
      <c r="R280" s="407">
        <f t="shared" si="118"/>
        <v>-612.5980138804008</v>
      </c>
      <c r="S280" s="408"/>
      <c r="T280" s="407"/>
      <c r="U280" s="407">
        <f t="shared" si="119"/>
        <v>-575.30943912246346</v>
      </c>
      <c r="V280" s="408"/>
      <c r="W280" s="407"/>
      <c r="X280" s="407">
        <f t="shared" si="120"/>
        <v>-532.69392511339208</v>
      </c>
      <c r="Y280" s="408"/>
      <c r="Z280" s="407"/>
      <c r="AA280" s="407">
        <f t="shared" si="121"/>
        <v>-532.69392511339208</v>
      </c>
      <c r="AB280" s="408"/>
      <c r="AC280" s="407"/>
      <c r="AD280" s="407">
        <f t="shared" si="122"/>
        <v>-435.2953256380801</v>
      </c>
      <c r="AE280" s="408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32"/>
      <c r="AW280" s="32"/>
    </row>
    <row r="281" spans="1:49" ht="12.75">
      <c r="A281" s="24"/>
      <c r="B281" s="404">
        <v>505</v>
      </c>
      <c r="C281" s="416">
        <v>0.03</v>
      </c>
      <c r="D281" s="415" t="s">
        <v>150</v>
      </c>
      <c r="E281" s="443"/>
      <c r="F281" s="873">
        <f t="shared" ref="F281" si="124">F341</f>
        <v>-4019.1528024189615</v>
      </c>
      <c r="G281" s="729"/>
      <c r="H281" s="407"/>
      <c r="I281" s="873">
        <f t="shared" si="115"/>
        <v>-3782.1085152523201</v>
      </c>
      <c r="J281" s="876"/>
      <c r="K281" s="873"/>
      <c r="L281" s="873">
        <f t="shared" si="116"/>
        <v>-3595.6839945153965</v>
      </c>
      <c r="M281" s="408"/>
      <c r="N281" s="407"/>
      <c r="O281" s="407">
        <f t="shared" si="117"/>
        <v>-3329.3370319587002</v>
      </c>
      <c r="P281" s="408"/>
      <c r="Q281" s="407"/>
      <c r="R281" s="407">
        <f t="shared" si="118"/>
        <v>-3062.9900694020039</v>
      </c>
      <c r="S281" s="408"/>
      <c r="T281" s="407"/>
      <c r="U281" s="407">
        <f t="shared" si="119"/>
        <v>-2876.547195612317</v>
      </c>
      <c r="V281" s="408"/>
      <c r="W281" s="407"/>
      <c r="X281" s="407">
        <f t="shared" si="120"/>
        <v>-2663.4696255669605</v>
      </c>
      <c r="Y281" s="408"/>
      <c r="Z281" s="407"/>
      <c r="AA281" s="407">
        <f t="shared" si="121"/>
        <v>-2663.4696255669605</v>
      </c>
      <c r="AB281" s="408"/>
      <c r="AC281" s="407"/>
      <c r="AD281" s="407">
        <f t="shared" si="122"/>
        <v>-2176.4766281904003</v>
      </c>
      <c r="AE281" s="408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32"/>
      <c r="AW281" s="32"/>
    </row>
    <row r="282" spans="1:49" ht="12.75">
      <c r="A282" s="24"/>
      <c r="B282" s="438">
        <v>332</v>
      </c>
      <c r="C282" s="931">
        <v>0</v>
      </c>
      <c r="D282" s="439" t="s">
        <v>110</v>
      </c>
      <c r="E282" s="443"/>
      <c r="F282" s="873">
        <f t="shared" ref="F282" si="125">F342</f>
        <v>0</v>
      </c>
      <c r="G282" s="729"/>
      <c r="H282" s="407"/>
      <c r="I282" s="873">
        <f t="shared" si="115"/>
        <v>0</v>
      </c>
      <c r="J282" s="876"/>
      <c r="K282" s="873"/>
      <c r="L282" s="873">
        <f t="shared" si="116"/>
        <v>0</v>
      </c>
      <c r="M282" s="408"/>
      <c r="N282" s="407"/>
      <c r="O282" s="407">
        <f t="shared" si="117"/>
        <v>0</v>
      </c>
      <c r="P282" s="408"/>
      <c r="Q282" s="407"/>
      <c r="R282" s="407">
        <f t="shared" si="118"/>
        <v>0</v>
      </c>
      <c r="S282" s="408"/>
      <c r="T282" s="407"/>
      <c r="U282" s="407">
        <f t="shared" si="119"/>
        <v>0</v>
      </c>
      <c r="V282" s="408"/>
      <c r="W282" s="407"/>
      <c r="X282" s="407">
        <f t="shared" si="120"/>
        <v>0</v>
      </c>
      <c r="Y282" s="408"/>
      <c r="Z282" s="407"/>
      <c r="AA282" s="407">
        <f t="shared" si="121"/>
        <v>0</v>
      </c>
      <c r="AB282" s="408"/>
      <c r="AC282" s="407"/>
      <c r="AD282" s="407">
        <f t="shared" si="122"/>
        <v>0</v>
      </c>
      <c r="AE282" s="408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32"/>
      <c r="AW282" s="32"/>
    </row>
    <row r="283" spans="1:49" ht="12.75">
      <c r="A283" s="24"/>
      <c r="B283" s="440" t="s">
        <v>111</v>
      </c>
      <c r="C283" s="931">
        <v>0</v>
      </c>
      <c r="D283" s="441"/>
      <c r="E283" s="443"/>
      <c r="F283" s="873">
        <f t="shared" ref="F283" si="126">F343</f>
        <v>0</v>
      </c>
      <c r="G283" s="729"/>
      <c r="H283" s="407"/>
      <c r="I283" s="873">
        <f t="shared" si="115"/>
        <v>0</v>
      </c>
      <c r="J283" s="876"/>
      <c r="K283" s="873"/>
      <c r="L283" s="873">
        <f t="shared" si="116"/>
        <v>0</v>
      </c>
      <c r="M283" s="408"/>
      <c r="N283" s="407"/>
      <c r="O283" s="407">
        <f t="shared" si="117"/>
        <v>0</v>
      </c>
      <c r="P283" s="408"/>
      <c r="Q283" s="407"/>
      <c r="R283" s="407">
        <f t="shared" si="118"/>
        <v>0</v>
      </c>
      <c r="S283" s="408"/>
      <c r="T283" s="407"/>
      <c r="U283" s="407">
        <f t="shared" si="119"/>
        <v>0</v>
      </c>
      <c r="V283" s="408"/>
      <c r="W283" s="407"/>
      <c r="X283" s="407">
        <f t="shared" si="120"/>
        <v>0</v>
      </c>
      <c r="Y283" s="408"/>
      <c r="Z283" s="407"/>
      <c r="AA283" s="407">
        <f t="shared" si="121"/>
        <v>0</v>
      </c>
      <c r="AB283" s="408"/>
      <c r="AC283" s="407"/>
      <c r="AD283" s="407">
        <f t="shared" si="122"/>
        <v>0</v>
      </c>
      <c r="AE283" s="408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32"/>
      <c r="AW283" s="32"/>
    </row>
    <row r="284" spans="1:49" ht="15">
      <c r="A284" s="24"/>
      <c r="B284" s="442"/>
      <c r="C284" s="442"/>
      <c r="D284" s="426" t="s">
        <v>112</v>
      </c>
      <c r="E284" s="443"/>
      <c r="F284" s="875">
        <f t="shared" ref="F284" si="127">F344</f>
        <v>-25454.634415320092</v>
      </c>
      <c r="G284" s="729"/>
      <c r="H284" s="443"/>
      <c r="I284" s="877">
        <f t="shared" si="115"/>
        <v>-24709.775632981822</v>
      </c>
      <c r="J284" s="876"/>
      <c r="K284" s="873"/>
      <c r="L284" s="877">
        <f t="shared" si="116"/>
        <v>-23491.802097500593</v>
      </c>
      <c r="M284" s="408"/>
      <c r="N284" s="407"/>
      <c r="O284" s="426">
        <f t="shared" si="117"/>
        <v>-21751.668608796845</v>
      </c>
      <c r="P284" s="408"/>
      <c r="Q284" s="407"/>
      <c r="R284" s="426">
        <f t="shared" si="118"/>
        <v>-20011.535120093093</v>
      </c>
      <c r="S284" s="408"/>
      <c r="T284" s="407"/>
      <c r="U284" s="426">
        <f t="shared" si="119"/>
        <v>-18793.441678000472</v>
      </c>
      <c r="V284" s="408"/>
      <c r="W284" s="407"/>
      <c r="X284" s="426">
        <f t="shared" si="120"/>
        <v>-17401.334887037476</v>
      </c>
      <c r="Y284" s="408"/>
      <c r="Z284" s="407"/>
      <c r="AA284" s="426">
        <f t="shared" si="121"/>
        <v>-17401.334887037476</v>
      </c>
      <c r="AB284" s="408"/>
      <c r="AC284" s="407"/>
      <c r="AD284" s="426">
        <f t="shared" si="122"/>
        <v>-14219.647304177284</v>
      </c>
      <c r="AE284" s="408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32"/>
      <c r="AW284" s="32"/>
    </row>
    <row r="285" spans="1:49" ht="12.75">
      <c r="A285" s="24"/>
      <c r="B285" s="445"/>
      <c r="C285" s="446"/>
      <c r="D285" s="13"/>
      <c r="E285" s="443"/>
      <c r="F285" s="443"/>
      <c r="G285" s="724"/>
      <c r="H285" s="241"/>
      <c r="I285" s="241"/>
      <c r="J285" s="447"/>
      <c r="K285" s="241"/>
      <c r="L285" s="241"/>
      <c r="M285" s="447"/>
      <c r="N285" s="241"/>
      <c r="O285" s="241"/>
      <c r="P285" s="447"/>
      <c r="Q285" s="241"/>
      <c r="R285" s="241"/>
      <c r="S285" s="447"/>
      <c r="T285" s="241"/>
      <c r="U285" s="241"/>
      <c r="V285" s="447"/>
      <c r="W285" s="241"/>
      <c r="X285" s="241"/>
      <c r="Y285" s="447"/>
      <c r="Z285" s="241"/>
      <c r="AA285" s="241"/>
      <c r="AB285" s="447"/>
      <c r="AC285" s="241"/>
      <c r="AD285" s="241"/>
      <c r="AE285" s="447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32"/>
      <c r="AW285" s="32"/>
    </row>
    <row r="286" spans="1:49">
      <c r="A286" s="24"/>
      <c r="B286" s="332"/>
      <c r="C286" s="13"/>
      <c r="D286" s="448"/>
      <c r="E286" s="778" t="str">
        <f t="shared" ref="E286:F286" si="128">E346</f>
        <v>Sueldo líquido</v>
      </c>
      <c r="F286" s="855">
        <f t="shared" si="128"/>
        <v>118677.12566531196</v>
      </c>
      <c r="G286" s="737"/>
      <c r="H286" s="449" t="str">
        <f>H346</f>
        <v>Sueldo líquido</v>
      </c>
      <c r="I286" s="898">
        <f>I346</f>
        <v>111520.50820876218</v>
      </c>
      <c r="J286" s="447"/>
      <c r="K286" s="449" t="str">
        <f>K346</f>
        <v>Sueldo líquido</v>
      </c>
      <c r="L286" s="898">
        <f>L346</f>
        <v>104024.33105301263</v>
      </c>
      <c r="M286" s="447"/>
      <c r="N286" s="449" t="str">
        <f>N346</f>
        <v>Sueldo líquido</v>
      </c>
      <c r="O286" s="449">
        <f>O346</f>
        <v>96886.232456493162</v>
      </c>
      <c r="P286" s="447"/>
      <c r="Q286" s="426" t="str">
        <f>Q346</f>
        <v>Sueldo líquido</v>
      </c>
      <c r="R286" s="426">
        <f t="shared" si="118"/>
        <v>88348.133859973706</v>
      </c>
      <c r="S286" s="447"/>
      <c r="T286" s="426" t="str">
        <f>T346</f>
        <v>Sueldo líquido</v>
      </c>
      <c r="U286" s="426">
        <f>U346</f>
        <v>83351.464842410103</v>
      </c>
      <c r="V286" s="447"/>
      <c r="W286" s="426" t="str">
        <f>W346</f>
        <v>Sueldo líquido</v>
      </c>
      <c r="X286" s="426">
        <f t="shared" si="120"/>
        <v>77640.985965194544</v>
      </c>
      <c r="Y286" s="447"/>
      <c r="Z286" s="426" t="str">
        <f>Z346</f>
        <v>Sueldo líquido</v>
      </c>
      <c r="AA286" s="426">
        <f t="shared" si="121"/>
        <v>76640.985965194544</v>
      </c>
      <c r="AB286" s="447"/>
      <c r="AC286" s="426" t="str">
        <f>AC346</f>
        <v>Sueldo líquido</v>
      </c>
      <c r="AD286" s="426">
        <f>AD346</f>
        <v>63589.573635502733</v>
      </c>
      <c r="AE286" s="447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32"/>
      <c r="AW286" s="32"/>
    </row>
    <row r="287" spans="1:49" ht="16.5" thickBot="1">
      <c r="A287" s="24"/>
      <c r="B287" s="332"/>
      <c r="C287" s="13"/>
      <c r="D287" s="31"/>
      <c r="E287" s="443"/>
      <c r="F287" s="443"/>
      <c r="G287" s="738"/>
      <c r="H287" s="212"/>
      <c r="I287" s="212"/>
      <c r="J287" s="447"/>
      <c r="K287" s="212"/>
      <c r="L287" s="212"/>
      <c r="M287" s="447"/>
      <c r="N287" s="212"/>
      <c r="O287" s="212"/>
      <c r="P287" s="447"/>
      <c r="Q287" s="212"/>
      <c r="R287" s="212"/>
      <c r="S287" s="447"/>
      <c r="T287" s="212"/>
      <c r="U287" s="212"/>
      <c r="V287" s="447"/>
      <c r="W287" s="212"/>
      <c r="X287" s="212"/>
      <c r="Y287" s="447"/>
      <c r="Z287" s="212"/>
      <c r="AA287" s="212"/>
      <c r="AB287" s="447"/>
      <c r="AC287" s="241"/>
      <c r="AD287" s="241"/>
      <c r="AE287" s="447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32"/>
      <c r="AW287" s="32"/>
    </row>
    <row r="288" spans="1:49">
      <c r="A288" s="24"/>
      <c r="B288" s="334"/>
      <c r="C288" s="31"/>
      <c r="D288" s="450"/>
      <c r="E288" s="207" t="str">
        <f t="shared" ref="E288:F288" si="129">E348</f>
        <v>Aumento del mes</v>
      </c>
      <c r="F288" s="886">
        <f t="shared" si="129"/>
        <v>7156.6174565497786</v>
      </c>
      <c r="G288" s="739"/>
      <c r="H288" s="207" t="str">
        <f>H348</f>
        <v>Aumento del mes</v>
      </c>
      <c r="I288" s="208">
        <f>I348</f>
        <v>7496.1771557495522</v>
      </c>
      <c r="J288" s="451"/>
      <c r="K288" s="207" t="str">
        <f>K348</f>
        <v>Aumento del mes</v>
      </c>
      <c r="L288" s="208">
        <f>L348</f>
        <v>7138.0985965194704</v>
      </c>
      <c r="M288" s="451"/>
      <c r="N288" s="207" t="str">
        <f>N348</f>
        <v>Aumento del mes</v>
      </c>
      <c r="O288" s="208">
        <f>O348</f>
        <v>8538.0985965194559</v>
      </c>
      <c r="P288" s="451"/>
      <c r="Q288" s="207" t="str">
        <f>Q348</f>
        <v>Aumento del mes</v>
      </c>
      <c r="R288" s="208">
        <f>R348</f>
        <v>4996.6690175636031</v>
      </c>
      <c r="S288" s="451"/>
      <c r="T288" s="207" t="str">
        <f>T348</f>
        <v>Aumento del mes</v>
      </c>
      <c r="U288" s="208">
        <f>U348</f>
        <v>5710.4788772155589</v>
      </c>
      <c r="V288" s="451"/>
      <c r="W288" s="207" t="str">
        <f>W348</f>
        <v>Aumento del mes</v>
      </c>
      <c r="X288" s="208">
        <f>X348</f>
        <v>1000</v>
      </c>
      <c r="Y288" s="451"/>
      <c r="Z288" s="207" t="str">
        <f>Z348</f>
        <v>Aumento del mes</v>
      </c>
      <c r="AA288" s="208">
        <f>AA348</f>
        <v>13051.412329691811</v>
      </c>
      <c r="AB288" s="447"/>
      <c r="AC288" s="241"/>
      <c r="AD288" s="241"/>
      <c r="AE288" s="447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32"/>
      <c r="AW288" s="32"/>
    </row>
    <row r="289" spans="1:49" ht="16.5" thickBot="1">
      <c r="A289" s="24"/>
      <c r="B289" s="334"/>
      <c r="C289" s="31"/>
      <c r="D289" s="450"/>
      <c r="E289" s="210" t="str">
        <f t="shared" ref="E289:F289" si="130">E349</f>
        <v>Porc resp a anterior</v>
      </c>
      <c r="F289" s="887">
        <f t="shared" si="130"/>
        <v>6.4173106556803527E-2</v>
      </c>
      <c r="G289" s="739"/>
      <c r="H289" s="210" t="str">
        <f>H349</f>
        <v>Porc resp a anterior</v>
      </c>
      <c r="I289" s="211">
        <f>I349</f>
        <v>7.2061767471778962E-2</v>
      </c>
      <c r="J289" s="451"/>
      <c r="K289" s="210" t="str">
        <f>K349</f>
        <v>Porc resp a anterior</v>
      </c>
      <c r="L289" s="211">
        <f>L349</f>
        <v>7.3675055944866466E-2</v>
      </c>
      <c r="M289" s="451"/>
      <c r="N289" s="210" t="str">
        <f>N349</f>
        <v>Porc resp a anterior</v>
      </c>
      <c r="O289" s="211">
        <f>O349</f>
        <v>9.6641527370026972E-2</v>
      </c>
      <c r="P289" s="451"/>
      <c r="Q289" s="210" t="str">
        <f>Q349</f>
        <v>Porc resp a anterior</v>
      </c>
      <c r="R289" s="211">
        <f>R349</f>
        <v>5.9946985059118545E-2</v>
      </c>
      <c r="S289" s="451"/>
      <c r="T289" s="210" t="str">
        <f>T349</f>
        <v>Porc resp a anterior</v>
      </c>
      <c r="U289" s="211">
        <f>U349</f>
        <v>7.3549798553247295E-2</v>
      </c>
      <c r="V289" s="451"/>
      <c r="W289" s="210" t="str">
        <f>W349</f>
        <v>Porc resp a anterior</v>
      </c>
      <c r="X289" s="211">
        <f>X349</f>
        <v>1.3047848842317038E-2</v>
      </c>
      <c r="Y289" s="451"/>
      <c r="Z289" s="210" t="str">
        <f>Z349</f>
        <v>Porc resp a anterior</v>
      </c>
      <c r="AA289" s="211">
        <f>AA349</f>
        <v>0.20524453276731941</v>
      </c>
      <c r="AB289" s="447"/>
      <c r="AC289" s="241"/>
      <c r="AD289" s="241"/>
      <c r="AE289" s="447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32"/>
      <c r="AW289" s="32"/>
    </row>
    <row r="290" spans="1:49" ht="16.5" thickBot="1">
      <c r="A290" s="24"/>
      <c r="B290" s="334"/>
      <c r="C290" s="31"/>
      <c r="D290" s="450"/>
      <c r="E290" s="443"/>
      <c r="F290" s="777"/>
      <c r="G290" s="739"/>
      <c r="H290" s="212"/>
      <c r="I290" s="212"/>
      <c r="J290" s="447"/>
      <c r="K290" s="212"/>
      <c r="L290" s="212"/>
      <c r="M290" s="447"/>
      <c r="N290" s="212"/>
      <c r="O290" s="212"/>
      <c r="P290" s="447"/>
      <c r="Q290" s="212"/>
      <c r="R290" s="212"/>
      <c r="S290" s="447"/>
      <c r="T290" s="212"/>
      <c r="U290" s="212"/>
      <c r="V290" s="447"/>
      <c r="W290" s="212"/>
      <c r="X290" s="212"/>
      <c r="Y290" s="447"/>
      <c r="Z290" s="212"/>
      <c r="AA290" s="212"/>
      <c r="AB290" s="447"/>
      <c r="AC290" s="241"/>
      <c r="AD290" s="241"/>
      <c r="AE290" s="447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32"/>
      <c r="AW290" s="32"/>
    </row>
    <row r="291" spans="1:49">
      <c r="A291" s="24"/>
      <c r="B291" s="334"/>
      <c r="C291" s="31"/>
      <c r="D291" s="450"/>
      <c r="E291" s="213" t="str">
        <f t="shared" ref="E291:F291" si="131">E351</f>
        <v>Aum resp feb 21</v>
      </c>
      <c r="F291" s="889">
        <f t="shared" si="131"/>
        <v>42036.139700117419</v>
      </c>
      <c r="G291" s="739"/>
      <c r="H291" s="213" t="str">
        <f>H351</f>
        <v>Aum resp feb 21</v>
      </c>
      <c r="I291" s="214">
        <f>I351</f>
        <v>34879.522243567641</v>
      </c>
      <c r="J291" s="451"/>
      <c r="K291" s="213" t="str">
        <f>K351</f>
        <v>Aum resp feb 21</v>
      </c>
      <c r="L291" s="214">
        <f>L351</f>
        <v>27383.345087818088</v>
      </c>
      <c r="M291" s="451"/>
      <c r="N291" s="213" t="str">
        <f>N351</f>
        <v>Aum resp feb 21</v>
      </c>
      <c r="O291" s="214">
        <f>O351</f>
        <v>20245.246491298618</v>
      </c>
      <c r="P291" s="451"/>
      <c r="Q291" s="213" t="str">
        <f>Q351</f>
        <v>Aum resp feb 21</v>
      </c>
      <c r="R291" s="214">
        <f>R351</f>
        <v>11707.147894779162</v>
      </c>
      <c r="S291" s="451"/>
      <c r="T291" s="213" t="str">
        <f>T351</f>
        <v>Aum resp feb 21</v>
      </c>
      <c r="U291" s="214">
        <f>U351</f>
        <v>6710.4788772155589</v>
      </c>
      <c r="V291" s="451"/>
      <c r="W291" s="213" t="str">
        <f>W351</f>
        <v>Aum resp feb 21</v>
      </c>
      <c r="X291" s="214">
        <f>X351</f>
        <v>1000</v>
      </c>
      <c r="Y291" s="451"/>
      <c r="Z291" s="213" t="str">
        <f>Z351</f>
        <v>Aum resp feb 21</v>
      </c>
      <c r="AA291" s="214">
        <f>AA351</f>
        <v>0</v>
      </c>
      <c r="AB291" s="447"/>
      <c r="AC291" s="241"/>
      <c r="AD291" s="241"/>
      <c r="AE291" s="447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32"/>
      <c r="AW291" s="32"/>
    </row>
    <row r="292" spans="1:49" ht="16.5" thickBot="1">
      <c r="A292" s="24"/>
      <c r="B292" s="334"/>
      <c r="C292" s="31"/>
      <c r="D292" s="450"/>
      <c r="E292" s="215" t="str">
        <f t="shared" ref="E292:F292" si="132">E352</f>
        <v>Resp feb 21 Porc</v>
      </c>
      <c r="F292" s="890">
        <f t="shared" si="132"/>
        <v>0.54848119672165441</v>
      </c>
      <c r="G292" s="739"/>
      <c r="H292" s="215" t="str">
        <f>H352</f>
        <v>Resp feb 21 Porc</v>
      </c>
      <c r="I292" s="216">
        <f>I352</f>
        <v>0.4551027339263054</v>
      </c>
      <c r="J292" s="451"/>
      <c r="K292" s="215" t="str">
        <f>K352</f>
        <v>Resp feb 21 Porc</v>
      </c>
      <c r="L292" s="216">
        <f>L352</f>
        <v>0.3572937475028552</v>
      </c>
      <c r="M292" s="451"/>
      <c r="N292" s="215" t="str">
        <f>N352</f>
        <v>Resp feb 21 Porc</v>
      </c>
      <c r="O292" s="216">
        <f>O352</f>
        <v>0.26415691599391378</v>
      </c>
      <c r="P292" s="451"/>
      <c r="Q292" s="215" t="str">
        <f>Q352</f>
        <v>Resp feb 21 Porc</v>
      </c>
      <c r="R292" s="216">
        <f>R352</f>
        <v>0.15275309610572863</v>
      </c>
      <c r="S292" s="451"/>
      <c r="T292" s="215" t="str">
        <f>T352</f>
        <v>Resp feb 21 Porc</v>
      </c>
      <c r="U292" s="216">
        <f>U352</f>
        <v>8.7557314049469967E-2</v>
      </c>
      <c r="V292" s="451"/>
      <c r="W292" s="215" t="str">
        <f>W352</f>
        <v>Resp feb 21 Porc</v>
      </c>
      <c r="X292" s="216">
        <f>X352</f>
        <v>1.3047848842317038E-2</v>
      </c>
      <c r="Y292" s="451"/>
      <c r="Z292" s="215" t="str">
        <f>Z352</f>
        <v>Resp feb 21 Porc</v>
      </c>
      <c r="AA292" s="216">
        <f>AA352</f>
        <v>0</v>
      </c>
      <c r="AB292" s="447"/>
      <c r="AC292" s="241"/>
      <c r="AD292" s="241"/>
      <c r="AE292" s="447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32"/>
      <c r="AW292" s="32"/>
    </row>
    <row r="293" spans="1:49" ht="16.5" thickBot="1">
      <c r="A293" s="24"/>
      <c r="B293" s="334"/>
      <c r="C293" s="31"/>
      <c r="D293" s="450"/>
      <c r="E293" s="443"/>
      <c r="F293" s="777"/>
      <c r="G293" s="739"/>
      <c r="H293" s="212"/>
      <c r="I293" s="212"/>
      <c r="J293" s="447"/>
      <c r="K293" s="212"/>
      <c r="L293" s="212"/>
      <c r="M293" s="447"/>
      <c r="N293" s="212"/>
      <c r="O293" s="212"/>
      <c r="P293" s="447"/>
      <c r="Q293" s="212"/>
      <c r="R293" s="212"/>
      <c r="S293" s="447"/>
      <c r="T293" s="212"/>
      <c r="U293" s="212"/>
      <c r="V293" s="447"/>
      <c r="W293" s="212"/>
      <c r="X293" s="212"/>
      <c r="Y293" s="447"/>
      <c r="Z293" s="212"/>
      <c r="AA293" s="212"/>
      <c r="AB293" s="447"/>
      <c r="AC293" s="241"/>
      <c r="AD293" s="241"/>
      <c r="AE293" s="447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32"/>
      <c r="AW293" s="32"/>
    </row>
    <row r="294" spans="1:49">
      <c r="A294" s="24"/>
      <c r="B294" s="334"/>
      <c r="C294" s="31"/>
      <c r="D294" s="450"/>
      <c r="E294" s="217" t="str">
        <f t="shared" ref="E294:F294" si="133">E354</f>
        <v>Aum Acum anual</v>
      </c>
      <c r="F294" s="891">
        <f t="shared" si="133"/>
        <v>55087.552029809231</v>
      </c>
      <c r="G294" s="739"/>
      <c r="H294" s="217" t="str">
        <f>H354</f>
        <v>Aum Acum anual</v>
      </c>
      <c r="I294" s="218">
        <f>I354</f>
        <v>47930.934573259452</v>
      </c>
      <c r="J294" s="451"/>
      <c r="K294" s="217" t="str">
        <f>K354</f>
        <v>Aum Acum anual</v>
      </c>
      <c r="L294" s="218">
        <f>L354</f>
        <v>40434.7574175099</v>
      </c>
      <c r="M294" s="451"/>
      <c r="N294" s="217" t="str">
        <f>N354</f>
        <v>Aum Acum anual</v>
      </c>
      <c r="O294" s="218">
        <f>O354</f>
        <v>33296.658820990429</v>
      </c>
      <c r="P294" s="451"/>
      <c r="Q294" s="217" t="str">
        <f>Q354</f>
        <v>Aum Acum anual</v>
      </c>
      <c r="R294" s="218">
        <f>R354</f>
        <v>24758.560224470973</v>
      </c>
      <c r="S294" s="451"/>
      <c r="T294" s="217" t="str">
        <f>T354</f>
        <v>Aum Acum anual</v>
      </c>
      <c r="U294" s="218">
        <f>U354</f>
        <v>19761.89120690737</v>
      </c>
      <c r="V294" s="451"/>
      <c r="W294" s="217" t="str">
        <f>W354</f>
        <v>Aum Acum anual</v>
      </c>
      <c r="X294" s="218">
        <f>X354</f>
        <v>14051.412329691811</v>
      </c>
      <c r="Y294" s="451"/>
      <c r="Z294" s="217" t="str">
        <f>Z354</f>
        <v>Aum Acum anual</v>
      </c>
      <c r="AA294" s="218">
        <f>AA354</f>
        <v>13051.412329691811</v>
      </c>
      <c r="AB294" s="447"/>
      <c r="AC294" s="241"/>
      <c r="AD294" s="241"/>
      <c r="AE294" s="447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32"/>
      <c r="AW294" s="32"/>
    </row>
    <row r="295" spans="1:49" ht="16.5" thickBot="1">
      <c r="A295" s="24"/>
      <c r="B295" s="334"/>
      <c r="C295" s="31"/>
      <c r="D295" s="450"/>
      <c r="E295" s="219" t="str">
        <f t="shared" ref="E295:F295" si="134">E355</f>
        <v>Aum Acum anual Porc</v>
      </c>
      <c r="F295" s="892">
        <f t="shared" si="134"/>
        <v>0.86629849644176993</v>
      </c>
      <c r="G295" s="739"/>
      <c r="H295" s="219" t="str">
        <f>H355</f>
        <v>Aum Acum anual Porc</v>
      </c>
      <c r="I295" s="220">
        <f>I355</f>
        <v>0.75375461467945903</v>
      </c>
      <c r="J295" s="451"/>
      <c r="K295" s="219" t="str">
        <f>K355</f>
        <v>Aum Acum anual Porc</v>
      </c>
      <c r="L295" s="220">
        <f>L355</f>
        <v>0.63587086853708275</v>
      </c>
      <c r="M295" s="451"/>
      <c r="N295" s="219" t="str">
        <f>N355</f>
        <v>Aum Acum anual Porc</v>
      </c>
      <c r="O295" s="220">
        <f>O355</f>
        <v>0.52361821156166</v>
      </c>
      <c r="P295" s="451"/>
      <c r="Q295" s="219" t="str">
        <f>Q355</f>
        <v>Aum Acum anual Porc</v>
      </c>
      <c r="R295" s="220">
        <f>R355</f>
        <v>0.38934936671202974</v>
      </c>
      <c r="S295" s="451"/>
      <c r="T295" s="219" t="str">
        <f>T355</f>
        <v>Aum Acum anual Porc</v>
      </c>
      <c r="U295" s="220">
        <f>U355</f>
        <v>0.3107725068292343</v>
      </c>
      <c r="V295" s="451"/>
      <c r="W295" s="219" t="str">
        <f>W355</f>
        <v>Aum Acum anual Porc</v>
      </c>
      <c r="X295" s="220">
        <f>X355</f>
        <v>0.22097038124889642</v>
      </c>
      <c r="Y295" s="451"/>
      <c r="Z295" s="219" t="str">
        <f>Z355</f>
        <v>Aum Acum anual Porc</v>
      </c>
      <c r="AA295" s="220">
        <f>AA355</f>
        <v>0.20524453276731941</v>
      </c>
      <c r="AB295" s="447"/>
      <c r="AC295" s="241"/>
      <c r="AD295" s="241"/>
      <c r="AE295" s="447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32"/>
      <c r="AW295" s="32"/>
    </row>
    <row r="296" spans="1:49" ht="16.5" thickBot="1">
      <c r="A296" s="24"/>
      <c r="B296" s="334"/>
      <c r="C296" s="31"/>
      <c r="D296" s="450"/>
      <c r="E296" s="443"/>
      <c r="F296" s="443"/>
      <c r="G296" s="739"/>
      <c r="H296" s="241"/>
      <c r="I296" s="241"/>
      <c r="J296" s="447"/>
      <c r="K296" s="241"/>
      <c r="L296" s="241"/>
      <c r="M296" s="447"/>
      <c r="N296" s="241"/>
      <c r="O296" s="241"/>
      <c r="P296" s="447"/>
      <c r="Q296" s="241"/>
      <c r="R296" s="241"/>
      <c r="S296" s="447"/>
      <c r="T296" s="241"/>
      <c r="U296" s="241"/>
      <c r="V296" s="447"/>
      <c r="W296" s="241"/>
      <c r="X296" s="241"/>
      <c r="Y296" s="447"/>
      <c r="Z296" s="241"/>
      <c r="AA296" s="241"/>
      <c r="AB296" s="447"/>
      <c r="AC296" s="241"/>
      <c r="AD296" s="241"/>
      <c r="AE296" s="447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32"/>
      <c r="AW296" s="32"/>
    </row>
    <row r="297" spans="1:49" ht="16.5" thickTop="1">
      <c r="A297" s="24"/>
      <c r="B297" s="334"/>
      <c r="C297" s="31"/>
      <c r="D297" s="450"/>
      <c r="E297" s="221" t="str">
        <f t="shared" ref="E297" si="135">E357</f>
        <v>Medio Aguinaldo</v>
      </c>
      <c r="F297" s="222"/>
      <c r="G297" s="739"/>
      <c r="H297" s="221" t="str">
        <f t="shared" ref="H297:H304" si="136">H357</f>
        <v>Medio Aguinaldo</v>
      </c>
      <c r="I297" s="222"/>
      <c r="J297" s="447"/>
      <c r="K297" s="221" t="str">
        <f t="shared" ref="K297:K304" si="137">K357</f>
        <v>Medio Aguinaldo</v>
      </c>
      <c r="L297" s="222"/>
      <c r="M297" s="447"/>
      <c r="N297" s="221" t="str">
        <f t="shared" ref="N297:N304" si="138">N357</f>
        <v>Medio Aguinaldo</v>
      </c>
      <c r="O297" s="222"/>
      <c r="P297" s="447"/>
      <c r="Q297" s="221" t="str">
        <f t="shared" ref="Q297:Q304" si="139">Q357</f>
        <v>Medio Aguinaldo</v>
      </c>
      <c r="R297" s="222"/>
      <c r="S297" s="447"/>
      <c r="T297" s="221" t="str">
        <f t="shared" ref="T297:T304" si="140">T357</f>
        <v>Medio Aguinaldo</v>
      </c>
      <c r="U297" s="222"/>
      <c r="V297" s="447"/>
      <c r="W297" s="221" t="str">
        <f t="shared" ref="W297:W304" si="141">W357</f>
        <v>Medio Aguinaldo</v>
      </c>
      <c r="X297" s="222"/>
      <c r="Y297" s="447"/>
      <c r="Z297" s="221" t="str">
        <f t="shared" ref="Z297:Z304" si="142">Z357</f>
        <v>Medio Aguinaldo</v>
      </c>
      <c r="AA297" s="222"/>
      <c r="AB297" s="447"/>
      <c r="AC297" s="221" t="str">
        <f t="shared" ref="AC297:AC304" si="143">AC357</f>
        <v>Medio Aguinaldo</v>
      </c>
      <c r="AD297" s="222"/>
      <c r="AE297" s="447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32"/>
      <c r="AW297" s="32"/>
    </row>
    <row r="298" spans="1:49">
      <c r="A298" s="24"/>
      <c r="B298" s="334"/>
      <c r="C298" s="31"/>
      <c r="D298" s="450"/>
      <c r="E298" s="223" t="str">
        <f t="shared" ref="E298:F298" si="144">E358</f>
        <v>código 100</v>
      </c>
      <c r="F298" s="814">
        <f t="shared" si="144"/>
        <v>66985.880040316028</v>
      </c>
      <c r="G298" s="739"/>
      <c r="H298" s="223" t="str">
        <f t="shared" si="136"/>
        <v>código 100</v>
      </c>
      <c r="I298" s="224">
        <f>I358</f>
        <v>63035.141920872004</v>
      </c>
      <c r="J298" s="447"/>
      <c r="K298" s="223" t="str">
        <f t="shared" si="137"/>
        <v>código 100</v>
      </c>
      <c r="L298" s="224">
        <f>L358</f>
        <v>59928.066575256613</v>
      </c>
      <c r="M298" s="447"/>
      <c r="N298" s="223" t="str">
        <f t="shared" si="138"/>
        <v>código 100</v>
      </c>
      <c r="O298" s="224">
        <f>O358</f>
        <v>55488.950532645002</v>
      </c>
      <c r="P298" s="447"/>
      <c r="Q298" s="223" t="str">
        <f t="shared" si="139"/>
        <v>código 100</v>
      </c>
      <c r="R298" s="224">
        <f>R358</f>
        <v>51049.834490033398</v>
      </c>
      <c r="S298" s="447"/>
      <c r="T298" s="223" t="str">
        <f t="shared" si="140"/>
        <v>código 100</v>
      </c>
      <c r="U298" s="224">
        <f>U358</f>
        <v>47942.453260205286</v>
      </c>
      <c r="V298" s="447"/>
      <c r="W298" s="223" t="str">
        <f t="shared" si="141"/>
        <v>código 100</v>
      </c>
      <c r="X298" s="224">
        <f>X358</f>
        <v>44391.16042611601</v>
      </c>
      <c r="Y298" s="447"/>
      <c r="Z298" s="223" t="str">
        <f t="shared" si="142"/>
        <v>código 100</v>
      </c>
      <c r="AA298" s="224">
        <f>AA358</f>
        <v>44391.16042611601</v>
      </c>
      <c r="AB298" s="447"/>
      <c r="AC298" s="223" t="str">
        <f t="shared" si="143"/>
        <v>código 100</v>
      </c>
      <c r="AD298" s="224">
        <f>AD358</f>
        <v>36274.610469840009</v>
      </c>
      <c r="AE298" s="447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32"/>
      <c r="AW298" s="32"/>
    </row>
    <row r="299" spans="1:49">
      <c r="A299" s="24"/>
      <c r="B299" s="334"/>
      <c r="C299" s="31"/>
      <c r="D299" s="450"/>
      <c r="E299" s="881" t="str">
        <f t="shared" ref="E299:F299" si="145">E359</f>
        <v>código 186 (No remun)</v>
      </c>
      <c r="F299" s="882">
        <f t="shared" si="145"/>
        <v>0</v>
      </c>
      <c r="G299" s="739"/>
      <c r="H299" s="223" t="str">
        <f t="shared" si="136"/>
        <v>código 186 (No remun)</v>
      </c>
      <c r="I299" s="224">
        <f>I359</f>
        <v>0</v>
      </c>
      <c r="J299" s="447"/>
      <c r="K299" s="223" t="str">
        <f t="shared" si="137"/>
        <v>código 186 (No remun)</v>
      </c>
      <c r="L299" s="224">
        <f>L359</f>
        <v>0</v>
      </c>
      <c r="M299" s="447"/>
      <c r="N299" s="223" t="str">
        <f t="shared" si="138"/>
        <v>código 186 (No remun)</v>
      </c>
      <c r="O299" s="224">
        <f>O359</f>
        <v>0</v>
      </c>
      <c r="P299" s="447"/>
      <c r="Q299" s="223" t="str">
        <f t="shared" si="139"/>
        <v>código 186 (No remun)</v>
      </c>
      <c r="R299" s="224">
        <f>R359</f>
        <v>0</v>
      </c>
      <c r="S299" s="447"/>
      <c r="T299" s="223" t="str">
        <f t="shared" si="140"/>
        <v>código 186 (No remun)</v>
      </c>
      <c r="U299" s="224">
        <f>U359</f>
        <v>0</v>
      </c>
      <c r="V299" s="447"/>
      <c r="W299" s="223" t="str">
        <f t="shared" si="141"/>
        <v>código 186 (No remun)</v>
      </c>
      <c r="X299" s="224">
        <f>X359</f>
        <v>0</v>
      </c>
      <c r="Y299" s="447"/>
      <c r="Z299" s="223" t="str">
        <f t="shared" si="142"/>
        <v>código 186 (No remun)</v>
      </c>
      <c r="AA299" s="224">
        <f>AA359</f>
        <v>0</v>
      </c>
      <c r="AB299" s="447"/>
      <c r="AC299" s="223" t="str">
        <f t="shared" si="143"/>
        <v>código 186 (No remun)</v>
      </c>
      <c r="AD299" s="224">
        <f>AD359</f>
        <v>0</v>
      </c>
      <c r="AE299" s="447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32"/>
      <c r="AW299" s="32"/>
    </row>
    <row r="300" spans="1:49">
      <c r="A300" s="24"/>
      <c r="B300" s="334"/>
      <c r="C300" s="31"/>
      <c r="D300" s="450"/>
      <c r="E300" s="223" t="str">
        <f t="shared" ref="E300:F300" si="146">E360</f>
        <v>Líquido</v>
      </c>
      <c r="F300" s="224">
        <f t="shared" si="146"/>
        <v>53856.647552414091</v>
      </c>
      <c r="G300" s="739"/>
      <c r="H300" s="854" t="str">
        <f t="shared" si="136"/>
        <v>Líquido</v>
      </c>
      <c r="I300" s="814">
        <f>I360</f>
        <v>50680.254104381092</v>
      </c>
      <c r="J300" s="447"/>
      <c r="K300" s="854" t="str">
        <f t="shared" si="137"/>
        <v>Líquido</v>
      </c>
      <c r="L300" s="814">
        <f>L360</f>
        <v>48182.165526506316</v>
      </c>
      <c r="M300" s="447"/>
      <c r="N300" s="854" t="str">
        <f t="shared" si="138"/>
        <v>Líquido</v>
      </c>
      <c r="O300" s="814">
        <f>O360</f>
        <v>44613.116228246581</v>
      </c>
      <c r="P300" s="447"/>
      <c r="Q300" s="854" t="str">
        <f t="shared" si="139"/>
        <v>Líquido</v>
      </c>
      <c r="R300" s="814">
        <f>R360</f>
        <v>41044.066929986853</v>
      </c>
      <c r="S300" s="447"/>
      <c r="T300" s="854" t="str">
        <f t="shared" si="140"/>
        <v>Líquido</v>
      </c>
      <c r="U300" s="814">
        <f>U360</f>
        <v>38545.732421205052</v>
      </c>
      <c r="V300" s="447"/>
      <c r="W300" s="223" t="str">
        <f t="shared" si="141"/>
        <v>Líquido</v>
      </c>
      <c r="X300" s="224">
        <f>X360</f>
        <v>35690.492982597272</v>
      </c>
      <c r="Y300" s="447"/>
      <c r="Z300" s="223" t="str">
        <f t="shared" si="142"/>
        <v>Líquido</v>
      </c>
      <c r="AA300" s="224">
        <f>AA360</f>
        <v>35690.492982597272</v>
      </c>
      <c r="AB300" s="447"/>
      <c r="AC300" s="223" t="str">
        <f t="shared" si="143"/>
        <v>Líquido</v>
      </c>
      <c r="AD300" s="224">
        <f>AD360</f>
        <v>29164.78681775137</v>
      </c>
      <c r="AE300" s="447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32"/>
      <c r="AW300" s="32"/>
    </row>
    <row r="301" spans="1:49">
      <c r="A301" s="24"/>
      <c r="B301" s="334"/>
      <c r="C301" s="31"/>
      <c r="D301" s="450"/>
      <c r="E301" s="881" t="str">
        <f t="shared" ref="E301" si="147">E361</f>
        <v>Descuentos con aguinaldo</v>
      </c>
      <c r="F301" s="882"/>
      <c r="G301" s="739"/>
      <c r="H301" s="854" t="str">
        <f t="shared" si="136"/>
        <v>Descuentos con aguinaldo</v>
      </c>
      <c r="I301" s="224"/>
      <c r="J301" s="447"/>
      <c r="K301" s="854" t="str">
        <f t="shared" si="137"/>
        <v>Descuentos con aguinaldo</v>
      </c>
      <c r="L301" s="814"/>
      <c r="M301" s="447"/>
      <c r="N301" s="854" t="str">
        <f t="shared" si="138"/>
        <v>Descuentos con aguinaldo</v>
      </c>
      <c r="O301" s="814"/>
      <c r="P301" s="447"/>
      <c r="Q301" s="854" t="str">
        <f t="shared" si="139"/>
        <v>Descuentos con aguinaldo</v>
      </c>
      <c r="R301" s="814"/>
      <c r="S301" s="447"/>
      <c r="T301" s="854" t="str">
        <f t="shared" si="140"/>
        <v>Descuentos con aguinaldo</v>
      </c>
      <c r="U301" s="814"/>
      <c r="V301" s="447"/>
      <c r="W301" s="223" t="str">
        <f t="shared" si="141"/>
        <v>Descuentos con aguinaldo</v>
      </c>
      <c r="X301" s="224"/>
      <c r="Y301" s="447"/>
      <c r="Z301" s="223" t="str">
        <f t="shared" si="142"/>
        <v>Descuentos con aguinaldo</v>
      </c>
      <c r="AA301" s="224"/>
      <c r="AB301" s="447"/>
      <c r="AC301" s="223" t="str">
        <f t="shared" si="143"/>
        <v>Descuentos con aguinaldo</v>
      </c>
      <c r="AD301" s="224"/>
      <c r="AE301" s="447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32"/>
      <c r="AW301" s="32"/>
    </row>
    <row r="302" spans="1:49">
      <c r="A302" s="24"/>
      <c r="B302" s="334"/>
      <c r="C302" s="31"/>
      <c r="D302" s="450"/>
      <c r="E302" s="223">
        <f t="shared" ref="E302:F302" si="148">E362</f>
        <v>502</v>
      </c>
      <c r="F302" s="224">
        <f t="shared" si="148"/>
        <v>-32153.222419351692</v>
      </c>
      <c r="G302" s="739"/>
      <c r="H302" s="223">
        <f t="shared" si="136"/>
        <v>502</v>
      </c>
      <c r="I302" s="224">
        <f>I362</f>
        <v>-30256.868122018561</v>
      </c>
      <c r="J302" s="447"/>
      <c r="K302" s="223">
        <f t="shared" si="137"/>
        <v>502</v>
      </c>
      <c r="L302" s="224">
        <f>L362</f>
        <v>-28765.471956123176</v>
      </c>
      <c r="M302" s="447"/>
      <c r="N302" s="223">
        <f t="shared" si="138"/>
        <v>502</v>
      </c>
      <c r="O302" s="224">
        <f>O362</f>
        <v>-26634.696255669605</v>
      </c>
      <c r="P302" s="447"/>
      <c r="Q302" s="223">
        <f t="shared" si="139"/>
        <v>502</v>
      </c>
      <c r="R302" s="224">
        <f>R362</f>
        <v>-24503.920555216031</v>
      </c>
      <c r="S302" s="447"/>
      <c r="T302" s="223">
        <f t="shared" si="140"/>
        <v>502</v>
      </c>
      <c r="U302" s="224">
        <f>U362</f>
        <v>-23012.377564898539</v>
      </c>
      <c r="V302" s="447"/>
      <c r="W302" s="223">
        <f t="shared" si="141"/>
        <v>502</v>
      </c>
      <c r="X302" s="224">
        <f>X362</f>
        <v>-21307.757004535684</v>
      </c>
      <c r="Y302" s="447"/>
      <c r="Z302" s="223">
        <f t="shared" si="142"/>
        <v>502</v>
      </c>
      <c r="AA302" s="224">
        <f>AA362</f>
        <v>-21307.757004535684</v>
      </c>
      <c r="AB302" s="447"/>
      <c r="AC302" s="223">
        <f t="shared" si="143"/>
        <v>502</v>
      </c>
      <c r="AD302" s="224">
        <f>AD362</f>
        <v>-17411.813025523206</v>
      </c>
      <c r="AE302" s="447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32"/>
      <c r="AW302" s="32"/>
    </row>
    <row r="303" spans="1:49">
      <c r="A303" s="24"/>
      <c r="B303" s="334"/>
      <c r="C303" s="31"/>
      <c r="D303" s="450"/>
      <c r="E303" s="881">
        <f t="shared" ref="E303:F303" si="149">E363</f>
        <v>504</v>
      </c>
      <c r="F303" s="882">
        <f t="shared" si="149"/>
        <v>0</v>
      </c>
      <c r="G303" s="739"/>
      <c r="H303" s="223">
        <f t="shared" si="136"/>
        <v>504</v>
      </c>
      <c r="I303" s="224">
        <f>I363</f>
        <v>-1134.6325545756961</v>
      </c>
      <c r="J303" s="447"/>
      <c r="K303" s="223">
        <f t="shared" si="137"/>
        <v>504</v>
      </c>
      <c r="L303" s="224">
        <f>L363</f>
        <v>-1078.7051983546191</v>
      </c>
      <c r="M303" s="447"/>
      <c r="N303" s="223">
        <f t="shared" si="138"/>
        <v>504</v>
      </c>
      <c r="O303" s="224">
        <f>O363</f>
        <v>-998.80110958761009</v>
      </c>
      <c r="P303" s="447"/>
      <c r="Q303" s="223">
        <f t="shared" si="139"/>
        <v>504</v>
      </c>
      <c r="R303" s="224">
        <f>R363</f>
        <v>-918.89702082060126</v>
      </c>
      <c r="S303" s="447"/>
      <c r="T303" s="223">
        <f t="shared" si="140"/>
        <v>504</v>
      </c>
      <c r="U303" s="224">
        <f>U363</f>
        <v>-862.96415868369525</v>
      </c>
      <c r="V303" s="447"/>
      <c r="W303" s="223">
        <f t="shared" si="141"/>
        <v>504</v>
      </c>
      <c r="X303" s="224">
        <f>X363</f>
        <v>-799.04088767008807</v>
      </c>
      <c r="Y303" s="447"/>
      <c r="Z303" s="223">
        <f t="shared" si="142"/>
        <v>504</v>
      </c>
      <c r="AA303" s="224">
        <f>AA363</f>
        <v>-799.04088767008807</v>
      </c>
      <c r="AB303" s="447"/>
      <c r="AC303" s="223">
        <f t="shared" si="143"/>
        <v>504</v>
      </c>
      <c r="AD303" s="224">
        <f>AD363</f>
        <v>-652.94298845712024</v>
      </c>
      <c r="AE303" s="447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32"/>
      <c r="AW303" s="32"/>
    </row>
    <row r="304" spans="1:49">
      <c r="A304" s="24"/>
      <c r="B304" s="334"/>
      <c r="C304" s="31"/>
      <c r="D304" s="450"/>
      <c r="E304" s="223">
        <f t="shared" ref="E304:F304" si="150">E364</f>
        <v>505</v>
      </c>
      <c r="F304" s="224">
        <f t="shared" si="150"/>
        <v>-6028.7292036284425</v>
      </c>
      <c r="G304" s="739"/>
      <c r="H304" s="223">
        <f t="shared" si="136"/>
        <v>505</v>
      </c>
      <c r="I304" s="224">
        <f>I364</f>
        <v>-5673.1627728784797</v>
      </c>
      <c r="J304" s="447"/>
      <c r="K304" s="223">
        <f t="shared" si="137"/>
        <v>505</v>
      </c>
      <c r="L304" s="224">
        <f>L364</f>
        <v>-5393.5259917730946</v>
      </c>
      <c r="M304" s="447"/>
      <c r="N304" s="223">
        <f t="shared" si="138"/>
        <v>505</v>
      </c>
      <c r="O304" s="224">
        <f>O364</f>
        <v>-4994.0055479380508</v>
      </c>
      <c r="P304" s="447"/>
      <c r="Q304" s="223">
        <f t="shared" si="139"/>
        <v>505</v>
      </c>
      <c r="R304" s="224">
        <f>R364</f>
        <v>-4594.4851041030061</v>
      </c>
      <c r="S304" s="447"/>
      <c r="T304" s="223">
        <f t="shared" si="140"/>
        <v>505</v>
      </c>
      <c r="U304" s="224">
        <f>U364</f>
        <v>-4314.8207934184757</v>
      </c>
      <c r="V304" s="447"/>
      <c r="W304" s="223">
        <f t="shared" si="141"/>
        <v>505</v>
      </c>
      <c r="X304" s="224">
        <f>X364</f>
        <v>-3995.2044383504403</v>
      </c>
      <c r="Y304" s="447"/>
      <c r="Z304" s="223">
        <f t="shared" si="142"/>
        <v>505</v>
      </c>
      <c r="AA304" s="224">
        <f>AA364</f>
        <v>-3995.2044383504403</v>
      </c>
      <c r="AB304" s="447"/>
      <c r="AC304" s="223">
        <f t="shared" si="143"/>
        <v>505</v>
      </c>
      <c r="AD304" s="224">
        <f>AD364</f>
        <v>-3264.714942285601</v>
      </c>
      <c r="AE304" s="447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32"/>
      <c r="AW304" s="32"/>
    </row>
    <row r="305" spans="1:49">
      <c r="A305" s="24"/>
      <c r="B305" s="334"/>
      <c r="C305" s="31"/>
      <c r="D305" s="450"/>
      <c r="E305" s="881"/>
      <c r="F305" s="882"/>
      <c r="G305" s="739"/>
      <c r="H305" s="223"/>
      <c r="I305" s="224"/>
      <c r="J305" s="447"/>
      <c r="K305" s="223"/>
      <c r="L305" s="224"/>
      <c r="M305" s="447"/>
      <c r="N305" s="223"/>
      <c r="O305" s="224"/>
      <c r="P305" s="447"/>
      <c r="Q305" s="223"/>
      <c r="R305" s="224"/>
      <c r="S305" s="447"/>
      <c r="T305" s="223"/>
      <c r="U305" s="224"/>
      <c r="V305" s="447"/>
      <c r="W305" s="223"/>
      <c r="X305" s="224"/>
      <c r="Y305" s="447"/>
      <c r="Z305" s="223"/>
      <c r="AA305" s="224"/>
      <c r="AB305" s="447"/>
      <c r="AC305" s="223"/>
      <c r="AD305" s="224"/>
      <c r="AE305" s="447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32"/>
      <c r="AW305" s="32"/>
    </row>
    <row r="306" spans="1:49">
      <c r="A306" s="24"/>
      <c r="B306" s="334"/>
      <c r="C306" s="31"/>
      <c r="D306" s="450"/>
      <c r="E306" s="223" t="str">
        <f t="shared" ref="E306" si="151">E366</f>
        <v>Sueldo líquido incluyendo aguinaldo</v>
      </c>
      <c r="F306" s="224"/>
      <c r="G306" s="739"/>
      <c r="H306" s="854" t="str">
        <f>H366</f>
        <v>Sueldo líquido incluyendo aguinaldo</v>
      </c>
      <c r="I306" s="814"/>
      <c r="J306" s="878"/>
      <c r="K306" s="854" t="str">
        <f>K366</f>
        <v>Sueldo líquido incluyendo aguinaldo</v>
      </c>
      <c r="L306" s="814"/>
      <c r="M306" s="878"/>
      <c r="N306" s="854" t="str">
        <f>N366</f>
        <v>Sueldo líquido incluyendo aguinaldo</v>
      </c>
      <c r="O306" s="814"/>
      <c r="P306" s="878"/>
      <c r="Q306" s="854" t="str">
        <f>Q366</f>
        <v>Sueldo líquido incluyendo aguinaldo</v>
      </c>
      <c r="R306" s="814"/>
      <c r="S306" s="878"/>
      <c r="T306" s="854" t="str">
        <f>T366</f>
        <v>Sueldo líquido incluyendo aguinaldo</v>
      </c>
      <c r="U306" s="814"/>
      <c r="V306" s="447"/>
      <c r="W306" s="223" t="str">
        <f>W366</f>
        <v>Sueldo líquido incluyendo aguinaldo</v>
      </c>
      <c r="X306" s="224"/>
      <c r="Y306" s="447"/>
      <c r="Z306" s="223" t="str">
        <f>Z366</f>
        <v>Sueldo líquido incluyendo aguinaldo</v>
      </c>
      <c r="AA306" s="224"/>
      <c r="AB306" s="447"/>
      <c r="AC306" s="223" t="str">
        <f>AC366</f>
        <v>Sueldo líquido incluyendo aguinaldo</v>
      </c>
      <c r="AD306" s="224"/>
      <c r="AE306" s="447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32"/>
      <c r="AW306" s="32"/>
    </row>
    <row r="307" spans="1:49">
      <c r="A307" s="24"/>
      <c r="B307" s="334"/>
      <c r="C307" s="31"/>
      <c r="D307" s="450"/>
      <c r="E307" s="881"/>
      <c r="F307" s="884">
        <f t="shared" ref="F307" si="152">F367</f>
        <v>172935.68849796796</v>
      </c>
      <c r="G307" s="739"/>
      <c r="H307" s="223"/>
      <c r="I307" s="225">
        <f>I367</f>
        <v>162200.76231314329</v>
      </c>
      <c r="J307" s="447"/>
      <c r="K307" s="223"/>
      <c r="L307" s="225">
        <f>L367</f>
        <v>152206.49657951898</v>
      </c>
      <c r="M307" s="447"/>
      <c r="N307" s="223"/>
      <c r="O307" s="225">
        <f>O367</f>
        <v>141499.34868473976</v>
      </c>
      <c r="P307" s="447"/>
      <c r="Q307" s="223"/>
      <c r="R307" s="225">
        <f>R367</f>
        <v>129392.20078996055</v>
      </c>
      <c r="S307" s="447"/>
      <c r="T307" s="223"/>
      <c r="U307" s="225">
        <f>U367</f>
        <v>121897.19726361515</v>
      </c>
      <c r="V307" s="447"/>
      <c r="W307" s="223"/>
      <c r="X307" s="225">
        <f>X367</f>
        <v>113331.47894779181</v>
      </c>
      <c r="Y307" s="447"/>
      <c r="Z307" s="223"/>
      <c r="AA307" s="225">
        <f>AA367</f>
        <v>112331.47894779181</v>
      </c>
      <c r="AB307" s="447"/>
      <c r="AC307" s="223"/>
      <c r="AD307" s="225">
        <f>AD367</f>
        <v>92754.360453254107</v>
      </c>
      <c r="AE307" s="447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32"/>
      <c r="AW307" s="32"/>
    </row>
    <row r="308" spans="1:49">
      <c r="A308" s="24"/>
      <c r="B308" s="334"/>
      <c r="C308" s="31"/>
      <c r="D308" s="450"/>
      <c r="E308" s="880" t="str">
        <f t="shared" ref="E308" si="153">E368</f>
        <v>Aguinaldo de bolsillo</v>
      </c>
      <c r="F308" s="224"/>
      <c r="G308" s="739"/>
      <c r="H308" s="879" t="str">
        <f>H368</f>
        <v>Aguinaldo de bolsillo</v>
      </c>
      <c r="I308" s="224"/>
      <c r="J308" s="447"/>
      <c r="K308" s="879" t="str">
        <f>K368</f>
        <v>Aguinaldo de bolsillo</v>
      </c>
      <c r="L308" s="224"/>
      <c r="M308" s="447"/>
      <c r="N308" s="879" t="str">
        <f>N368</f>
        <v>Aguinaldo de bolsillo</v>
      </c>
      <c r="O308" s="224"/>
      <c r="P308" s="447"/>
      <c r="Q308" s="879" t="str">
        <f>Q368</f>
        <v>Aguinaldo de bolsillo</v>
      </c>
      <c r="R308" s="224"/>
      <c r="S308" s="447"/>
      <c r="T308" s="879" t="str">
        <f>T368</f>
        <v>Aguinaldo de bolsillo</v>
      </c>
      <c r="U308" s="224"/>
      <c r="V308" s="447"/>
      <c r="W308" s="879" t="str">
        <f>W368</f>
        <v>Aguinaldo de bolsillo</v>
      </c>
      <c r="X308" s="224"/>
      <c r="Y308" s="447"/>
      <c r="Z308" s="879" t="str">
        <f>Z368</f>
        <v>Aguinaldo de bolsillo</v>
      </c>
      <c r="AA308" s="224"/>
      <c r="AB308" s="447"/>
      <c r="AC308" s="879" t="str">
        <f>AC368</f>
        <v>Aguinaldo de bolsillo</v>
      </c>
      <c r="AD308" s="224"/>
      <c r="AE308" s="447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32"/>
      <c r="AW308" s="32"/>
    </row>
    <row r="309" spans="1:49" ht="16.5" thickBot="1">
      <c r="A309" s="24"/>
      <c r="B309" s="334"/>
      <c r="C309" s="31"/>
      <c r="D309" s="450"/>
      <c r="E309" s="883"/>
      <c r="F309" s="885">
        <f t="shared" ref="F309" si="154">F369</f>
        <v>54258.562832655996</v>
      </c>
      <c r="G309" s="739"/>
      <c r="H309" s="226"/>
      <c r="I309" s="227">
        <f>I369</f>
        <v>50680.254104381107</v>
      </c>
      <c r="J309" s="447"/>
      <c r="K309" s="226">
        <f>K369</f>
        <v>0</v>
      </c>
      <c r="L309" s="227">
        <f>L369</f>
        <v>48182.165526506345</v>
      </c>
      <c r="M309" s="447"/>
      <c r="N309" s="226"/>
      <c r="O309" s="227">
        <f>O369</f>
        <v>44613.116228246596</v>
      </c>
      <c r="P309" s="447"/>
      <c r="Q309" s="226"/>
      <c r="R309" s="227">
        <f>R369</f>
        <v>41044.066929986846</v>
      </c>
      <c r="S309" s="447"/>
      <c r="T309" s="226"/>
      <c r="U309" s="227">
        <f>U369</f>
        <v>38545.732421205044</v>
      </c>
      <c r="V309" s="447"/>
      <c r="W309" s="226"/>
      <c r="X309" s="227">
        <f>X369</f>
        <v>35690.492982597265</v>
      </c>
      <c r="Y309" s="447"/>
      <c r="Z309" s="226"/>
      <c r="AA309" s="227">
        <f>AA369</f>
        <v>35690.492982597265</v>
      </c>
      <c r="AB309" s="447"/>
      <c r="AC309" s="226"/>
      <c r="AD309" s="227">
        <f>AD369</f>
        <v>29164.786817751374</v>
      </c>
      <c r="AE309" s="447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32"/>
      <c r="AW309" s="32"/>
    </row>
    <row r="310" spans="1:49" ht="18.75" thickTop="1">
      <c r="A310" s="24"/>
      <c r="B310" s="334"/>
      <c r="C310" s="31"/>
      <c r="D310" s="450"/>
      <c r="E310" s="450"/>
      <c r="F310" s="450"/>
      <c r="G310" s="739"/>
      <c r="H310" s="344"/>
      <c r="I310" s="349"/>
      <c r="J310" s="452"/>
      <c r="K310" s="344"/>
      <c r="L310" s="349"/>
      <c r="M310" s="452"/>
      <c r="N310" s="344"/>
      <c r="O310" s="349"/>
      <c r="P310" s="452"/>
      <c r="Q310" s="344"/>
      <c r="R310" s="349"/>
      <c r="S310" s="452"/>
      <c r="T310" s="344"/>
      <c r="U310" s="349"/>
      <c r="V310" s="452"/>
      <c r="W310" s="344"/>
      <c r="X310" s="349"/>
      <c r="Y310" s="452"/>
      <c r="Z310" s="344"/>
      <c r="AA310" s="349"/>
      <c r="AB310" s="452"/>
      <c r="AC310" s="344"/>
      <c r="AD310" s="349"/>
      <c r="AE310" s="452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32"/>
      <c r="AW310" s="32"/>
    </row>
    <row r="311" spans="1:49" ht="18">
      <c r="A311" s="24"/>
      <c r="B311" s="13"/>
      <c r="C311" s="13"/>
      <c r="D311" s="13"/>
      <c r="E311" s="779">
        <v>44562</v>
      </c>
      <c r="F311" s="780">
        <v>8.8999999999999996E-2</v>
      </c>
      <c r="G311" s="724"/>
      <c r="H311" s="371">
        <v>44916</v>
      </c>
      <c r="I311" s="372">
        <v>7.0000000000000007E-2</v>
      </c>
      <c r="J311" s="373"/>
      <c r="K311" s="371">
        <v>44855</v>
      </c>
      <c r="L311" s="372">
        <v>0.1</v>
      </c>
      <c r="M311" s="373"/>
      <c r="N311" s="374" t="s">
        <v>0</v>
      </c>
      <c r="O311" s="372">
        <v>0.1</v>
      </c>
      <c r="P311" s="373"/>
      <c r="Q311" s="371">
        <v>44763</v>
      </c>
      <c r="R311" s="372">
        <v>7.0000000000000007E-2</v>
      </c>
      <c r="S311" s="373"/>
      <c r="T311" s="371">
        <v>44702</v>
      </c>
      <c r="U311" s="372">
        <v>0.08</v>
      </c>
      <c r="V311" s="373"/>
      <c r="W311" s="375">
        <v>44641</v>
      </c>
      <c r="X311" s="376"/>
      <c r="Y311" s="373"/>
      <c r="Z311" s="377">
        <v>44228</v>
      </c>
      <c r="AA311" s="378"/>
      <c r="AB311" s="373"/>
      <c r="AC311" s="379">
        <v>43891</v>
      </c>
      <c r="AD311" s="380"/>
      <c r="AE311" s="3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32"/>
      <c r="AW311" s="32"/>
    </row>
    <row r="312" spans="1:49" ht="12.75" hidden="1">
      <c r="A312" s="24"/>
      <c r="B312" s="453"/>
      <c r="C312" s="453"/>
      <c r="D312" s="453"/>
      <c r="E312" s="453"/>
      <c r="F312" s="453"/>
      <c r="G312" s="740"/>
      <c r="H312" s="24"/>
      <c r="I312" s="24"/>
      <c r="J312" s="454"/>
      <c r="K312" s="24"/>
      <c r="L312" s="24"/>
      <c r="M312" s="454"/>
      <c r="N312" s="24"/>
      <c r="O312" s="24"/>
      <c r="P312" s="454"/>
      <c r="Q312" s="24"/>
      <c r="R312" s="24"/>
      <c r="S312" s="454"/>
      <c r="T312" s="24"/>
      <c r="U312" s="24"/>
      <c r="V312" s="454"/>
      <c r="W312" s="24"/>
      <c r="X312" s="24"/>
      <c r="Y312" s="454"/>
      <c r="Z312" s="24"/>
      <c r="AA312" s="24"/>
      <c r="AB312" s="454"/>
      <c r="AC312" s="24"/>
      <c r="AD312" s="24"/>
      <c r="AE312" s="45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32"/>
      <c r="AW312" s="32"/>
    </row>
    <row r="313" spans="1:49" ht="12.75" hidden="1">
      <c r="A313" s="24"/>
      <c r="B313" s="453"/>
      <c r="C313" s="453"/>
      <c r="D313" s="453"/>
      <c r="E313" s="453"/>
      <c r="F313" s="453"/>
      <c r="G313" s="740"/>
      <c r="H313" s="24"/>
      <c r="I313" s="24"/>
      <c r="J313" s="454"/>
      <c r="K313" s="24"/>
      <c r="L313" s="24"/>
      <c r="M313" s="454"/>
      <c r="N313" s="24"/>
      <c r="O313" s="24"/>
      <c r="P313" s="454"/>
      <c r="Q313" s="24"/>
      <c r="R313" s="24"/>
      <c r="S313" s="454"/>
      <c r="T313" s="24"/>
      <c r="U313" s="24"/>
      <c r="V313" s="454"/>
      <c r="W313" s="24"/>
      <c r="X313" s="24"/>
      <c r="Y313" s="454"/>
      <c r="Z313" s="24"/>
      <c r="AA313" s="24"/>
      <c r="AB313" s="454"/>
      <c r="AC313" s="24"/>
      <c r="AD313" s="24"/>
      <c r="AE313" s="45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32"/>
      <c r="AW313" s="32"/>
    </row>
    <row r="314" spans="1:49" ht="12.75" hidden="1">
      <c r="A314" s="24"/>
      <c r="B314" s="453"/>
      <c r="C314" s="453"/>
      <c r="D314" s="453"/>
      <c r="E314" s="453"/>
      <c r="F314" s="453"/>
      <c r="G314" s="740"/>
      <c r="H314" s="24"/>
      <c r="I314" s="24"/>
      <c r="J314" s="454"/>
      <c r="K314" s="24"/>
      <c r="L314" s="24"/>
      <c r="M314" s="454"/>
      <c r="N314" s="24"/>
      <c r="O314" s="24"/>
      <c r="P314" s="454"/>
      <c r="Q314" s="24"/>
      <c r="R314" s="24"/>
      <c r="S314" s="454"/>
      <c r="T314" s="24"/>
      <c r="U314" s="24"/>
      <c r="V314" s="454"/>
      <c r="W314" s="24"/>
      <c r="X314" s="24"/>
      <c r="Y314" s="454"/>
      <c r="Z314" s="24"/>
      <c r="AA314" s="24"/>
      <c r="AB314" s="454"/>
      <c r="AC314" s="24"/>
      <c r="AD314" s="24"/>
      <c r="AE314" s="45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32"/>
      <c r="AW314" s="32"/>
    </row>
    <row r="315" spans="1:49" ht="12.75" hidden="1">
      <c r="A315" s="24"/>
      <c r="B315" s="453"/>
      <c r="C315" s="453"/>
      <c r="D315" s="453"/>
      <c r="E315" s="453"/>
      <c r="F315" s="453"/>
      <c r="G315" s="740"/>
      <c r="H315" s="24"/>
      <c r="I315" s="24"/>
      <c r="J315" s="454"/>
      <c r="K315" s="24"/>
      <c r="L315" s="24"/>
      <c r="M315" s="454"/>
      <c r="N315" s="24"/>
      <c r="O315" s="24"/>
      <c r="P315" s="454"/>
      <c r="Q315" s="24"/>
      <c r="R315" s="24"/>
      <c r="S315" s="454"/>
      <c r="T315" s="24"/>
      <c r="U315" s="24"/>
      <c r="V315" s="454"/>
      <c r="W315" s="24"/>
      <c r="X315" s="24"/>
      <c r="Y315" s="454"/>
      <c r="Z315" s="24"/>
      <c r="AA315" s="24"/>
      <c r="AB315" s="454"/>
      <c r="AC315" s="24"/>
      <c r="AD315" s="24"/>
      <c r="AE315" s="45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32"/>
      <c r="AW315" s="32"/>
    </row>
    <row r="316" spans="1:49" ht="12.75" hidden="1">
      <c r="A316" s="24"/>
      <c r="B316" s="453"/>
      <c r="C316" s="453"/>
      <c r="D316" s="453"/>
      <c r="E316" s="453"/>
      <c r="F316" s="453"/>
      <c r="G316" s="740"/>
      <c r="H316" s="24"/>
      <c r="I316" s="24"/>
      <c r="J316" s="454"/>
      <c r="K316" s="24"/>
      <c r="L316" s="24"/>
      <c r="M316" s="454"/>
      <c r="N316" s="24"/>
      <c r="O316" s="24"/>
      <c r="P316" s="454"/>
      <c r="Q316" s="24"/>
      <c r="R316" s="24"/>
      <c r="S316" s="454"/>
      <c r="T316" s="24"/>
      <c r="U316" s="24"/>
      <c r="V316" s="454"/>
      <c r="W316" s="24"/>
      <c r="X316" s="24"/>
      <c r="Y316" s="454"/>
      <c r="Z316" s="24"/>
      <c r="AA316" s="24"/>
      <c r="AB316" s="454"/>
      <c r="AC316" s="24"/>
      <c r="AD316" s="24"/>
      <c r="AE316" s="45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32"/>
      <c r="AW316" s="32"/>
    </row>
    <row r="317" spans="1:49" ht="12.75" hidden="1">
      <c r="A317" s="24"/>
      <c r="B317" s="453"/>
      <c r="C317" s="453"/>
      <c r="D317" s="453"/>
      <c r="E317" s="453"/>
      <c r="F317" s="453"/>
      <c r="G317" s="740"/>
      <c r="H317" s="24"/>
      <c r="I317" s="24"/>
      <c r="J317" s="454"/>
      <c r="K317" s="24"/>
      <c r="L317" s="24"/>
      <c r="M317" s="454"/>
      <c r="N317" s="24"/>
      <c r="O317" s="24"/>
      <c r="P317" s="454"/>
      <c r="Q317" s="24"/>
      <c r="R317" s="24"/>
      <c r="S317" s="454"/>
      <c r="T317" s="24"/>
      <c r="U317" s="24"/>
      <c r="V317" s="454"/>
      <c r="W317" s="24"/>
      <c r="X317" s="24"/>
      <c r="Y317" s="454"/>
      <c r="Z317" s="24"/>
      <c r="AA317" s="24"/>
      <c r="AB317" s="454"/>
      <c r="AC317" s="24"/>
      <c r="AD317" s="24"/>
      <c r="AE317" s="45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32"/>
      <c r="AW317" s="32"/>
    </row>
    <row r="318" spans="1:49" ht="30" hidden="1">
      <c r="A318" s="13"/>
      <c r="B318" s="399"/>
      <c r="C318" s="13"/>
      <c r="D318" s="399"/>
      <c r="E318" s="779">
        <v>44562</v>
      </c>
      <c r="F318" s="780">
        <v>8.8999999999999996E-2</v>
      </c>
      <c r="G318" s="736"/>
      <c r="H318" s="1">
        <v>44916</v>
      </c>
      <c r="I318" s="2">
        <v>7.0000000000000007E-2</v>
      </c>
      <c r="J318" s="4"/>
      <c r="K318" s="1">
        <v>44855</v>
      </c>
      <c r="L318" s="2">
        <v>0.1</v>
      </c>
      <c r="M318" s="4"/>
      <c r="N318" s="5" t="s">
        <v>0</v>
      </c>
      <c r="O318" s="2">
        <v>0.1</v>
      </c>
      <c r="P318" s="4"/>
      <c r="Q318" s="6">
        <v>44763</v>
      </c>
      <c r="R318" s="7">
        <v>7.0000000000000007E-2</v>
      </c>
      <c r="S318" s="3"/>
      <c r="T318" s="6">
        <v>44702</v>
      </c>
      <c r="U318" s="7">
        <v>0.08</v>
      </c>
      <c r="V318" s="3"/>
      <c r="W318" s="455">
        <v>44641</v>
      </c>
      <c r="X318" s="456"/>
      <c r="Y318" s="3"/>
      <c r="Z318" s="793">
        <v>44228</v>
      </c>
      <c r="AA318" s="9"/>
      <c r="AB318" s="3"/>
      <c r="AC318" s="10">
        <v>43891</v>
      </c>
      <c r="AD318" s="11"/>
      <c r="AE318" s="3"/>
      <c r="AF318" s="12"/>
      <c r="AG318" s="12"/>
      <c r="AH318" s="381"/>
      <c r="AI318" s="382"/>
      <c r="AJ318" s="381"/>
      <c r="AK318" s="381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</row>
    <row r="319" spans="1:49" ht="12.75" hidden="1">
      <c r="A319" s="13"/>
      <c r="B319" s="400" t="s">
        <v>73</v>
      </c>
      <c r="C319" s="549" t="s">
        <v>74</v>
      </c>
      <c r="D319" s="402" t="s">
        <v>75</v>
      </c>
      <c r="E319" s="402"/>
      <c r="F319" s="402"/>
      <c r="G319" s="726"/>
      <c r="H319" s="400" t="s">
        <v>76</v>
      </c>
      <c r="I319" s="549" t="s">
        <v>77</v>
      </c>
      <c r="J319" s="237"/>
      <c r="K319" s="137" t="s">
        <v>76</v>
      </c>
      <c r="L319" s="138" t="s">
        <v>77</v>
      </c>
      <c r="M319" s="237"/>
      <c r="N319" s="137" t="s">
        <v>76</v>
      </c>
      <c r="O319" s="138" t="s">
        <v>77</v>
      </c>
      <c r="P319" s="237"/>
      <c r="Q319" s="137" t="s">
        <v>76</v>
      </c>
      <c r="R319" s="138" t="s">
        <v>77</v>
      </c>
      <c r="S319" s="237"/>
      <c r="T319" s="137" t="s">
        <v>76</v>
      </c>
      <c r="U319" s="138" t="s">
        <v>77</v>
      </c>
      <c r="V319" s="237"/>
      <c r="W319" s="137" t="s">
        <v>76</v>
      </c>
      <c r="X319" s="138" t="s">
        <v>77</v>
      </c>
      <c r="Y319" s="237"/>
      <c r="Z319" s="137" t="s">
        <v>76</v>
      </c>
      <c r="AA319" s="138" t="s">
        <v>77</v>
      </c>
      <c r="AB319" s="237"/>
      <c r="AC319" s="137" t="s">
        <v>76</v>
      </c>
      <c r="AD319" s="138" t="s">
        <v>77</v>
      </c>
      <c r="AE319" s="237"/>
      <c r="AF319" s="32"/>
      <c r="AG319" s="32"/>
      <c r="AH319" s="13"/>
      <c r="AI319" s="32"/>
      <c r="AJ319" s="32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</row>
    <row r="320" spans="1:49" ht="15" hidden="1">
      <c r="A320" s="13"/>
      <c r="B320" s="638">
        <v>4</v>
      </c>
      <c r="C320" s="639">
        <v>36</v>
      </c>
      <c r="D320" s="640" t="s">
        <v>141</v>
      </c>
      <c r="E320" s="641">
        <f>indiceene22*punbashormed</f>
        <v>44943.411276000006</v>
      </c>
      <c r="F320" s="642"/>
      <c r="G320" s="741"/>
      <c r="H320" s="641">
        <f>indicedic21*punbashormed</f>
        <v>42292.717776000005</v>
      </c>
      <c r="I320" s="642"/>
      <c r="J320" s="298"/>
      <c r="K320" s="247">
        <f>indicemar21*punbashormed*Aumento4</f>
        <v>40207.78130580001</v>
      </c>
      <c r="L320" s="457"/>
      <c r="M320" s="298"/>
      <c r="N320" s="247">
        <f>indicemar21*punbashormed*Aumento3</f>
        <v>37229.427135000005</v>
      </c>
      <c r="O320" s="457"/>
      <c r="P320" s="298"/>
      <c r="Q320" s="247">
        <f>indicemar21*punbashormed*Aumento2</f>
        <v>34251.072964200001</v>
      </c>
      <c r="R320" s="457"/>
      <c r="S320" s="298"/>
      <c r="T320" s="247">
        <f>indicemar21*punbashormed*Aumento1</f>
        <v>32166.225044640007</v>
      </c>
      <c r="U320" s="457"/>
      <c r="V320" s="298"/>
      <c r="W320" s="247">
        <f>indicemar21*punbashormed</f>
        <v>29783.541708000004</v>
      </c>
      <c r="X320" s="457"/>
      <c r="Y320" s="298"/>
      <c r="Z320" s="247">
        <f>indicemar21*punbashormed</f>
        <v>29783.541708000004</v>
      </c>
      <c r="AA320" s="457"/>
      <c r="AB320" s="298"/>
      <c r="AC320" s="247">
        <f>indiceene20*punbashormed</f>
        <v>25898.731920000006</v>
      </c>
      <c r="AD320" s="457"/>
      <c r="AE320" s="320"/>
      <c r="AF320" s="243"/>
      <c r="AG320" s="13"/>
      <c r="AH320" s="24"/>
      <c r="AI320" s="243"/>
      <c r="AJ320" s="13"/>
      <c r="AK320" s="24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</row>
    <row r="321" spans="1:49" ht="12.75" hidden="1">
      <c r="A321" s="13"/>
      <c r="B321" s="643">
        <v>10</v>
      </c>
      <c r="C321" s="644">
        <f>porantighormed</f>
        <v>1.2</v>
      </c>
      <c r="D321" s="645" t="s">
        <v>84</v>
      </c>
      <c r="E321" s="646">
        <f>E320*porantighormed</f>
        <v>53932.093531200007</v>
      </c>
      <c r="F321" s="647"/>
      <c r="G321" s="742"/>
      <c r="H321" s="646">
        <f>H320*porantighormed</f>
        <v>50751.261331200003</v>
      </c>
      <c r="I321" s="647"/>
      <c r="J321" s="298"/>
      <c r="K321" s="241">
        <f>K320*porantighormed</f>
        <v>48249.337566960014</v>
      </c>
      <c r="L321" s="458"/>
      <c r="M321" s="298"/>
      <c r="N321" s="241">
        <f>N320*porantighormed</f>
        <v>44675.312562000006</v>
      </c>
      <c r="O321" s="458"/>
      <c r="P321" s="298"/>
      <c r="Q321" s="241">
        <f>Q320*porantighormed</f>
        <v>41101.287557039999</v>
      </c>
      <c r="R321" s="458"/>
      <c r="S321" s="298"/>
      <c r="T321" s="241">
        <f>T320*porantighormed</f>
        <v>38599.470053568009</v>
      </c>
      <c r="U321" s="458"/>
      <c r="V321" s="298"/>
      <c r="W321" s="241">
        <f>W320*porantighormed</f>
        <v>35740.250049600007</v>
      </c>
      <c r="X321" s="458"/>
      <c r="Y321" s="298"/>
      <c r="Z321" s="241">
        <f>Z320*porantighormed</f>
        <v>35740.250049600007</v>
      </c>
      <c r="AA321" s="458"/>
      <c r="AB321" s="298"/>
      <c r="AC321" s="241">
        <f>AC320*porantighormed</f>
        <v>31078.478304000004</v>
      </c>
      <c r="AD321" s="458"/>
      <c r="AE321" s="320"/>
      <c r="AF321" s="243"/>
      <c r="AG321" s="13"/>
      <c r="AH321" s="24"/>
      <c r="AI321" s="243"/>
      <c r="AJ321" s="13"/>
      <c r="AK321" s="24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</row>
    <row r="322" spans="1:49" hidden="1">
      <c r="A322" s="13"/>
      <c r="B322" s="638">
        <v>6</v>
      </c>
      <c r="C322" s="648">
        <f>E322/309.8579</f>
        <v>36</v>
      </c>
      <c r="D322" s="640" t="s">
        <v>83</v>
      </c>
      <c r="E322" s="641">
        <f>IF(canthor06med&gt;36,36*309.8579,309.8579*canthor06med)</f>
        <v>11154.884399999999</v>
      </c>
      <c r="F322" s="642"/>
      <c r="G322" s="741"/>
      <c r="H322" s="641">
        <f>IF(canthor06med&gt;36,36*291.582667,291.582667*canthor06med)</f>
        <v>10496.976012000001</v>
      </c>
      <c r="I322" s="642"/>
      <c r="J322" s="260"/>
      <c r="K322" s="247">
        <f>IF(canthor06med&gt;36,36*205.355,205.355*canthor06med)*Aumento4</f>
        <v>9980.2530000000006</v>
      </c>
      <c r="L322" s="457"/>
      <c r="M322" s="260"/>
      <c r="N322" s="247">
        <f>IF(canthor06med&gt;36,36*205.355,205.355*canthor06med)*Aumento3</f>
        <v>9240.9750000000004</v>
      </c>
      <c r="O322" s="457"/>
      <c r="P322" s="260"/>
      <c r="Q322" s="247">
        <f>IF(canthor06med&gt;36,36*205.355,205.355*canthor06med)*Aumento2</f>
        <v>8501.6969999999983</v>
      </c>
      <c r="R322" s="457"/>
      <c r="S322" s="260"/>
      <c r="T322" s="247">
        <f>IF(canthor06med&gt;36,36*205.355,205.355*canthor06med)*Aumento1</f>
        <v>7984.2024000000001</v>
      </c>
      <c r="U322" s="457"/>
      <c r="V322" s="260"/>
      <c r="W322" s="247">
        <f>IF(canthor06med&gt;36,36*205.355,205.355*canthor06med)</f>
        <v>7392.78</v>
      </c>
      <c r="X322" s="457"/>
      <c r="Y322" s="260"/>
      <c r="Z322" s="247">
        <f>IF(canthor06med&gt;36,36*205.355,205.355*canthor06med)</f>
        <v>7392.78</v>
      </c>
      <c r="AA322" s="457"/>
      <c r="AB322" s="260"/>
      <c r="AC322" s="247">
        <f>IF(canthor06med&gt;36,36*178.56,178.56*canthor06med)</f>
        <v>6428.16</v>
      </c>
      <c r="AD322" s="457"/>
      <c r="AE322" s="459"/>
      <c r="AF322" s="243"/>
      <c r="AG322" s="13"/>
      <c r="AH322" s="24"/>
      <c r="AI322" s="243"/>
      <c r="AJ322" s="13"/>
      <c r="AK322" s="24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</row>
    <row r="323" spans="1:49" ht="12.75" hidden="1">
      <c r="A323" s="13"/>
      <c r="B323" s="643">
        <v>14</v>
      </c>
      <c r="C323" s="644">
        <v>7.0000000000000007E-2</v>
      </c>
      <c r="D323" s="645" t="s">
        <v>142</v>
      </c>
      <c r="E323" s="646">
        <f>E322*0.07</f>
        <v>780.84190799999999</v>
      </c>
      <c r="F323" s="647"/>
      <c r="G323" s="742"/>
      <c r="H323" s="646">
        <f>H322*0.07</f>
        <v>734.7883208400001</v>
      </c>
      <c r="I323" s="647"/>
      <c r="J323" s="260"/>
      <c r="K323" s="460">
        <f>K322*0.07</f>
        <v>698.6177100000001</v>
      </c>
      <c r="L323" s="458"/>
      <c r="M323" s="260"/>
      <c r="N323" s="460">
        <f>N322*0.07</f>
        <v>646.8682500000001</v>
      </c>
      <c r="O323" s="458"/>
      <c r="P323" s="260"/>
      <c r="Q323" s="460">
        <f>Q322*0.07</f>
        <v>595.11878999999999</v>
      </c>
      <c r="R323" s="458"/>
      <c r="S323" s="260"/>
      <c r="T323" s="460">
        <f>T322*0.07</f>
        <v>558.89416800000004</v>
      </c>
      <c r="U323" s="458"/>
      <c r="V323" s="260"/>
      <c r="W323" s="460">
        <f>W322*0.07</f>
        <v>517.49459999999999</v>
      </c>
      <c r="X323" s="458"/>
      <c r="Y323" s="260"/>
      <c r="Z323" s="460">
        <f>Z322*0.07</f>
        <v>517.49459999999999</v>
      </c>
      <c r="AA323" s="458"/>
      <c r="AB323" s="260"/>
      <c r="AC323" s="460">
        <f>AC322*0.07</f>
        <v>449.97120000000001</v>
      </c>
      <c r="AD323" s="458"/>
      <c r="AE323" s="459"/>
      <c r="AF323" s="243"/>
      <c r="AG323" s="13"/>
      <c r="AH323" s="24"/>
      <c r="AI323" s="243"/>
      <c r="AJ323" s="13"/>
      <c r="AK323" s="24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</row>
    <row r="324" spans="1:49" hidden="1">
      <c r="A324" s="13"/>
      <c r="B324" s="638">
        <v>18</v>
      </c>
      <c r="C324" s="648">
        <v>18</v>
      </c>
      <c r="D324" s="649" t="s">
        <v>143</v>
      </c>
      <c r="E324" s="641">
        <f>IF(canthormed&gt;18,18*233.82667,233.82667*canthormed)*adichsmedia*1.509/1.42</f>
        <v>4472.6760637605639</v>
      </c>
      <c r="F324" s="642"/>
      <c r="G324" s="743"/>
      <c r="H324" s="641">
        <f>IF(canthormed&gt;18,18*233.82667,233.82667*canthormed)*adichsmedia</f>
        <v>4208.8800600000004</v>
      </c>
      <c r="I324" s="642"/>
      <c r="J324" s="312"/>
      <c r="K324" s="247">
        <f>IF(canthormed&gt;18,18*164.66666,164.66666*canthormed)*adichsmedia*Aumento4</f>
        <v>4001.3998380000007</v>
      </c>
      <c r="L324" s="457"/>
      <c r="M324" s="312"/>
      <c r="N324" s="247">
        <f>IF(canthormed&gt;18,18*164.66666,164.66666*canthormed)*adichsmedia*Aumento3</f>
        <v>3704.9998500000002</v>
      </c>
      <c r="O324" s="457"/>
      <c r="P324" s="312"/>
      <c r="Q324" s="247">
        <f>IF(canthormed&gt;18,18*164.66666,164.66666*canthormed)*adichsmedia*Aumento2</f>
        <v>3408.599862</v>
      </c>
      <c r="R324" s="457"/>
      <c r="S324" s="312"/>
      <c r="T324" s="247">
        <f>IF(canthormed&gt;18,18*164.66666,164.66666*canthormed)*adichsmedia*Aumento1</f>
        <v>3201.1198704000008</v>
      </c>
      <c r="U324" s="457"/>
      <c r="V324" s="312"/>
      <c r="W324" s="247">
        <f>IF(canthormed&gt;18,18*164.66666,164.66666*canthormed)*adichsmedia</f>
        <v>2963.9998800000003</v>
      </c>
      <c r="X324" s="457"/>
      <c r="Y324" s="312"/>
      <c r="Z324" s="247">
        <f>IF(canthormed&gt;18,18*164.66666,164.66666*canthormed)*adichsmedia</f>
        <v>2963.9998800000003</v>
      </c>
      <c r="AA324" s="457"/>
      <c r="AB324" s="312"/>
      <c r="AC324" s="247">
        <f>IF(canthormed&gt;18,18*143.18,143.18*canthormed)*adichsmedia</f>
        <v>2577.2400000000002</v>
      </c>
      <c r="AD324" s="457"/>
      <c r="AE324" s="16"/>
      <c r="AF324" s="243"/>
      <c r="AG324" s="13"/>
      <c r="AH324" s="24"/>
      <c r="AI324" s="243"/>
      <c r="AJ324" s="13"/>
      <c r="AK324" s="24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</row>
    <row r="325" spans="1:49" ht="12.75" hidden="1">
      <c r="A325" s="13"/>
      <c r="B325" s="638">
        <v>188</v>
      </c>
      <c r="C325" s="650">
        <v>7.0000000000000007E-2</v>
      </c>
      <c r="D325" s="640" t="s">
        <v>86</v>
      </c>
      <c r="E325" s="641">
        <f>(E320+E321+E324+E326+E328+E329)*0.07</f>
        <v>7983.6657608263968</v>
      </c>
      <c r="F325" s="642"/>
      <c r="G325" s="741"/>
      <c r="H325" s="641">
        <f>(H320+H321+H324+H326+H328+H329)*0.07</f>
        <v>7512.8003417040009</v>
      </c>
      <c r="I325" s="642"/>
      <c r="J325" s="298"/>
      <c r="K325" s="247">
        <f>(K320+K321+K324+K326+K328+K329)*0.07</f>
        <v>7142.4377297532019</v>
      </c>
      <c r="L325" s="457"/>
      <c r="M325" s="298"/>
      <c r="N325" s="247">
        <f>(N320+N321+N324+N326+N328+N329)*0.07</f>
        <v>6613.3682682900007</v>
      </c>
      <c r="O325" s="457"/>
      <c r="P325" s="298"/>
      <c r="Q325" s="247">
        <f>(Q320+Q321+Q324+Q326+Q328+Q329)*0.07</f>
        <v>6084.2988068268005</v>
      </c>
      <c r="R325" s="457"/>
      <c r="S325" s="298"/>
      <c r="T325" s="247">
        <f>(T320+T321+T324+T326+T328+T329)*0.07</f>
        <v>5713.9501838025617</v>
      </c>
      <c r="U325" s="457"/>
      <c r="V325" s="298"/>
      <c r="W325" s="247">
        <f>(W320+W321+W324+W326+W328+W329)*0.07</f>
        <v>5290.6946146320006</v>
      </c>
      <c r="X325" s="457"/>
      <c r="Y325" s="298"/>
      <c r="Z325" s="247">
        <f>(Z320+Z321+Z324+Z326+Z328+Z329)*0.07</f>
        <v>5290.6946146320006</v>
      </c>
      <c r="AA325" s="457"/>
      <c r="AB325" s="298"/>
      <c r="AC325" s="247">
        <f>(AC320+AC321+AC324+AC326+AC328+AC329)*0.07</f>
        <v>4296.2395156800012</v>
      </c>
      <c r="AD325" s="457"/>
      <c r="AE325" s="320"/>
      <c r="AF325" s="243"/>
      <c r="AG325" s="13"/>
      <c r="AH325" s="24"/>
      <c r="AI325" s="243"/>
      <c r="AJ325" s="13"/>
      <c r="AK325" s="24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</row>
    <row r="326" spans="1:49" hidden="1">
      <c r="A326" s="13"/>
      <c r="B326" s="643">
        <v>78</v>
      </c>
      <c r="C326" s="862">
        <f>C266</f>
        <v>0</v>
      </c>
      <c r="D326" s="645" t="s">
        <v>89</v>
      </c>
      <c r="E326" s="646">
        <f>E320*porzonahsmed</f>
        <v>0</v>
      </c>
      <c r="F326" s="647"/>
      <c r="G326" s="742"/>
      <c r="H326" s="646">
        <f>H320*porzonahsmed</f>
        <v>0</v>
      </c>
      <c r="I326" s="647"/>
      <c r="J326" s="298"/>
      <c r="K326" s="461">
        <f>K320*porzonahsmed</f>
        <v>0</v>
      </c>
      <c r="L326" s="369"/>
      <c r="M326" s="298"/>
      <c r="N326" s="461">
        <f>N320*porzonahsmed</f>
        <v>0</v>
      </c>
      <c r="O326" s="369"/>
      <c r="P326" s="298"/>
      <c r="Q326" s="461">
        <f>Q320*porzonahsmed</f>
        <v>0</v>
      </c>
      <c r="R326" s="369"/>
      <c r="S326" s="298"/>
      <c r="T326" s="461">
        <f>T320*porzonahsmed</f>
        <v>0</v>
      </c>
      <c r="U326" s="369"/>
      <c r="V326" s="298"/>
      <c r="W326" s="461">
        <f>W320*porzonahsmed</f>
        <v>0</v>
      </c>
      <c r="X326" s="369"/>
      <c r="Y326" s="298"/>
      <c r="Z326" s="461">
        <f>Z320*porzonahsmed</f>
        <v>0</v>
      </c>
      <c r="AA326" s="369"/>
      <c r="AB326" s="298"/>
      <c r="AC326" s="461">
        <f>AC320*porzonahsmed</f>
        <v>0</v>
      </c>
      <c r="AD326" s="369"/>
      <c r="AE326" s="320"/>
      <c r="AF326" s="257"/>
      <c r="AG326" s="13"/>
      <c r="AH326" s="24"/>
      <c r="AI326" s="257"/>
      <c r="AJ326" s="13"/>
      <c r="AK326" s="24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</row>
    <row r="327" spans="1:49" ht="14.25" hidden="1">
      <c r="A327" s="13"/>
      <c r="B327" s="638">
        <v>29</v>
      </c>
      <c r="C327" s="651">
        <f>cantkmhm</f>
        <v>0</v>
      </c>
      <c r="D327" s="640" t="s">
        <v>93</v>
      </c>
      <c r="E327" s="641">
        <f>IF(kmsemhsmed&lt;300,kmsemhsmed*4.3141666*4,5177)*1.659</f>
        <v>0</v>
      </c>
      <c r="F327" s="776" t="s">
        <v>551</v>
      </c>
      <c r="G327" s="741"/>
      <c r="H327" s="641">
        <f>IF(kmsemhsmed&lt;300,kmsemhsmed*4.3141666*4,5177)*1.57</f>
        <v>0</v>
      </c>
      <c r="I327" s="652" t="s">
        <v>113</v>
      </c>
      <c r="J327" s="260"/>
      <c r="K327" s="256">
        <f>IF(kmsemhsmed&lt;300,kmsemhsmed*4.3141666*4,5177)*1.5</f>
        <v>0</v>
      </c>
      <c r="L327" s="462" t="s">
        <v>113</v>
      </c>
      <c r="M327" s="260"/>
      <c r="N327" s="256">
        <f>IF(kmsemhsmed&lt;300,kmsemhsmed*4.3141666*4,5177)*1.4</f>
        <v>0</v>
      </c>
      <c r="O327" s="462" t="s">
        <v>113</v>
      </c>
      <c r="P327" s="260"/>
      <c r="Q327" s="256">
        <f>IF(kmsemhsmed&lt;300,kmsemhsmed*4.3141666*4,5177)*1.3</f>
        <v>0</v>
      </c>
      <c r="R327" s="462" t="s">
        <v>113</v>
      </c>
      <c r="S327" s="260"/>
      <c r="T327" s="256">
        <f>IF(kmsemhsmed&lt;300,kmsemhsmed*4.3141666*4,5177)*1.2</f>
        <v>0</v>
      </c>
      <c r="U327" s="462" t="s">
        <v>113</v>
      </c>
      <c r="V327" s="260"/>
      <c r="W327" s="256">
        <f>IF(kmsemhsmed&lt;300,kmsemhsmed*4.3141666*4,5177)</f>
        <v>0</v>
      </c>
      <c r="X327" s="462" t="s">
        <v>113</v>
      </c>
      <c r="Y327" s="260"/>
      <c r="Z327" s="256">
        <f>IF(kmsemhsmed&lt;300,kmsemhsmed*4.3141666*4,5177)</f>
        <v>0</v>
      </c>
      <c r="AA327" s="462" t="s">
        <v>113</v>
      </c>
      <c r="AB327" s="260"/>
      <c r="AC327" s="256">
        <f>IF(kmsemhsmed&lt;300,kmsemhsmed*3.7508*4,4501)</f>
        <v>0</v>
      </c>
      <c r="AD327" s="462" t="s">
        <v>113</v>
      </c>
      <c r="AE327" s="459"/>
      <c r="AF327" s="257"/>
      <c r="AG327" s="13"/>
      <c r="AH327" s="24"/>
      <c r="AI327" s="257"/>
      <c r="AJ327" s="13"/>
      <c r="AK327" s="24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</row>
    <row r="328" spans="1:49" hidden="1">
      <c r="A328" s="13"/>
      <c r="B328" s="638">
        <v>117</v>
      </c>
      <c r="C328" s="653"/>
      <c r="D328" s="640" t="s">
        <v>92</v>
      </c>
      <c r="E328" s="641">
        <f>IF(canthormed*99.09533&gt;2972.86,2972.86,canthormed*99.095333)*1.509/1.42</f>
        <v>3159.1871408450702</v>
      </c>
      <c r="F328" s="642"/>
      <c r="G328" s="741"/>
      <c r="H328" s="641">
        <f>IF(canthormed*99.09533&gt;2972.86,2972.86,canthormed*99.095333)</f>
        <v>2972.86</v>
      </c>
      <c r="I328" s="642"/>
      <c r="J328" s="260"/>
      <c r="K328" s="247">
        <f>IF(canthormed*69.78533&gt;2093.56,2093.56,canthormed*69.78533)*Aumento4</f>
        <v>2826.306</v>
      </c>
      <c r="L328" s="457"/>
      <c r="M328" s="260"/>
      <c r="N328" s="247">
        <f>IF(canthormed*69.78533&gt;2093.56,2093.56,canthormed*69.78533)*Aumento3</f>
        <v>2616.9499999999998</v>
      </c>
      <c r="O328" s="457"/>
      <c r="P328" s="260"/>
      <c r="Q328" s="247">
        <f>IF(canthormed*69.78533&gt;2093.56,2093.56,canthormed*69.78533)*Aumento2</f>
        <v>2407.5939999999996</v>
      </c>
      <c r="R328" s="457"/>
      <c r="S328" s="260"/>
      <c r="T328" s="247">
        <f>IF(canthormed*69.78533&gt;2093.56,2093.56,canthormed*69.78533)*Aumento1</f>
        <v>2261.0448000000001</v>
      </c>
      <c r="U328" s="457"/>
      <c r="V328" s="260"/>
      <c r="W328" s="247">
        <f>IF(canthormed*69.78533&gt;2093.56,2093.56,canthormed*69.78533)</f>
        <v>2093.56</v>
      </c>
      <c r="X328" s="457"/>
      <c r="Y328" s="260"/>
      <c r="Z328" s="247">
        <f>IF(canthormed*69.78533&gt;2093.56,2093.56,canthormed*69.78533)</f>
        <v>2093.56</v>
      </c>
      <c r="AA328" s="457"/>
      <c r="AB328" s="260"/>
      <c r="AC328" s="247">
        <f>IF(canthormed*60.68&gt;1820.4,1820.4,canthormed*60.68)</f>
        <v>1820.4</v>
      </c>
      <c r="AD328" s="457"/>
      <c r="AE328" s="459"/>
      <c r="AF328" s="243"/>
      <c r="AG328" s="13"/>
      <c r="AH328" s="24"/>
      <c r="AI328" s="243"/>
      <c r="AJ328" s="13"/>
      <c r="AK328" s="24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</row>
    <row r="329" spans="1:49" ht="20.25" hidden="1">
      <c r="A329" s="13"/>
      <c r="B329" s="654">
        <v>38</v>
      </c>
      <c r="C329" s="655">
        <f>C269</f>
        <v>15</v>
      </c>
      <c r="D329" s="656" t="s">
        <v>144</v>
      </c>
      <c r="E329" s="657">
        <f>IF(C329="",IF(canthormed&lt;15,473.333*canthormed,7100),IF(C329&lt;15,473.333*C329,7100))*1.509/1.42</f>
        <v>7545</v>
      </c>
      <c r="F329" s="647"/>
      <c r="G329" s="744"/>
      <c r="H329" s="657">
        <f>IF(C329="",IF(canthormed&lt;15,473.333*canthormed,7100),IF(C329&lt;15,473.333*C329,7100))</f>
        <v>7100</v>
      </c>
      <c r="I329" s="647"/>
      <c r="J329" s="298"/>
      <c r="K329" s="463">
        <f>IF(C329="",IF(canthormed&lt;15,6750/15*canthormed,6750),IF(C329&lt;15,6750/15*C329,6750))</f>
        <v>6750</v>
      </c>
      <c r="L329" s="458"/>
      <c r="M329" s="298"/>
      <c r="N329" s="463">
        <f>IF(C329="",IF(canthormed&lt;15,6250/15*canthormed,6250),IF(C329&lt;15,6250/15*C329,6250))</f>
        <v>6250</v>
      </c>
      <c r="O329" s="458"/>
      <c r="P329" s="298"/>
      <c r="Q329" s="463">
        <f>IF(C329="",IF(canthormed&lt;15,5750/15*canthormed,5750),IF(C329&lt;15,5750/15*C329,5750))</f>
        <v>5750</v>
      </c>
      <c r="R329" s="458"/>
      <c r="S329" s="298"/>
      <c r="T329" s="463">
        <f>IF(C329="",IF(canthormed&lt;15,360*canthormed,5400),IF(C329&lt;15,360*C329,5400))</f>
        <v>5400</v>
      </c>
      <c r="U329" s="458"/>
      <c r="V329" s="298"/>
      <c r="W329" s="463">
        <f>IF(C329="",IF(canthormed&lt;15,5000/15*canthormed,5000),IF(C329&lt;15,5000/15*C329,5000))</f>
        <v>5000</v>
      </c>
      <c r="X329" s="458"/>
      <c r="Y329" s="298"/>
      <c r="Z329" s="463">
        <f>IF(C329="",IF(canthormed&lt;15,5000/15*canthormed,5000),IF(C329&lt;15,5000/15*C329,5000))</f>
        <v>5000</v>
      </c>
      <c r="AA329" s="458"/>
      <c r="AB329" s="298"/>
      <c r="AC329" s="463"/>
      <c r="AD329" s="458"/>
      <c r="AE329" s="320"/>
      <c r="AF329" s="300"/>
      <c r="AG329" s="13"/>
      <c r="AH329" s="24"/>
      <c r="AI329" s="300"/>
      <c r="AJ329" s="13"/>
      <c r="AK329" s="24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</row>
    <row r="330" spans="1:49" hidden="1">
      <c r="A330" s="13"/>
      <c r="B330" s="643"/>
      <c r="C330" s="658"/>
      <c r="D330" s="659" t="s">
        <v>145</v>
      </c>
      <c r="E330" s="660">
        <f>SUM(E320:E329)</f>
        <v>133971.76008063206</v>
      </c>
      <c r="F330" s="647"/>
      <c r="G330" s="745"/>
      <c r="H330" s="660">
        <f>SUM(H320:H329)</f>
        <v>126070.28384174401</v>
      </c>
      <c r="I330" s="647"/>
      <c r="J330" s="465"/>
      <c r="K330" s="464">
        <f>SUM(K320:K329)</f>
        <v>119856.13315051323</v>
      </c>
      <c r="L330" s="458"/>
      <c r="M330" s="465"/>
      <c r="N330" s="464">
        <f>SUM(N320:N329)</f>
        <v>110977.90106529</v>
      </c>
      <c r="O330" s="458"/>
      <c r="P330" s="465"/>
      <c r="Q330" s="464">
        <f>SUM(Q320:Q329)</f>
        <v>102099.6689800668</v>
      </c>
      <c r="R330" s="458"/>
      <c r="S330" s="465"/>
      <c r="T330" s="464">
        <f>SUM(T320:T329)</f>
        <v>95884.906520410572</v>
      </c>
      <c r="U330" s="458"/>
      <c r="V330" s="465"/>
      <c r="W330" s="464">
        <f>SUM(W320:W329)</f>
        <v>88782.32085223202</v>
      </c>
      <c r="X330" s="458"/>
      <c r="Y330" s="465"/>
      <c r="Z330" s="464">
        <f>SUM(Z320:Z329)</f>
        <v>88782.32085223202</v>
      </c>
      <c r="AA330" s="458"/>
      <c r="AB330" s="465"/>
      <c r="AC330" s="464">
        <f>SUM(AC320:AC329)</f>
        <v>72549.220939680017</v>
      </c>
      <c r="AD330" s="458"/>
      <c r="AE330" s="150"/>
      <c r="AF330" s="300"/>
      <c r="AG330" s="13"/>
      <c r="AH330" s="24"/>
      <c r="AI330" s="300"/>
      <c r="AJ330" s="13"/>
      <c r="AK330" s="24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</row>
    <row r="331" spans="1:49" ht="15" hidden="1">
      <c r="A331" s="13"/>
      <c r="B331" s="661" t="s">
        <v>146</v>
      </c>
      <c r="C331" s="645"/>
      <c r="D331" s="645"/>
      <c r="E331" s="857">
        <f>E271</f>
        <v>0</v>
      </c>
      <c r="F331" s="858"/>
      <c r="G331" s="859"/>
      <c r="H331" s="857">
        <f>H271</f>
        <v>0</v>
      </c>
      <c r="I331" s="858"/>
      <c r="J331" s="860"/>
      <c r="K331" s="857">
        <f>K271</f>
        <v>0</v>
      </c>
      <c r="L331" s="861"/>
      <c r="M331" s="860"/>
      <c r="N331" s="857">
        <f>N271</f>
        <v>0</v>
      </c>
      <c r="O331" s="458"/>
      <c r="P331" s="298"/>
      <c r="Q331" s="467">
        <v>0</v>
      </c>
      <c r="R331" s="458"/>
      <c r="S331" s="298"/>
      <c r="T331" s="467">
        <v>0</v>
      </c>
      <c r="U331" s="458"/>
      <c r="V331" s="298"/>
      <c r="W331" s="467">
        <v>0</v>
      </c>
      <c r="X331" s="458"/>
      <c r="Y331" s="298"/>
      <c r="Z331" s="467">
        <v>0</v>
      </c>
      <c r="AA331" s="458"/>
      <c r="AB331" s="298"/>
      <c r="AC331" s="467">
        <v>0</v>
      </c>
      <c r="AD331" s="458"/>
      <c r="AE331" s="320"/>
      <c r="AF331" s="300"/>
      <c r="AG331" s="13"/>
      <c r="AH331" s="24"/>
      <c r="AI331" s="300"/>
      <c r="AJ331" s="13"/>
      <c r="AK331" s="24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</row>
    <row r="332" spans="1:49" hidden="1">
      <c r="A332" s="13"/>
      <c r="B332" s="643">
        <v>84</v>
      </c>
      <c r="C332" s="663">
        <f>E332/188.66667</f>
        <v>29.999999469964671</v>
      </c>
      <c r="D332" s="645" t="s">
        <v>97</v>
      </c>
      <c r="E332" s="646">
        <f>IF(canthorincmed*188.666667&gt;5660,5660,canthorincmed*188.666667)</f>
        <v>5660</v>
      </c>
      <c r="F332" s="664"/>
      <c r="G332" s="742"/>
      <c r="H332" s="646">
        <f>IF(canthorincmed*188.666667&gt;5660,5660,canthorincmed*188.666667)</f>
        <v>5660</v>
      </c>
      <c r="I332" s="664"/>
      <c r="J332" s="298"/>
      <c r="K332" s="241">
        <f>IF(canthorincmed*188.666667&gt;5660,5660,canthorincmed*188.666667)</f>
        <v>5660</v>
      </c>
      <c r="L332" s="468"/>
      <c r="M332" s="298"/>
      <c r="N332" s="241">
        <f>IF(canthorincmed*188.666667&gt;5660,5660,canthorincmed*188.666667)</f>
        <v>5660</v>
      </c>
      <c r="O332" s="468"/>
      <c r="P332" s="298"/>
      <c r="Q332" s="241">
        <f>IF(canthorincmed*161.33333&gt;4840,4840,canthorincmed*161.33333)</f>
        <v>4840</v>
      </c>
      <c r="R332" s="468"/>
      <c r="S332" s="298"/>
      <c r="T332" s="241">
        <f>IF(canthorincmed*161.33333&gt;4840,4840,canthorincmed*161.33333)</f>
        <v>4840</v>
      </c>
      <c r="U332" s="468"/>
      <c r="V332" s="298"/>
      <c r="W332" s="241">
        <f>IF(canthorincmed*161.33333&gt;4840,4840,canthorincmed*161.33333)</f>
        <v>4840</v>
      </c>
      <c r="X332" s="468"/>
      <c r="Y332" s="298"/>
      <c r="Z332" s="241">
        <f>IF(canthorincmed*80.6666&gt;2420,2420,canthorincmed*80.6666)</f>
        <v>2420</v>
      </c>
      <c r="AA332" s="468"/>
      <c r="AB332" s="298"/>
      <c r="AC332" s="241">
        <f>IF(canthorincmed*80.6666&gt;2420,2420,canthorincmed*80.6666)</f>
        <v>2420</v>
      </c>
      <c r="AD332" s="468"/>
      <c r="AE332" s="320"/>
      <c r="AF332" s="243"/>
      <c r="AG332" s="13"/>
      <c r="AH332" s="24"/>
      <c r="AI332" s="243"/>
      <c r="AJ332" s="13"/>
      <c r="AK332" s="24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</row>
    <row r="333" spans="1:49" hidden="1">
      <c r="A333" s="13"/>
      <c r="B333" s="665">
        <v>113</v>
      </c>
      <c r="C333" s="663"/>
      <c r="D333" s="666" t="s">
        <v>147</v>
      </c>
      <c r="E333" s="667" t="s">
        <v>151</v>
      </c>
      <c r="F333" s="647"/>
      <c r="G333" s="746"/>
      <c r="H333" s="667" t="s">
        <v>151</v>
      </c>
      <c r="I333" s="647"/>
      <c r="J333" s="298"/>
      <c r="K333" s="469" t="s">
        <v>151</v>
      </c>
      <c r="L333" s="458"/>
      <c r="M333" s="298"/>
      <c r="N333" s="469" t="s">
        <v>151</v>
      </c>
      <c r="O333" s="458"/>
      <c r="P333" s="298"/>
      <c r="Q333" s="469" t="s">
        <v>151</v>
      </c>
      <c r="R333" s="458"/>
      <c r="S333" s="298"/>
      <c r="T333" s="469" t="s">
        <v>151</v>
      </c>
      <c r="U333" s="458"/>
      <c r="V333" s="298"/>
      <c r="W333" s="469" t="s">
        <v>151</v>
      </c>
      <c r="X333" s="458"/>
      <c r="Y333" s="298"/>
      <c r="Z333" s="469">
        <f>IF(canthorincmed*80.6666&gt;2420,2420,canthorincmed*80.6666)</f>
        <v>2420</v>
      </c>
      <c r="AA333" s="458"/>
      <c r="AB333" s="298"/>
      <c r="AC333" s="469">
        <f>IF(canthorincmed*80.6666&gt;2420,2420,canthorincmed*80.6666)</f>
        <v>2420</v>
      </c>
      <c r="AD333" s="458"/>
      <c r="AE333" s="320"/>
      <c r="AF333" s="243"/>
      <c r="AG333" s="13"/>
      <c r="AH333" s="24"/>
      <c r="AI333" s="243"/>
      <c r="AJ333" s="13"/>
      <c r="AK333" s="24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</row>
    <row r="334" spans="1:49" hidden="1">
      <c r="A334" s="13"/>
      <c r="B334" s="643">
        <v>54</v>
      </c>
      <c r="C334" s="663">
        <f>E334/150</f>
        <v>30</v>
      </c>
      <c r="D334" s="645" t="s">
        <v>100</v>
      </c>
      <c r="E334" s="646">
        <f>IF(canthorincmed*150&gt;4500,4500,canthorincmed*150)</f>
        <v>4500</v>
      </c>
      <c r="F334" s="647"/>
      <c r="G334" s="742"/>
      <c r="H334" s="646">
        <f>IF(canthorincmed*150&gt;4500,4500,canthorincmed*150)</f>
        <v>4500</v>
      </c>
      <c r="I334" s="647"/>
      <c r="J334" s="260"/>
      <c r="K334" s="241">
        <f>IF(canthorincmed*150&gt;2000,2000,canthorincmed*66.6667)</f>
        <v>2000</v>
      </c>
      <c r="L334" s="458"/>
      <c r="M334" s="260"/>
      <c r="N334" s="241">
        <f>IF(canthorincmed*150&gt;2000,2000,canthorincmed*66.6667)</f>
        <v>2000</v>
      </c>
      <c r="O334" s="458"/>
      <c r="P334" s="260"/>
      <c r="Q334" s="241">
        <f>IF(canthorincmed*47.3333&gt;1420,1420,canthorincmed*47.3333)</f>
        <v>1420</v>
      </c>
      <c r="R334" s="458"/>
      <c r="S334" s="260"/>
      <c r="T334" s="241">
        <f>IF(canthorincmed*47.3333&gt;1420,1420,canthorincmed*47.3333)</f>
        <v>1420</v>
      </c>
      <c r="U334" s="458"/>
      <c r="V334" s="260"/>
      <c r="W334" s="241">
        <f>IF(canthorincmed*47.3333&gt;1420,1420,canthorincmed*47.3333)</f>
        <v>1420</v>
      </c>
      <c r="X334" s="458"/>
      <c r="Y334" s="260"/>
      <c r="Z334" s="241">
        <f>IF(canthorincmed*14&gt;420,420,canthorincmed*14)</f>
        <v>420</v>
      </c>
      <c r="AA334" s="458"/>
      <c r="AB334" s="260"/>
      <c r="AC334" s="241">
        <f>IF(canthorincmed*14&gt;420,420,canthorincmed*14)</f>
        <v>420</v>
      </c>
      <c r="AD334" s="458"/>
      <c r="AE334" s="459"/>
      <c r="AF334" s="243"/>
      <c r="AG334" s="13"/>
      <c r="AH334" s="24"/>
      <c r="AI334" s="243"/>
      <c r="AJ334" s="13"/>
      <c r="AK334" s="24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</row>
    <row r="335" spans="1:49" ht="15" hidden="1">
      <c r="A335" s="13"/>
      <c r="B335" s="661"/>
      <c r="C335" s="645"/>
      <c r="D335" s="645"/>
      <c r="E335" s="668"/>
      <c r="F335" s="647"/>
      <c r="G335" s="742"/>
      <c r="H335" s="668"/>
      <c r="I335" s="647"/>
      <c r="J335" s="298"/>
      <c r="K335" s="470"/>
      <c r="L335" s="458"/>
      <c r="M335" s="298"/>
      <c r="N335" s="470"/>
      <c r="O335" s="458"/>
      <c r="P335" s="298"/>
      <c r="Q335" s="470"/>
      <c r="R335" s="458"/>
      <c r="S335" s="298"/>
      <c r="T335" s="470"/>
      <c r="U335" s="458"/>
      <c r="V335" s="298"/>
      <c r="W335" s="470"/>
      <c r="X335" s="458"/>
      <c r="Y335" s="298"/>
      <c r="Z335" s="470"/>
      <c r="AA335" s="458"/>
      <c r="AB335" s="298"/>
      <c r="AC335" s="470"/>
      <c r="AD335" s="458"/>
      <c r="AE335" s="320"/>
      <c r="AF335" s="300"/>
      <c r="AG335" s="13"/>
      <c r="AH335" s="24"/>
      <c r="AI335" s="300"/>
      <c r="AJ335" s="13"/>
      <c r="AK335" s="24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</row>
    <row r="336" spans="1:49" ht="15" hidden="1">
      <c r="A336" s="13"/>
      <c r="B336" s="661"/>
      <c r="C336" s="645"/>
      <c r="D336" s="645"/>
      <c r="E336" s="668"/>
      <c r="F336" s="647"/>
      <c r="G336" s="742"/>
      <c r="H336" s="668"/>
      <c r="I336" s="647"/>
      <c r="J336" s="298"/>
      <c r="K336" s="470"/>
      <c r="L336" s="458"/>
      <c r="M336" s="298"/>
      <c r="N336" s="470"/>
      <c r="O336" s="458"/>
      <c r="P336" s="298"/>
      <c r="Q336" s="470"/>
      <c r="R336" s="458"/>
      <c r="S336" s="298"/>
      <c r="T336" s="470"/>
      <c r="U336" s="458"/>
      <c r="V336" s="298"/>
      <c r="W336" s="470"/>
      <c r="X336" s="458"/>
      <c r="Y336" s="298"/>
      <c r="Z336" s="470"/>
      <c r="AA336" s="458"/>
      <c r="AB336" s="298"/>
      <c r="AC336" s="470"/>
      <c r="AD336" s="458"/>
      <c r="AE336" s="320"/>
      <c r="AF336" s="300"/>
      <c r="AG336" s="13"/>
      <c r="AH336" s="24"/>
      <c r="AI336" s="300"/>
      <c r="AJ336" s="13"/>
      <c r="AK336" s="24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</row>
    <row r="337" spans="1:49" hidden="1">
      <c r="A337" s="13"/>
      <c r="B337" s="638"/>
      <c r="C337" s="653" t="s">
        <v>148</v>
      </c>
      <c r="D337" s="653"/>
      <c r="E337" s="290">
        <f>SUM(E330:E335)</f>
        <v>144131.76008063206</v>
      </c>
      <c r="F337" s="642"/>
      <c r="G337" s="747"/>
      <c r="H337" s="290">
        <f>SUM(H330:H335)</f>
        <v>136230.28384174401</v>
      </c>
      <c r="I337" s="642"/>
      <c r="J337" s="302"/>
      <c r="K337" s="290">
        <f>SUM(K330:K335)</f>
        <v>127516.13315051323</v>
      </c>
      <c r="L337" s="457"/>
      <c r="M337" s="302"/>
      <c r="N337" s="290">
        <f>SUM(N330:N335)</f>
        <v>118637.90106529</v>
      </c>
      <c r="O337" s="457"/>
      <c r="P337" s="302"/>
      <c r="Q337" s="290">
        <f>SUM(Q330:Q335)</f>
        <v>108359.6689800668</v>
      </c>
      <c r="R337" s="457"/>
      <c r="S337" s="302"/>
      <c r="T337" s="290">
        <f>SUM(T330:T335)</f>
        <v>102144.90652041057</v>
      </c>
      <c r="U337" s="457"/>
      <c r="V337" s="302"/>
      <c r="W337" s="290">
        <f>SUM(W330:W335)</f>
        <v>95042.32085223202</v>
      </c>
      <c r="X337" s="457"/>
      <c r="Y337" s="302"/>
      <c r="Z337" s="290">
        <f>SUM(Z330:Z335)</f>
        <v>94042.32085223202</v>
      </c>
      <c r="AA337" s="457"/>
      <c r="AB337" s="302"/>
      <c r="AC337" s="290">
        <f>SUM(AC330:AC335)</f>
        <v>77809.220939680017</v>
      </c>
      <c r="AD337" s="457"/>
      <c r="AE337" s="329"/>
      <c r="AF337" s="293"/>
      <c r="AG337" s="13"/>
      <c r="AH337" s="13"/>
      <c r="AI337" s="29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</row>
    <row r="338" spans="1:49" ht="20.25" hidden="1">
      <c r="A338" s="13"/>
      <c r="B338" s="643">
        <v>440</v>
      </c>
      <c r="C338" s="669"/>
      <c r="D338" s="645" t="s">
        <v>102</v>
      </c>
      <c r="E338" s="662">
        <f>E278</f>
        <v>0</v>
      </c>
      <c r="F338" s="664">
        <f>-E338</f>
        <v>0</v>
      </c>
      <c r="G338" s="742"/>
      <c r="H338" s="662">
        <f>H278</f>
        <v>0</v>
      </c>
      <c r="I338" s="664">
        <f>-H338</f>
        <v>0</v>
      </c>
      <c r="J338" s="260"/>
      <c r="K338" s="467">
        <v>0</v>
      </c>
      <c r="L338" s="471">
        <f>-K338</f>
        <v>0</v>
      </c>
      <c r="M338" s="260"/>
      <c r="N338" s="467">
        <v>0</v>
      </c>
      <c r="O338" s="471">
        <f>-N338</f>
        <v>0</v>
      </c>
      <c r="P338" s="260"/>
      <c r="Q338" s="467">
        <v>0</v>
      </c>
      <c r="R338" s="471">
        <f>-Q338</f>
        <v>0</v>
      </c>
      <c r="S338" s="260"/>
      <c r="T338" s="467">
        <v>0</v>
      </c>
      <c r="U338" s="471">
        <f>-T338</f>
        <v>0</v>
      </c>
      <c r="V338" s="260"/>
      <c r="W338" s="467">
        <v>0</v>
      </c>
      <c r="X338" s="471">
        <f>-W338</f>
        <v>0</v>
      </c>
      <c r="Y338" s="260"/>
      <c r="Z338" s="467">
        <v>0</v>
      </c>
      <c r="AA338" s="471">
        <f>-Z338</f>
        <v>0</v>
      </c>
      <c r="AB338" s="260"/>
      <c r="AC338" s="467">
        <v>0</v>
      </c>
      <c r="AD338" s="471">
        <f>-AC338</f>
        <v>0</v>
      </c>
      <c r="AE338" s="459"/>
      <c r="AF338" s="300"/>
      <c r="AG338" s="64"/>
      <c r="AH338" s="13"/>
      <c r="AI338" s="300"/>
      <c r="AJ338" s="64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</row>
    <row r="339" spans="1:49" ht="12.75" hidden="1">
      <c r="A339" s="13"/>
      <c r="B339" s="638">
        <v>502</v>
      </c>
      <c r="C339" s="638" t="s">
        <v>30</v>
      </c>
      <c r="D339" s="649" t="s">
        <v>149</v>
      </c>
      <c r="E339" s="641"/>
      <c r="F339" s="670">
        <f>-(E320+E321+E325+E326+E322+E323+E324+F338+E328+E329)*0.16</f>
        <v>-21435.481612901131</v>
      </c>
      <c r="G339" s="743"/>
      <c r="H339" s="641"/>
      <c r="I339" s="670">
        <f>-(H320+H321+H325+H326+H322+H323+H324+I338+H328+H329)*0.16</f>
        <v>-20171.245414679041</v>
      </c>
      <c r="J339" s="312"/>
      <c r="K339" s="248"/>
      <c r="L339" s="472">
        <f>-(K320+K321+K325+K326+K322+K323+K324+L338+K328+K329)*0.16</f>
        <v>-19176.981304082117</v>
      </c>
      <c r="M339" s="312"/>
      <c r="N339" s="248"/>
      <c r="O339" s="472">
        <f>-(N320+N321+N325+N326+N322+N323+N324+O338+N328+N329)*0.16</f>
        <v>-17756.464170446405</v>
      </c>
      <c r="P339" s="312"/>
      <c r="Q339" s="248"/>
      <c r="R339" s="472">
        <f>-(Q320+Q321+Q325+Q326+Q322+Q323+Q324+R338+Q328+Q329)*0.16</f>
        <v>-16335.947036810687</v>
      </c>
      <c r="S339" s="312"/>
      <c r="T339" s="248"/>
      <c r="U339" s="472">
        <f>-(T320+T321+T325+T326+T322+T323+T324+U338+T328+T329)*0.16</f>
        <v>-15341.585043265692</v>
      </c>
      <c r="V339" s="312"/>
      <c r="W339" s="248"/>
      <c r="X339" s="472">
        <f>-(W320+W321+W325+W326+W322+W323+W324+X338+W328+W329)*0.16</f>
        <v>-14205.171336357123</v>
      </c>
      <c r="Y339" s="312"/>
      <c r="Z339" s="248"/>
      <c r="AA339" s="472">
        <f>-(Z320+Z321+Z325+Z326+Z322+Z323+Z324+AA338+Z328+Z329)*0.16</f>
        <v>-14205.171336357123</v>
      </c>
      <c r="AB339" s="312"/>
      <c r="AC339" s="248"/>
      <c r="AD339" s="472">
        <f>-(AC320+AC321+AC325+AC326+AC322+AC323+AC324+AD338+AC328+AC329)*0.16</f>
        <v>-11607.875350348802</v>
      </c>
      <c r="AE339" s="16"/>
      <c r="AF339" s="243"/>
      <c r="AG339" s="13"/>
      <c r="AH339" s="13"/>
      <c r="AI339" s="24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</row>
    <row r="340" spans="1:49" ht="12.75" hidden="1">
      <c r="A340" s="13"/>
      <c r="B340" s="643">
        <v>504</v>
      </c>
      <c r="C340" s="643" t="s">
        <v>105</v>
      </c>
      <c r="D340" s="794" t="s">
        <v>552</v>
      </c>
      <c r="E340" s="647"/>
      <c r="F340" s="664"/>
      <c r="G340" s="742"/>
      <c r="H340" s="647"/>
      <c r="I340" s="664">
        <f>-(H320+H321+H325+H326+H322+H323+H324+I338+H328+H329)*0.006</f>
        <v>-756.42170305046409</v>
      </c>
      <c r="J340" s="298"/>
      <c r="K340" s="458"/>
      <c r="L340" s="468">
        <f>-(K320+K321+K325+K326+K322+K323+K324+L338+K328+K329)*0.006</f>
        <v>-719.13679890307935</v>
      </c>
      <c r="M340" s="298"/>
      <c r="N340" s="458"/>
      <c r="O340" s="468">
        <f>-(N320+N321+N325+N326+N322+N323+N324+O338+N328+N329)*0.006</f>
        <v>-665.86740639174013</v>
      </c>
      <c r="P340" s="298"/>
      <c r="Q340" s="458"/>
      <c r="R340" s="468">
        <f>-(Q320+Q321+Q325+Q326+Q322+Q323+Q324+R338+Q328+Q329)*0.006</f>
        <v>-612.5980138804008</v>
      </c>
      <c r="S340" s="298"/>
      <c r="T340" s="458"/>
      <c r="U340" s="468">
        <f>-(T320+T321+T325+T326+T322+T323+T324+U338+T328+T329)*0.006</f>
        <v>-575.30943912246346</v>
      </c>
      <c r="V340" s="298"/>
      <c r="W340" s="458"/>
      <c r="X340" s="468">
        <f>-(W320+W321+W325+W326+W322+W323+W324+X338+W328+W329)*0.006</f>
        <v>-532.69392511339208</v>
      </c>
      <c r="Y340" s="298"/>
      <c r="Z340" s="458"/>
      <c r="AA340" s="468">
        <f>-(Z320+Z321+Z325+Z326+Z322+Z323+Z324+AA338+Z328+Z329)*0.006</f>
        <v>-532.69392511339208</v>
      </c>
      <c r="AB340" s="298"/>
      <c r="AC340" s="458"/>
      <c r="AD340" s="468">
        <f>-(AC320+AC321+AC325+AC326+AC322+AC323+AC324+AD338+AC328+AC329)*0.006</f>
        <v>-435.2953256380801</v>
      </c>
      <c r="AE340" s="320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</row>
    <row r="341" spans="1:49" ht="12.75" hidden="1">
      <c r="A341" s="13"/>
      <c r="B341" s="638">
        <v>505</v>
      </c>
      <c r="C341" s="650">
        <v>0.03</v>
      </c>
      <c r="D341" s="649" t="s">
        <v>150</v>
      </c>
      <c r="E341" s="641"/>
      <c r="F341" s="670">
        <f>-(E320+E321+E325+E326+E322+E323+E324+F338+E328+E329)*0.03</f>
        <v>-4019.1528024189615</v>
      </c>
      <c r="G341" s="743"/>
      <c r="H341" s="641"/>
      <c r="I341" s="670">
        <f>-(H320+H321+H325+H326+H322+H323+H324+I338+H328+H329)*0.03</f>
        <v>-3782.1085152523201</v>
      </c>
      <c r="J341" s="312"/>
      <c r="K341" s="248"/>
      <c r="L341" s="472">
        <f>-(K320+K321+K325+K326+K322+K323+K324+L338+K328+K329)*0.03</f>
        <v>-3595.6839945153965</v>
      </c>
      <c r="M341" s="312"/>
      <c r="N341" s="248"/>
      <c r="O341" s="472">
        <f>-(N320+N321+N325+N326+N322+N323+N324+O338+N328+N329)*0.03</f>
        <v>-3329.3370319587002</v>
      </c>
      <c r="P341" s="312"/>
      <c r="Q341" s="248"/>
      <c r="R341" s="472">
        <f>-(Q320+Q321+Q325+Q326+Q322+Q323+Q324+R338+Q328+Q329)*0.03</f>
        <v>-3062.9900694020039</v>
      </c>
      <c r="S341" s="312"/>
      <c r="T341" s="248"/>
      <c r="U341" s="472">
        <f>-(T320+T321+T325+T326+T322+T323+T324+U338+T328+T329)*0.03</f>
        <v>-2876.547195612317</v>
      </c>
      <c r="V341" s="312"/>
      <c r="W341" s="248"/>
      <c r="X341" s="472">
        <f>-(W320+W321+W325+W326+W322+W323+W324+X338+W328+W329)*0.03</f>
        <v>-2663.4696255669605</v>
      </c>
      <c r="Y341" s="312"/>
      <c r="Z341" s="248"/>
      <c r="AA341" s="472">
        <f>-(Z320+Z321+Z325+Z326+Z322+Z323+Z324+AA338+Z328+Z329)*0.03</f>
        <v>-2663.4696255669605</v>
      </c>
      <c r="AB341" s="312"/>
      <c r="AC341" s="248"/>
      <c r="AD341" s="472">
        <f>-(AC320+AC321+AC325+AC326+AC322+AC323+AC324+AD338+AC328+AC329)*0.03</f>
        <v>-2176.4766281904003</v>
      </c>
      <c r="AE341" s="16"/>
      <c r="AF341" s="243"/>
      <c r="AG341" s="13"/>
      <c r="AH341" s="13"/>
      <c r="AI341" s="24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</row>
    <row r="342" spans="1:49" hidden="1">
      <c r="A342" s="13"/>
      <c r="B342" s="671">
        <v>332</v>
      </c>
      <c r="C342" s="781">
        <f t="shared" ref="C342:C343" si="155">C282</f>
        <v>0</v>
      </c>
      <c r="D342" s="672" t="s">
        <v>110</v>
      </c>
      <c r="E342" s="646"/>
      <c r="F342" s="664">
        <f>-(E320+E321+E325+E322+E326+E324+E323+E324+F338+E328+E329)*C342</f>
        <v>0</v>
      </c>
      <c r="G342" s="748"/>
      <c r="H342" s="646"/>
      <c r="I342" s="664">
        <f>-(H320+H321+H325+H322+H326+H324+H323+H324+I338+H328+H329)*C342</f>
        <v>0</v>
      </c>
      <c r="J342" s="323"/>
      <c r="K342" s="239"/>
      <c r="L342" s="468">
        <f>-(K320+K321+K325+K322+K326+K324+K323+K324+L338+K328+K329)*I342</f>
        <v>0</v>
      </c>
      <c r="M342" s="323"/>
      <c r="N342" s="239"/>
      <c r="O342" s="468">
        <f>-(N320+N321+N325+N322+N326+N324+N323+N324+O338+N328+N329)*L342</f>
        <v>0</v>
      </c>
      <c r="P342" s="323"/>
      <c r="Q342" s="239"/>
      <c r="R342" s="468">
        <f>-(Q320+Q321+Q325+Q322+Q326+Q324+Q323+Q324+R338+Q328+Q329)*O342</f>
        <v>0</v>
      </c>
      <c r="S342" s="323"/>
      <c r="T342" s="239"/>
      <c r="U342" s="468">
        <f>-(T320+T321+T325+T322+T326+T324+T323+T324+U338+T328+T329)*C342</f>
        <v>0</v>
      </c>
      <c r="V342" s="323"/>
      <c r="W342" s="239"/>
      <c r="X342" s="468">
        <f>-(W320+W321+W325+W322+W326+W324+W323+W324+X338+W328+W329)*C342</f>
        <v>0</v>
      </c>
      <c r="Y342" s="323"/>
      <c r="Z342" s="239"/>
      <c r="AA342" s="468">
        <f>-(Z320+Z321+Z325+Z322+Z326+Z324+Z323+Z324+AA338+Z328+Z329)*C342</f>
        <v>0</v>
      </c>
      <c r="AB342" s="323"/>
      <c r="AC342" s="239"/>
      <c r="AD342" s="468">
        <f>-(AC320+AC321+AC325+AC322+AC326+AC324+AC323+AC324+AD338+AC328+AC329)*C342</f>
        <v>0</v>
      </c>
      <c r="AE342" s="324"/>
      <c r="AF342" s="243"/>
      <c r="AG342" s="13"/>
      <c r="AH342" s="13"/>
      <c r="AI342" s="24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</row>
    <row r="343" spans="1:49" hidden="1">
      <c r="A343" s="13"/>
      <c r="B343" s="673" t="s">
        <v>111</v>
      </c>
      <c r="C343" s="781">
        <f t="shared" si="155"/>
        <v>0</v>
      </c>
      <c r="D343" s="640"/>
      <c r="E343" s="642"/>
      <c r="F343" s="670">
        <f>-(E320+E321+E325+E326+E322+E323+E324+F338+E328)*C343</f>
        <v>0</v>
      </c>
      <c r="G343" s="741"/>
      <c r="H343" s="642"/>
      <c r="I343" s="670">
        <f>-(H320+H321+H325+H326+H322+H323+H324+I338+H328)*C343</f>
        <v>0</v>
      </c>
      <c r="J343" s="298"/>
      <c r="K343" s="457"/>
      <c r="L343" s="472">
        <f>-(K320+K321+K325+K326+K322+K323+K324+L338+K328)*I343</f>
        <v>0</v>
      </c>
      <c r="M343" s="298"/>
      <c r="N343" s="457"/>
      <c r="O343" s="472">
        <f>-(N320+N321+N325+N326+N322+N323+N324+O338+N328)*L343</f>
        <v>0</v>
      </c>
      <c r="P343" s="298"/>
      <c r="Q343" s="457"/>
      <c r="R343" s="472">
        <f>-(Q320+Q321+Q325+Q326+Q322+Q323+Q324+R338+Q328)*O343</f>
        <v>0</v>
      </c>
      <c r="S343" s="298"/>
      <c r="T343" s="457"/>
      <c r="U343" s="472">
        <f>-(T320+T321+T325+T326+T322+T323+T324+U338+T328)*C343</f>
        <v>0</v>
      </c>
      <c r="V343" s="298"/>
      <c r="W343" s="457"/>
      <c r="X343" s="472">
        <f>-(W320+W321+W325+W326+W322+W323+W324+X338+W328)*C343</f>
        <v>0</v>
      </c>
      <c r="Y343" s="298"/>
      <c r="Z343" s="457"/>
      <c r="AA343" s="472">
        <f>-(Z320+Z321+Z325+Z326+Z322+Z323+Z324+AA338+Z328)*C343</f>
        <v>0</v>
      </c>
      <c r="AB343" s="298"/>
      <c r="AC343" s="457"/>
      <c r="AD343" s="472">
        <f>-(AC320+AC321+AC325+AC326+AC322+AC323+AC324+AD338+AC328)*C343</f>
        <v>0</v>
      </c>
      <c r="AE343" s="320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</row>
    <row r="344" spans="1:49" hidden="1">
      <c r="A344" s="13"/>
      <c r="B344" s="669"/>
      <c r="C344" s="669"/>
      <c r="D344" s="674" t="s">
        <v>112</v>
      </c>
      <c r="E344" s="675"/>
      <c r="F344" s="676">
        <f>SUM(F339:F343)</f>
        <v>-25454.634415320092</v>
      </c>
      <c r="G344" s="749"/>
      <c r="H344" s="675"/>
      <c r="I344" s="676">
        <f>SUM(I339:I343)</f>
        <v>-24709.775632981822</v>
      </c>
      <c r="J344" s="302"/>
      <c r="K344" s="474"/>
      <c r="L344" s="475">
        <f>SUM(L339:L343)</f>
        <v>-23491.802097500593</v>
      </c>
      <c r="M344" s="302"/>
      <c r="N344" s="474"/>
      <c r="O344" s="475">
        <f>SUM(O339:O343)</f>
        <v>-21751.668608796845</v>
      </c>
      <c r="P344" s="302"/>
      <c r="Q344" s="474"/>
      <c r="R344" s="475">
        <f>SUM(R339:R343)</f>
        <v>-20011.535120093093</v>
      </c>
      <c r="S344" s="302"/>
      <c r="T344" s="474"/>
      <c r="U344" s="475">
        <f>SUM(U339:U343)</f>
        <v>-18793.441678000472</v>
      </c>
      <c r="V344" s="302"/>
      <c r="W344" s="474"/>
      <c r="X344" s="475">
        <f>SUM(X339:X343)</f>
        <v>-17401.334887037476</v>
      </c>
      <c r="Y344" s="302"/>
      <c r="Z344" s="474"/>
      <c r="AA344" s="475">
        <f>SUM(AA339:AA343)</f>
        <v>-17401.334887037476</v>
      </c>
      <c r="AB344" s="302"/>
      <c r="AC344" s="474"/>
      <c r="AD344" s="475">
        <f>SUM(AD339:AD343)</f>
        <v>-14219.647304177284</v>
      </c>
      <c r="AE344" s="329"/>
      <c r="AF344" s="32"/>
      <c r="AG344" s="32"/>
      <c r="AH344" s="13"/>
      <c r="AI344" s="32"/>
      <c r="AJ344" s="32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</row>
    <row r="345" spans="1:49" ht="12.75" hidden="1">
      <c r="A345" s="13"/>
      <c r="B345" s="643"/>
      <c r="C345" s="645"/>
      <c r="D345" s="645"/>
      <c r="E345" s="647"/>
      <c r="F345" s="647"/>
      <c r="G345" s="742"/>
      <c r="H345" s="647"/>
      <c r="I345" s="647"/>
      <c r="J345" s="637"/>
      <c r="K345" s="476"/>
      <c r="L345" s="369"/>
      <c r="M345" s="477"/>
      <c r="N345" s="476"/>
      <c r="O345" s="369"/>
      <c r="P345" s="477"/>
      <c r="Q345" s="476"/>
      <c r="R345" s="369"/>
      <c r="S345" s="477"/>
      <c r="T345" s="476"/>
      <c r="U345" s="369"/>
      <c r="V345" s="477"/>
      <c r="W345" s="476"/>
      <c r="X345" s="369"/>
      <c r="Y345" s="477"/>
      <c r="Z345" s="476"/>
      <c r="AA345" s="369"/>
      <c r="AB345" s="477"/>
      <c r="AC345" s="476"/>
      <c r="AD345" s="369"/>
      <c r="AE345" s="478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</row>
    <row r="346" spans="1:49" ht="23.25" hidden="1">
      <c r="A346" s="13"/>
      <c r="B346" s="643"/>
      <c r="C346" s="645"/>
      <c r="D346" s="674"/>
      <c r="E346" s="677" t="s">
        <v>115</v>
      </c>
      <c r="F346" s="720">
        <f>E337+F344</f>
        <v>118677.12566531196</v>
      </c>
      <c r="G346" s="749"/>
      <c r="H346" s="677" t="s">
        <v>115</v>
      </c>
      <c r="I346" s="720">
        <f>H337+I344</f>
        <v>111520.50820876218</v>
      </c>
      <c r="J346" s="355"/>
      <c r="K346" s="479" t="s">
        <v>115</v>
      </c>
      <c r="L346" s="721">
        <f>K337+L344</f>
        <v>104024.33105301263</v>
      </c>
      <c r="M346" s="355"/>
      <c r="N346" s="479" t="s">
        <v>115</v>
      </c>
      <c r="O346" s="721">
        <f>N337+O344</f>
        <v>96886.232456493162</v>
      </c>
      <c r="P346" s="355"/>
      <c r="Q346" s="479" t="s">
        <v>115</v>
      </c>
      <c r="R346" s="721">
        <f>Q337+R344</f>
        <v>88348.133859973706</v>
      </c>
      <c r="S346" s="355"/>
      <c r="T346" s="479" t="s">
        <v>115</v>
      </c>
      <c r="U346" s="721">
        <f>T337+U344</f>
        <v>83351.464842410103</v>
      </c>
      <c r="V346" s="355"/>
      <c r="W346" s="479" t="s">
        <v>115</v>
      </c>
      <c r="X346" s="721">
        <f>W337+X344</f>
        <v>77640.985965194544</v>
      </c>
      <c r="Y346" s="355"/>
      <c r="Z346" s="479" t="s">
        <v>115</v>
      </c>
      <c r="AA346" s="721">
        <f>Z337+AA344</f>
        <v>76640.985965194544</v>
      </c>
      <c r="AB346" s="355"/>
      <c r="AC346" s="479" t="s">
        <v>115</v>
      </c>
      <c r="AD346" s="721">
        <f>AC337+AD344</f>
        <v>63589.573635502733</v>
      </c>
      <c r="AE346" s="337"/>
      <c r="AF346" s="31"/>
      <c r="AG346" s="480"/>
      <c r="AH346" s="13"/>
      <c r="AI346" s="31"/>
      <c r="AJ346" s="480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</row>
    <row r="347" spans="1:49" ht="23.25" hidden="1">
      <c r="A347" s="13"/>
      <c r="B347" s="643"/>
      <c r="C347" s="645"/>
      <c r="D347" s="674"/>
      <c r="E347" s="674"/>
      <c r="F347" s="678"/>
      <c r="G347" s="749"/>
      <c r="H347" s="674"/>
      <c r="I347" s="678"/>
      <c r="J347" s="337"/>
      <c r="K347" s="31"/>
      <c r="L347" s="480"/>
      <c r="M347" s="337"/>
      <c r="N347" s="31"/>
      <c r="O347" s="480"/>
      <c r="P347" s="337"/>
      <c r="Q347" s="31"/>
      <c r="R347" s="480"/>
      <c r="S347" s="337"/>
      <c r="T347" s="31"/>
      <c r="U347" s="480"/>
      <c r="V347" s="337"/>
      <c r="W347" s="31"/>
      <c r="X347" s="480"/>
      <c r="Y347" s="337"/>
      <c r="Z347" s="31"/>
      <c r="AA347" s="480"/>
      <c r="AB347" s="337"/>
      <c r="AC347" s="31"/>
      <c r="AD347" s="480"/>
      <c r="AE347" s="337"/>
      <c r="AF347" s="31"/>
      <c r="AG347" s="480"/>
      <c r="AH347" s="13"/>
      <c r="AI347" s="31"/>
      <c r="AJ347" s="480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</row>
    <row r="348" spans="1:49" ht="18" hidden="1">
      <c r="A348" s="13"/>
      <c r="B348" s="671"/>
      <c r="C348" s="674"/>
      <c r="D348" s="679"/>
      <c r="E348" s="680" t="s">
        <v>120</v>
      </c>
      <c r="F348" s="681">
        <f>F346-I346</f>
        <v>7156.6174565497786</v>
      </c>
      <c r="G348" s="750"/>
      <c r="H348" s="680" t="s">
        <v>120</v>
      </c>
      <c r="I348" s="681">
        <f>I346-L346</f>
        <v>7496.1771557495522</v>
      </c>
      <c r="J348" s="452"/>
      <c r="K348" s="340" t="s">
        <v>120</v>
      </c>
      <c r="L348" s="341">
        <f>L346-O346</f>
        <v>7138.0985965194704</v>
      </c>
      <c r="M348" s="452"/>
      <c r="N348" s="340" t="s">
        <v>120</v>
      </c>
      <c r="O348" s="341">
        <f>O346-R346</f>
        <v>8538.0985965194559</v>
      </c>
      <c r="P348" s="337"/>
      <c r="Q348" s="340" t="s">
        <v>120</v>
      </c>
      <c r="R348" s="341">
        <f>R346-U346</f>
        <v>4996.6690175636031</v>
      </c>
      <c r="S348" s="337"/>
      <c r="T348" s="340" t="s">
        <v>120</v>
      </c>
      <c r="U348" s="341">
        <f>U346-X346</f>
        <v>5710.4788772155589</v>
      </c>
      <c r="V348" s="452"/>
      <c r="W348" s="340" t="s">
        <v>120</v>
      </c>
      <c r="X348" s="341">
        <f>X346-AA346</f>
        <v>1000</v>
      </c>
      <c r="Y348" s="337"/>
      <c r="Z348" s="340" t="s">
        <v>120</v>
      </c>
      <c r="AA348" s="341">
        <f>AA346-AD346</f>
        <v>13051.412329691811</v>
      </c>
      <c r="AB348" s="452"/>
      <c r="AC348" s="35"/>
      <c r="AD348" s="349"/>
      <c r="AE348" s="452"/>
      <c r="AF348" s="35"/>
      <c r="AG348" s="349"/>
      <c r="AH348" s="481"/>
      <c r="AI348" s="35"/>
      <c r="AJ348" s="349"/>
      <c r="AK348" s="481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</row>
    <row r="349" spans="1:49" ht="18" hidden="1">
      <c r="A349" s="13"/>
      <c r="B349" s="671"/>
      <c r="C349" s="674"/>
      <c r="D349" s="679"/>
      <c r="E349" s="680" t="s">
        <v>121</v>
      </c>
      <c r="F349" s="682">
        <f>F348/I346</f>
        <v>6.4173106556803527E-2</v>
      </c>
      <c r="G349" s="750"/>
      <c r="H349" s="680" t="s">
        <v>121</v>
      </c>
      <c r="I349" s="682">
        <f>I348/L346</f>
        <v>7.2061767471778962E-2</v>
      </c>
      <c r="J349" s="452"/>
      <c r="K349" s="340" t="s">
        <v>121</v>
      </c>
      <c r="L349" s="346">
        <f>L348/O346</f>
        <v>7.3675055944866466E-2</v>
      </c>
      <c r="M349" s="452"/>
      <c r="N349" s="340" t="s">
        <v>121</v>
      </c>
      <c r="O349" s="346">
        <f>O348/R346</f>
        <v>9.6641527370026972E-2</v>
      </c>
      <c r="P349" s="131"/>
      <c r="Q349" s="340" t="s">
        <v>121</v>
      </c>
      <c r="R349" s="346">
        <f>R348/U346</f>
        <v>5.9946985059118545E-2</v>
      </c>
      <c r="S349" s="131"/>
      <c r="T349" s="340" t="s">
        <v>121</v>
      </c>
      <c r="U349" s="346">
        <f>U348/X346</f>
        <v>7.3549798553247295E-2</v>
      </c>
      <c r="V349" s="452"/>
      <c r="W349" s="340" t="s">
        <v>121</v>
      </c>
      <c r="X349" s="346">
        <f>X348/AA346</f>
        <v>1.3047848842317038E-2</v>
      </c>
      <c r="Y349" s="131"/>
      <c r="Z349" s="340" t="s">
        <v>121</v>
      </c>
      <c r="AA349" s="346">
        <f>AA348/AD346</f>
        <v>0.20524453276731941</v>
      </c>
      <c r="AB349" s="452"/>
      <c r="AC349" s="35"/>
      <c r="AD349" s="349"/>
      <c r="AE349" s="452"/>
      <c r="AF349" s="35"/>
      <c r="AG349" s="349"/>
      <c r="AH349" s="481"/>
      <c r="AI349" s="35"/>
      <c r="AJ349" s="349"/>
      <c r="AK349" s="481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</row>
    <row r="350" spans="1:49" ht="18" hidden="1">
      <c r="A350" s="13"/>
      <c r="B350" s="671"/>
      <c r="C350" s="674"/>
      <c r="D350" s="679"/>
      <c r="E350" s="645"/>
      <c r="F350" s="645"/>
      <c r="G350" s="750"/>
      <c r="H350" s="645"/>
      <c r="I350" s="645"/>
      <c r="J350" s="452"/>
      <c r="K350" s="13"/>
      <c r="L350" s="13"/>
      <c r="M350" s="452"/>
      <c r="N350" s="13"/>
      <c r="O350" s="13"/>
      <c r="P350" s="337"/>
      <c r="Q350" s="13"/>
      <c r="R350" s="13"/>
      <c r="S350" s="337"/>
      <c r="T350" s="13"/>
      <c r="U350" s="13"/>
      <c r="V350" s="452"/>
      <c r="W350" s="35"/>
      <c r="X350" s="349"/>
      <c r="Y350" s="337"/>
      <c r="Z350" s="35"/>
      <c r="AA350" s="349"/>
      <c r="AB350" s="452"/>
      <c r="AC350" s="35"/>
      <c r="AD350" s="349"/>
      <c r="AE350" s="452"/>
      <c r="AF350" s="35"/>
      <c r="AG350" s="349"/>
      <c r="AH350" s="481"/>
      <c r="AI350" s="35"/>
      <c r="AJ350" s="349"/>
      <c r="AK350" s="481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</row>
    <row r="351" spans="1:49" ht="18" hidden="1">
      <c r="A351" s="13"/>
      <c r="B351" s="671"/>
      <c r="C351" s="674"/>
      <c r="D351" s="679"/>
      <c r="E351" s="905" t="s">
        <v>555</v>
      </c>
      <c r="F351" s="684">
        <f>F346-AA346</f>
        <v>42036.139700117419</v>
      </c>
      <c r="G351" s="750"/>
      <c r="H351" s="905" t="s">
        <v>555</v>
      </c>
      <c r="I351" s="684">
        <f>I346-AA346</f>
        <v>34879.522243567641</v>
      </c>
      <c r="J351" s="452"/>
      <c r="K351" s="905" t="s">
        <v>555</v>
      </c>
      <c r="L351" s="351">
        <f>L346-AA346</f>
        <v>27383.345087818088</v>
      </c>
      <c r="M351" s="452"/>
      <c r="N351" s="905" t="s">
        <v>555</v>
      </c>
      <c r="O351" s="351">
        <f>O346-AA346</f>
        <v>20245.246491298618</v>
      </c>
      <c r="P351" s="337"/>
      <c r="Q351" s="905" t="s">
        <v>555</v>
      </c>
      <c r="R351" s="351">
        <f>R346-AA346</f>
        <v>11707.147894779162</v>
      </c>
      <c r="S351" s="337"/>
      <c r="T351" s="905" t="s">
        <v>555</v>
      </c>
      <c r="U351" s="351">
        <f>U346-AA346</f>
        <v>6710.4788772155589</v>
      </c>
      <c r="V351" s="452"/>
      <c r="W351" s="905" t="s">
        <v>555</v>
      </c>
      <c r="X351" s="351">
        <f>X346-AA346</f>
        <v>1000</v>
      </c>
      <c r="Y351" s="337"/>
      <c r="Z351" s="905" t="s">
        <v>555</v>
      </c>
      <c r="AA351" s="351">
        <f>AA346-AA346</f>
        <v>0</v>
      </c>
      <c r="AB351" s="452"/>
      <c r="AC351" s="35"/>
      <c r="AD351" s="349"/>
      <c r="AE351" s="452"/>
      <c r="AF351" s="35"/>
      <c r="AG351" s="349"/>
      <c r="AH351" s="481"/>
      <c r="AI351" s="35"/>
      <c r="AJ351" s="349"/>
      <c r="AK351" s="481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</row>
    <row r="352" spans="1:49" ht="18" hidden="1">
      <c r="A352" s="13"/>
      <c r="B352" s="671"/>
      <c r="C352" s="674"/>
      <c r="D352" s="679"/>
      <c r="E352" s="905" t="s">
        <v>556</v>
      </c>
      <c r="F352" s="685">
        <f>F351/AA346</f>
        <v>0.54848119672165441</v>
      </c>
      <c r="G352" s="750"/>
      <c r="H352" s="905" t="s">
        <v>556</v>
      </c>
      <c r="I352" s="685">
        <f>I351/AA346</f>
        <v>0.4551027339263054</v>
      </c>
      <c r="J352" s="452"/>
      <c r="K352" s="905" t="s">
        <v>556</v>
      </c>
      <c r="L352" s="352">
        <f>L351/AA346</f>
        <v>0.3572937475028552</v>
      </c>
      <c r="M352" s="452"/>
      <c r="N352" s="905" t="s">
        <v>556</v>
      </c>
      <c r="O352" s="352">
        <f>O351/AA346</f>
        <v>0.26415691599391378</v>
      </c>
      <c r="P352" s="337"/>
      <c r="Q352" s="905" t="s">
        <v>556</v>
      </c>
      <c r="R352" s="352">
        <f>R351/AA346</f>
        <v>0.15275309610572863</v>
      </c>
      <c r="S352" s="337"/>
      <c r="T352" s="905" t="s">
        <v>556</v>
      </c>
      <c r="U352" s="352">
        <f>U351/AA346</f>
        <v>8.7557314049469967E-2</v>
      </c>
      <c r="V352" s="452"/>
      <c r="W352" s="905" t="s">
        <v>556</v>
      </c>
      <c r="X352" s="352">
        <f>X351/AA346</f>
        <v>1.3047848842317038E-2</v>
      </c>
      <c r="Y352" s="337"/>
      <c r="Z352" s="905" t="s">
        <v>556</v>
      </c>
      <c r="AA352" s="352">
        <f>AA351/AA346</f>
        <v>0</v>
      </c>
      <c r="AB352" s="452"/>
      <c r="AC352" s="35"/>
      <c r="AD352" s="349"/>
      <c r="AE352" s="452"/>
      <c r="AF352" s="35"/>
      <c r="AG352" s="349"/>
      <c r="AH352" s="481"/>
      <c r="AI352" s="35"/>
      <c r="AJ352" s="349"/>
      <c r="AK352" s="481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</row>
    <row r="353" spans="1:49" ht="18" hidden="1">
      <c r="A353" s="13"/>
      <c r="B353" s="671"/>
      <c r="C353" s="674"/>
      <c r="D353" s="679"/>
      <c r="E353" s="645"/>
      <c r="F353" s="645"/>
      <c r="G353" s="750"/>
      <c r="H353" s="645"/>
      <c r="I353" s="645"/>
      <c r="J353" s="452"/>
      <c r="K353" s="13"/>
      <c r="L353" s="13"/>
      <c r="M353" s="452"/>
      <c r="N353" s="13"/>
      <c r="O353" s="13"/>
      <c r="P353" s="337"/>
      <c r="Q353" s="13"/>
      <c r="R353" s="13"/>
      <c r="S353" s="337"/>
      <c r="T353" s="13"/>
      <c r="U353" s="13"/>
      <c r="V353" s="452"/>
      <c r="W353" s="35"/>
      <c r="X353" s="349"/>
      <c r="Y353" s="337"/>
      <c r="Z353" s="35"/>
      <c r="AA353" s="349"/>
      <c r="AB353" s="452"/>
      <c r="AC353" s="35"/>
      <c r="AD353" s="349"/>
      <c r="AE353" s="452"/>
      <c r="AF353" s="35"/>
      <c r="AG353" s="349"/>
      <c r="AH353" s="481"/>
      <c r="AI353" s="35"/>
      <c r="AJ353" s="349"/>
      <c r="AK353" s="481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</row>
    <row r="354" spans="1:49" ht="18" hidden="1">
      <c r="A354" s="13"/>
      <c r="B354" s="671"/>
      <c r="C354" s="674"/>
      <c r="D354" s="679"/>
      <c r="E354" s="683" t="s">
        <v>122</v>
      </c>
      <c r="F354" s="684">
        <f>F346-AD346</f>
        <v>55087.552029809231</v>
      </c>
      <c r="G354" s="750"/>
      <c r="H354" s="683" t="s">
        <v>122</v>
      </c>
      <c r="I354" s="684">
        <f>I346-AD346</f>
        <v>47930.934573259452</v>
      </c>
      <c r="J354" s="452"/>
      <c r="K354" s="350" t="s">
        <v>122</v>
      </c>
      <c r="L354" s="351">
        <f>L346-AD346</f>
        <v>40434.7574175099</v>
      </c>
      <c r="M354" s="452"/>
      <c r="N354" s="350" t="s">
        <v>122</v>
      </c>
      <c r="O354" s="351">
        <f>O346-AD346</f>
        <v>33296.658820990429</v>
      </c>
      <c r="P354" s="337"/>
      <c r="Q354" s="350" t="s">
        <v>122</v>
      </c>
      <c r="R354" s="351">
        <f>R346-AD346</f>
        <v>24758.560224470973</v>
      </c>
      <c r="S354" s="337"/>
      <c r="T354" s="350" t="s">
        <v>122</v>
      </c>
      <c r="U354" s="351">
        <f>U346-AD346</f>
        <v>19761.89120690737</v>
      </c>
      <c r="V354" s="452"/>
      <c r="W354" s="350" t="s">
        <v>122</v>
      </c>
      <c r="X354" s="351">
        <f>X346-AD346</f>
        <v>14051.412329691811</v>
      </c>
      <c r="Y354" s="337"/>
      <c r="Z354" s="350" t="s">
        <v>122</v>
      </c>
      <c r="AA354" s="351">
        <f>AA346-AD346</f>
        <v>13051.412329691811</v>
      </c>
      <c r="AB354" s="452"/>
      <c r="AC354" s="35"/>
      <c r="AD354" s="349"/>
      <c r="AE354" s="452"/>
      <c r="AF354" s="35"/>
      <c r="AG354" s="349"/>
      <c r="AH354" s="481"/>
      <c r="AI354" s="35"/>
      <c r="AJ354" s="349"/>
      <c r="AK354" s="481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</row>
    <row r="355" spans="1:49" ht="18" hidden="1">
      <c r="A355" s="13"/>
      <c r="B355" s="671"/>
      <c r="C355" s="674"/>
      <c r="D355" s="679"/>
      <c r="E355" s="683" t="s">
        <v>123</v>
      </c>
      <c r="F355" s="685">
        <f>F354/AD346</f>
        <v>0.86629849644176993</v>
      </c>
      <c r="G355" s="750"/>
      <c r="H355" s="683" t="s">
        <v>123</v>
      </c>
      <c r="I355" s="685">
        <f>I354/AD346</f>
        <v>0.75375461467945903</v>
      </c>
      <c r="J355" s="452"/>
      <c r="K355" s="350" t="s">
        <v>123</v>
      </c>
      <c r="L355" s="352">
        <f>L354/AD346</f>
        <v>0.63587086853708275</v>
      </c>
      <c r="M355" s="452"/>
      <c r="N355" s="350" t="s">
        <v>123</v>
      </c>
      <c r="O355" s="352">
        <f>O354/AD346</f>
        <v>0.52361821156166</v>
      </c>
      <c r="P355" s="337"/>
      <c r="Q355" s="350" t="s">
        <v>123</v>
      </c>
      <c r="R355" s="352">
        <f>R354/AD346</f>
        <v>0.38934936671202974</v>
      </c>
      <c r="S355" s="337"/>
      <c r="T355" s="350" t="s">
        <v>123</v>
      </c>
      <c r="U355" s="352">
        <f>U354/AD346</f>
        <v>0.3107725068292343</v>
      </c>
      <c r="V355" s="452"/>
      <c r="W355" s="350" t="s">
        <v>123</v>
      </c>
      <c r="X355" s="352">
        <f>X354/AD346</f>
        <v>0.22097038124889642</v>
      </c>
      <c r="Y355" s="337"/>
      <c r="Z355" s="350" t="s">
        <v>123</v>
      </c>
      <c r="AA355" s="352">
        <f>AA354/AD346</f>
        <v>0.20524453276731941</v>
      </c>
      <c r="AB355" s="452"/>
      <c r="AC355" s="35"/>
      <c r="AD355" s="349"/>
      <c r="AE355" s="452"/>
      <c r="AF355" s="35"/>
      <c r="AG355" s="349"/>
      <c r="AH355" s="481"/>
      <c r="AI355" s="35"/>
      <c r="AJ355" s="349"/>
      <c r="AK355" s="481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</row>
    <row r="356" spans="1:49" ht="18" hidden="1">
      <c r="A356" s="13"/>
      <c r="B356" s="671"/>
      <c r="C356" s="674"/>
      <c r="D356" s="679"/>
      <c r="E356" s="659"/>
      <c r="F356" s="686"/>
      <c r="G356" s="750"/>
      <c r="H356" s="659"/>
      <c r="I356" s="686"/>
      <c r="J356" s="452"/>
      <c r="K356" s="35"/>
      <c r="L356" s="349"/>
      <c r="M356" s="452"/>
      <c r="N356" s="35"/>
      <c r="O356" s="349"/>
      <c r="P356" s="452"/>
      <c r="Q356" s="35"/>
      <c r="R356" s="349"/>
      <c r="S356" s="452"/>
      <c r="T356" s="35"/>
      <c r="U356" s="349"/>
      <c r="V356" s="452"/>
      <c r="W356" s="35"/>
      <c r="X356" s="349"/>
      <c r="Y356" s="452"/>
      <c r="Z356" s="35"/>
      <c r="AA356" s="349"/>
      <c r="AB356" s="452"/>
      <c r="AC356" s="35"/>
      <c r="AD356" s="349"/>
      <c r="AE356" s="452"/>
      <c r="AF356" s="35"/>
      <c r="AG356" s="349"/>
      <c r="AH356" s="481"/>
      <c r="AI356" s="35"/>
      <c r="AJ356" s="349"/>
      <c r="AK356" s="481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</row>
    <row r="357" spans="1:49" ht="18" hidden="1">
      <c r="A357" s="13"/>
      <c r="B357" s="671"/>
      <c r="C357" s="674"/>
      <c r="D357" s="679"/>
      <c r="E357" s="674" t="s">
        <v>125</v>
      </c>
      <c r="F357" s="687"/>
      <c r="G357" s="750"/>
      <c r="H357" s="674" t="s">
        <v>125</v>
      </c>
      <c r="I357" s="687"/>
      <c r="J357" s="452"/>
      <c r="K357" s="335" t="s">
        <v>125</v>
      </c>
      <c r="L357" s="293"/>
      <c r="M357" s="452"/>
      <c r="N357" s="335" t="s">
        <v>125</v>
      </c>
      <c r="O357" s="293"/>
      <c r="P357" s="452"/>
      <c r="Q357" s="335" t="s">
        <v>125</v>
      </c>
      <c r="R357" s="293"/>
      <c r="S357" s="452"/>
      <c r="T357" s="335" t="s">
        <v>125</v>
      </c>
      <c r="U357" s="293"/>
      <c r="V357" s="452"/>
      <c r="W357" s="335" t="s">
        <v>125</v>
      </c>
      <c r="X357" s="293"/>
      <c r="Y357" s="452"/>
      <c r="Z357" s="335" t="s">
        <v>125</v>
      </c>
      <c r="AA357" s="293"/>
      <c r="AB357" s="452"/>
      <c r="AC357" s="992" t="s">
        <v>125</v>
      </c>
      <c r="AD357" s="956"/>
      <c r="AE357" s="452"/>
      <c r="AF357" s="35"/>
      <c r="AG357" s="349"/>
      <c r="AH357" s="481"/>
      <c r="AI357" s="35"/>
      <c r="AJ357" s="349"/>
      <c r="AK357" s="481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</row>
    <row r="358" spans="1:49" ht="18" hidden="1">
      <c r="A358" s="13"/>
      <c r="B358" s="671"/>
      <c r="C358" s="674"/>
      <c r="D358" s="679"/>
      <c r="E358" s="669" t="s">
        <v>126</v>
      </c>
      <c r="F358" s="688">
        <f>(E320+E321+E322+E323+E324+E325+E326+E328+E329)*0.5</f>
        <v>66985.880040316028</v>
      </c>
      <c r="G358" s="750"/>
      <c r="H358" s="669" t="s">
        <v>126</v>
      </c>
      <c r="I358" s="688">
        <f>(H320+H321+H322+H323+H324+H325+H326+H328+H329)*0.5</f>
        <v>63035.141920872004</v>
      </c>
      <c r="J358" s="482"/>
      <c r="K358" s="353" t="s">
        <v>126</v>
      </c>
      <c r="L358" s="354">
        <f>(K320+K321+K322+K323+K324+K325+K326+K328+K329)*0.5</f>
        <v>59928.066575256613</v>
      </c>
      <c r="M358" s="482"/>
      <c r="N358" s="353" t="s">
        <v>126</v>
      </c>
      <c r="O358" s="354">
        <f>(N320+N321+N322+N323+N324+N325+N326+N328+N329)*0.5</f>
        <v>55488.950532645002</v>
      </c>
      <c r="P358" s="482"/>
      <c r="Q358" s="353" t="s">
        <v>126</v>
      </c>
      <c r="R358" s="354">
        <f>(Q320+Q321+Q322+Q323+Q324+Q325+Q326+Q328+Q329)*0.5</f>
        <v>51049.834490033398</v>
      </c>
      <c r="S358" s="482"/>
      <c r="T358" s="353" t="s">
        <v>126</v>
      </c>
      <c r="U358" s="354">
        <f>(T320+T321+T322+T323+T324+T325+T326+T328+T329)*0.5</f>
        <v>47942.453260205286</v>
      </c>
      <c r="V358" s="482"/>
      <c r="W358" s="353" t="s">
        <v>126</v>
      </c>
      <c r="X358" s="354">
        <f>(W320+W321+W322+W323+W324+W325+W326+W328+W329)*0.5</f>
        <v>44391.16042611601</v>
      </c>
      <c r="Y358" s="482"/>
      <c r="Z358" s="353" t="s">
        <v>126</v>
      </c>
      <c r="AA358" s="354">
        <f>(Z320+Z321+Z322+Z323+Z324+Z325+Z326+Z328+Z329)*0.5</f>
        <v>44391.16042611601</v>
      </c>
      <c r="AB358" s="482"/>
      <c r="AC358" s="353" t="s">
        <v>126</v>
      </c>
      <c r="AD358" s="354">
        <f>(AC320+AC321+AC322+AC323+AC324+AC325+AC326+AC328+AC329)*0.5</f>
        <v>36274.610469840009</v>
      </c>
      <c r="AE358" s="452"/>
      <c r="AF358" s="35"/>
      <c r="AG358" s="349"/>
      <c r="AH358" s="481"/>
      <c r="AI358" s="35"/>
      <c r="AJ358" s="349"/>
      <c r="AK358" s="481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</row>
    <row r="359" spans="1:49" ht="18" hidden="1">
      <c r="A359" s="13"/>
      <c r="B359" s="671"/>
      <c r="C359" s="674"/>
      <c r="D359" s="679"/>
      <c r="E359" s="669" t="s">
        <v>127</v>
      </c>
      <c r="F359" s="689"/>
      <c r="G359" s="750"/>
      <c r="H359" s="669" t="s">
        <v>127</v>
      </c>
      <c r="I359" s="689"/>
      <c r="J359" s="482"/>
      <c r="K359" s="356" t="s">
        <v>127</v>
      </c>
      <c r="L359" s="357"/>
      <c r="M359" s="482"/>
      <c r="N359" s="356" t="s">
        <v>127</v>
      </c>
      <c r="O359" s="357"/>
      <c r="P359" s="482"/>
      <c r="Q359" s="356" t="s">
        <v>127</v>
      </c>
      <c r="R359" s="357"/>
      <c r="S359" s="482"/>
      <c r="T359" s="356" t="s">
        <v>127</v>
      </c>
      <c r="U359" s="357"/>
      <c r="V359" s="482"/>
      <c r="W359" s="356" t="s">
        <v>127</v>
      </c>
      <c r="X359" s="357"/>
      <c r="Y359" s="482"/>
      <c r="Z359" s="356" t="s">
        <v>127</v>
      </c>
      <c r="AA359" s="357"/>
      <c r="AB359" s="482"/>
      <c r="AC359" s="356" t="s">
        <v>127</v>
      </c>
      <c r="AD359" s="357"/>
      <c r="AE359" s="452"/>
      <c r="AF359" s="35"/>
      <c r="AG359" s="349"/>
      <c r="AH359" s="481"/>
      <c r="AI359" s="35"/>
      <c r="AJ359" s="349"/>
      <c r="AK359" s="481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</row>
    <row r="360" spans="1:49" ht="18" hidden="1">
      <c r="A360" s="13"/>
      <c r="B360" s="671"/>
      <c r="C360" s="674"/>
      <c r="D360" s="679"/>
      <c r="E360" s="645" t="s">
        <v>128</v>
      </c>
      <c r="F360" s="647">
        <f>F358*0.804</f>
        <v>53856.647552414091</v>
      </c>
      <c r="G360" s="750"/>
      <c r="H360" s="645" t="s">
        <v>128</v>
      </c>
      <c r="I360" s="647">
        <f>I358*0.804</f>
        <v>50680.254104381092</v>
      </c>
      <c r="J360" s="482"/>
      <c r="K360" s="358" t="s">
        <v>128</v>
      </c>
      <c r="L360" s="359">
        <f>L358*0.804</f>
        <v>48182.165526506316</v>
      </c>
      <c r="M360" s="482"/>
      <c r="N360" s="358" t="s">
        <v>128</v>
      </c>
      <c r="O360" s="359">
        <f>O358*0.804</f>
        <v>44613.116228246581</v>
      </c>
      <c r="P360" s="482"/>
      <c r="Q360" s="358" t="s">
        <v>128</v>
      </c>
      <c r="R360" s="359">
        <f>R358*0.804</f>
        <v>41044.066929986853</v>
      </c>
      <c r="S360" s="482"/>
      <c r="T360" s="358" t="s">
        <v>128</v>
      </c>
      <c r="U360" s="359">
        <f>U358*0.804</f>
        <v>38545.732421205052</v>
      </c>
      <c r="V360" s="482"/>
      <c r="W360" s="358" t="s">
        <v>128</v>
      </c>
      <c r="X360" s="359">
        <f>X358*0.804</f>
        <v>35690.492982597272</v>
      </c>
      <c r="Y360" s="482"/>
      <c r="Z360" s="358" t="s">
        <v>128</v>
      </c>
      <c r="AA360" s="359">
        <f>AA358*0.804</f>
        <v>35690.492982597272</v>
      </c>
      <c r="AB360" s="482"/>
      <c r="AC360" s="358" t="s">
        <v>128</v>
      </c>
      <c r="AD360" s="359">
        <f>AD358*0.804</f>
        <v>29164.78681775137</v>
      </c>
      <c r="AE360" s="452"/>
      <c r="AF360" s="35"/>
      <c r="AG360" s="349"/>
      <c r="AH360" s="481"/>
      <c r="AI360" s="35"/>
      <c r="AJ360" s="349"/>
      <c r="AK360" s="481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</row>
    <row r="361" spans="1:49" ht="18" hidden="1">
      <c r="A361" s="13"/>
      <c r="B361" s="671"/>
      <c r="C361" s="674"/>
      <c r="D361" s="679"/>
      <c r="E361" s="669" t="s">
        <v>129</v>
      </c>
      <c r="F361" s="675"/>
      <c r="G361" s="750"/>
      <c r="H361" s="669" t="s">
        <v>129</v>
      </c>
      <c r="I361" s="675"/>
      <c r="J361" s="482"/>
      <c r="K361" s="360" t="s">
        <v>129</v>
      </c>
      <c r="L361" s="360"/>
      <c r="M361" s="482"/>
      <c r="N361" s="360" t="s">
        <v>129</v>
      </c>
      <c r="O361" s="360"/>
      <c r="P361" s="482"/>
      <c r="Q361" s="360" t="s">
        <v>129</v>
      </c>
      <c r="R361" s="360"/>
      <c r="S361" s="482"/>
      <c r="T361" s="360" t="s">
        <v>129</v>
      </c>
      <c r="U361" s="360"/>
      <c r="V361" s="482"/>
      <c r="W361" s="360" t="s">
        <v>129</v>
      </c>
      <c r="X361" s="360"/>
      <c r="Y361" s="482"/>
      <c r="Z361" s="360" t="s">
        <v>129</v>
      </c>
      <c r="AA361" s="360"/>
      <c r="AB361" s="482"/>
      <c r="AC361" s="360" t="s">
        <v>129</v>
      </c>
      <c r="AD361" s="360"/>
      <c r="AE361" s="452"/>
      <c r="AF361" s="35"/>
      <c r="AG361" s="349"/>
      <c r="AH361" s="481"/>
      <c r="AI361" s="35"/>
      <c r="AJ361" s="349"/>
      <c r="AK361" s="481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</row>
    <row r="362" spans="1:49" ht="18" hidden="1">
      <c r="A362" s="13"/>
      <c r="B362" s="671"/>
      <c r="C362" s="674"/>
      <c r="D362" s="679"/>
      <c r="E362" s="661">
        <v>502</v>
      </c>
      <c r="F362" s="690">
        <f>-(E320+E321+E325+E326+E322+E323+E324+F338+E328+E329+F358)*0.16</f>
        <v>-32153.222419351692</v>
      </c>
      <c r="G362" s="750"/>
      <c r="H362" s="661">
        <v>502</v>
      </c>
      <c r="I362" s="690">
        <f>-(H320+H321+H325+H326+H322+H323+H324+I338+H328+H329+I358)*0.16</f>
        <v>-30256.868122018561</v>
      </c>
      <c r="J362" s="482"/>
      <c r="K362" s="361">
        <v>502</v>
      </c>
      <c r="L362" s="362">
        <f>-(K320+K321+K325+K326+K322+K323+K324+L338+K328+K329+L358)*0.16</f>
        <v>-28765.471956123176</v>
      </c>
      <c r="M362" s="482"/>
      <c r="N362" s="361">
        <v>502</v>
      </c>
      <c r="O362" s="362">
        <f>-(N320+N321+N325+N326+N322+N323+N324+O338+N328+N329+O358)*0.16</f>
        <v>-26634.696255669605</v>
      </c>
      <c r="P362" s="482"/>
      <c r="Q362" s="361">
        <v>502</v>
      </c>
      <c r="R362" s="362">
        <f>-(Q320+Q321+Q325+Q326+Q322+Q323+Q324+R338+Q328+Q329+R358)*0.16</f>
        <v>-24503.920555216031</v>
      </c>
      <c r="S362" s="482"/>
      <c r="T362" s="361">
        <v>502</v>
      </c>
      <c r="U362" s="362">
        <f>-(T320+T321+T325+T326+T322+T323+T324+U338+T328+T329+U358)*0.16</f>
        <v>-23012.377564898539</v>
      </c>
      <c r="V362" s="482"/>
      <c r="W362" s="361">
        <v>502</v>
      </c>
      <c r="X362" s="362">
        <f>-(W320+W321+W325+W326+W322+W323+W324+X338+W328+W329+X358)*0.16</f>
        <v>-21307.757004535684</v>
      </c>
      <c r="Y362" s="482"/>
      <c r="Z362" s="361">
        <v>502</v>
      </c>
      <c r="AA362" s="362">
        <f>-(Z320+Z321+Z325+Z326+Z322+Z323+Z324+AA338+Z328+Z329+AA358)*0.16</f>
        <v>-21307.757004535684</v>
      </c>
      <c r="AB362" s="482"/>
      <c r="AC362" s="361">
        <v>502</v>
      </c>
      <c r="AD362" s="362">
        <f>-(AC320+AC321+AC325+AC326+AC322+AC323+AC324+AD338+AC328+AC329+AD358)*0.16</f>
        <v>-17411.813025523206</v>
      </c>
      <c r="AE362" s="452"/>
      <c r="AF362" s="35"/>
      <c r="AG362" s="349"/>
      <c r="AH362" s="481"/>
      <c r="AI362" s="35"/>
      <c r="AJ362" s="349"/>
      <c r="AK362" s="481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</row>
    <row r="363" spans="1:49" ht="18" hidden="1">
      <c r="A363" s="13"/>
      <c r="B363" s="671"/>
      <c r="C363" s="674"/>
      <c r="D363" s="679"/>
      <c r="E363" s="661">
        <v>504</v>
      </c>
      <c r="F363" s="690"/>
      <c r="G363" s="750"/>
      <c r="H363" s="661">
        <v>504</v>
      </c>
      <c r="I363" s="690">
        <f>-(H320+H321+H325+H326+H322+H323+H324+I338+H328+H329+I358)*0.006</f>
        <v>-1134.6325545756961</v>
      </c>
      <c r="J363" s="482"/>
      <c r="K363" s="361">
        <v>504</v>
      </c>
      <c r="L363" s="362">
        <f>-(K320+K321+K325+K326+K322+K323+K324+L338+K328+K329+L358)*0.006</f>
        <v>-1078.7051983546191</v>
      </c>
      <c r="M363" s="482"/>
      <c r="N363" s="361">
        <v>504</v>
      </c>
      <c r="O363" s="362">
        <f>-(N320+N321+N325+N326+N322+N323+N324+O338+N328+N329+O358)*0.006</f>
        <v>-998.80110958761009</v>
      </c>
      <c r="P363" s="482"/>
      <c r="Q363" s="361">
        <v>504</v>
      </c>
      <c r="R363" s="362">
        <f>-(Q320+Q321+Q325+Q326+Q322+Q323+Q324+R338+Q328+Q329+R358)*0.006</f>
        <v>-918.89702082060126</v>
      </c>
      <c r="S363" s="482"/>
      <c r="T363" s="361">
        <v>504</v>
      </c>
      <c r="U363" s="362">
        <f>-(T320+T321+T325+T326+T322+T323+T324+U338+T328+T329+U358)*0.006</f>
        <v>-862.96415868369525</v>
      </c>
      <c r="V363" s="482"/>
      <c r="W363" s="361">
        <v>504</v>
      </c>
      <c r="X363" s="362">
        <f>-(W320+W321+W325+W326+W322+W323+W324+X338+W328+W329+X358)*0.006</f>
        <v>-799.04088767008807</v>
      </c>
      <c r="Y363" s="482"/>
      <c r="Z363" s="361">
        <v>504</v>
      </c>
      <c r="AA363" s="362">
        <f>-(Z320+Z321+Z325+Z326+Z322+Z323+Z324+AA338+Z328+Z329+AA358)*0.006</f>
        <v>-799.04088767008807</v>
      </c>
      <c r="AB363" s="482"/>
      <c r="AC363" s="361">
        <v>504</v>
      </c>
      <c r="AD363" s="362">
        <f>-(AC320+AC321+AC325+AC326+AC322+AC323+AC324+AD338+AC328+AC329+AD358)*0.006</f>
        <v>-652.94298845712024</v>
      </c>
      <c r="AE363" s="452"/>
      <c r="AF363" s="35"/>
      <c r="AG363" s="349"/>
      <c r="AH363" s="481"/>
      <c r="AI363" s="35"/>
      <c r="AJ363" s="349"/>
      <c r="AK363" s="481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</row>
    <row r="364" spans="1:49" ht="18" hidden="1">
      <c r="A364" s="13"/>
      <c r="B364" s="671"/>
      <c r="C364" s="674"/>
      <c r="D364" s="679"/>
      <c r="E364" s="661">
        <v>505</v>
      </c>
      <c r="F364" s="690">
        <f>-(E320+E321+E325+E326+E322+E323+E324+F338+E328+E329+F358)*0.03</f>
        <v>-6028.7292036284425</v>
      </c>
      <c r="G364" s="750"/>
      <c r="H364" s="661">
        <v>505</v>
      </c>
      <c r="I364" s="690">
        <f>-(H320+H321+H325+H326+H322+H323+H324+I338+H328+H329+I358)*0.03</f>
        <v>-5673.1627728784797</v>
      </c>
      <c r="J364" s="482"/>
      <c r="K364" s="361">
        <v>505</v>
      </c>
      <c r="L364" s="362">
        <f>-(K320+K321+K325+K326+K322+K323+K324+L338+K328+K329+L358)*0.03</f>
        <v>-5393.5259917730946</v>
      </c>
      <c r="M364" s="482"/>
      <c r="N364" s="361">
        <v>505</v>
      </c>
      <c r="O364" s="362">
        <f>-(N320+N321+N325+N326+N322+N323+N324+O338+N328+N329+O358)*0.03</f>
        <v>-4994.0055479380508</v>
      </c>
      <c r="P364" s="482"/>
      <c r="Q364" s="361">
        <v>505</v>
      </c>
      <c r="R364" s="362">
        <f>-(Q320+Q321+Q325+Q326+Q322+Q323+Q324+R338+Q328+Q329+R358)*0.03</f>
        <v>-4594.4851041030061</v>
      </c>
      <c r="S364" s="482"/>
      <c r="T364" s="361">
        <v>505</v>
      </c>
      <c r="U364" s="362">
        <f>-(T320+T321+T325+T326+T322+T323+T324+U338+T328+T329+U358)*0.03</f>
        <v>-4314.8207934184757</v>
      </c>
      <c r="V364" s="482"/>
      <c r="W364" s="361">
        <v>505</v>
      </c>
      <c r="X364" s="362">
        <f>-(W320+W321+W325+W326+W322+W323+W324+X338+W328+W329+X358)*0.03</f>
        <v>-3995.2044383504403</v>
      </c>
      <c r="Y364" s="482"/>
      <c r="Z364" s="361">
        <v>505</v>
      </c>
      <c r="AA364" s="362">
        <f>-(Z320+Z321+Z325+Z326+Z322+Z323+Z324+AA338+Z328+Z329+AA358)*0.03</f>
        <v>-3995.2044383504403</v>
      </c>
      <c r="AB364" s="482"/>
      <c r="AC364" s="361">
        <v>505</v>
      </c>
      <c r="AD364" s="362">
        <f>-(AC320+AC321+AC325+AC326+AC322+AC323+AC324+AD338+AC328+AC329+AD358)*0.03</f>
        <v>-3264.714942285601</v>
      </c>
      <c r="AE364" s="452"/>
      <c r="AF364" s="35"/>
      <c r="AG364" s="349"/>
      <c r="AH364" s="481"/>
      <c r="AI364" s="35"/>
      <c r="AJ364" s="349"/>
      <c r="AK364" s="481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</row>
    <row r="365" spans="1:49" ht="18" hidden="1">
      <c r="A365" s="13"/>
      <c r="B365" s="671"/>
      <c r="C365" s="674"/>
      <c r="D365" s="679"/>
      <c r="E365" s="687"/>
      <c r="F365" s="691"/>
      <c r="G365" s="750"/>
      <c r="H365" s="687"/>
      <c r="I365" s="691"/>
      <c r="J365" s="482"/>
      <c r="K365" s="363"/>
      <c r="L365" s="363"/>
      <c r="M365" s="482"/>
      <c r="N365" s="363"/>
      <c r="O365" s="363"/>
      <c r="P365" s="482"/>
      <c r="Q365" s="363"/>
      <c r="R365" s="363"/>
      <c r="S365" s="482"/>
      <c r="T365" s="363"/>
      <c r="U365" s="363"/>
      <c r="V365" s="482"/>
      <c r="W365" s="363"/>
      <c r="X365" s="363"/>
      <c r="Y365" s="482"/>
      <c r="Z365" s="363"/>
      <c r="AA365" s="363"/>
      <c r="AB365" s="482"/>
      <c r="AC365" s="363"/>
      <c r="AD365" s="363"/>
      <c r="AE365" s="452"/>
      <c r="AF365" s="35"/>
      <c r="AG365" s="349"/>
      <c r="AH365" s="481"/>
      <c r="AI365" s="35"/>
      <c r="AJ365" s="349"/>
      <c r="AK365" s="481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</row>
    <row r="366" spans="1:49" ht="18" hidden="1">
      <c r="A366" s="13"/>
      <c r="B366" s="671"/>
      <c r="C366" s="674"/>
      <c r="D366" s="679"/>
      <c r="E366" s="659" t="s">
        <v>130</v>
      </c>
      <c r="F366" s="692"/>
      <c r="G366" s="750"/>
      <c r="H366" s="659" t="s">
        <v>130</v>
      </c>
      <c r="I366" s="692"/>
      <c r="J366" s="482"/>
      <c r="K366" s="364" t="s">
        <v>130</v>
      </c>
      <c r="L366" s="364"/>
      <c r="M366" s="482"/>
      <c r="N366" s="364" t="s">
        <v>130</v>
      </c>
      <c r="O366" s="364"/>
      <c r="P366" s="482"/>
      <c r="Q366" s="364" t="s">
        <v>130</v>
      </c>
      <c r="R366" s="364"/>
      <c r="S366" s="482"/>
      <c r="T366" s="364" t="s">
        <v>130</v>
      </c>
      <c r="U366" s="364"/>
      <c r="V366" s="482"/>
      <c r="W366" s="364" t="s">
        <v>130</v>
      </c>
      <c r="X366" s="364"/>
      <c r="Y366" s="482"/>
      <c r="Z366" s="364" t="s">
        <v>130</v>
      </c>
      <c r="AA366" s="364"/>
      <c r="AB366" s="482"/>
      <c r="AC366" s="364" t="s">
        <v>130</v>
      </c>
      <c r="AD366" s="364"/>
      <c r="AE366" s="452"/>
      <c r="AF366" s="35"/>
      <c r="AG366" s="349"/>
      <c r="AH366" s="481"/>
      <c r="AI366" s="35"/>
      <c r="AJ366" s="349"/>
      <c r="AK366" s="481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</row>
    <row r="367" spans="1:49" ht="18" hidden="1">
      <c r="A367" s="13"/>
      <c r="B367" s="671"/>
      <c r="C367" s="674"/>
      <c r="D367" s="679"/>
      <c r="E367" s="659"/>
      <c r="F367" s="693">
        <f>E337+F358+F359+F362+F363+F364</f>
        <v>172935.68849796796</v>
      </c>
      <c r="G367" s="750"/>
      <c r="H367" s="659"/>
      <c r="I367" s="693">
        <f>H337+I358+I359+I362+I363+I364</f>
        <v>162200.76231314329</v>
      </c>
      <c r="J367" s="482"/>
      <c r="K367" s="366"/>
      <c r="L367" s="367">
        <f>K337+L358+L359+L362+L363+L364</f>
        <v>152206.49657951898</v>
      </c>
      <c r="M367" s="482"/>
      <c r="N367" s="366"/>
      <c r="O367" s="367">
        <f>N337+O358+O359+O362+O363+O364</f>
        <v>141499.34868473976</v>
      </c>
      <c r="P367" s="482"/>
      <c r="Q367" s="366"/>
      <c r="R367" s="367">
        <f>Q337+R358+R359+R362+R363+R364</f>
        <v>129392.20078996055</v>
      </c>
      <c r="S367" s="482"/>
      <c r="T367" s="366"/>
      <c r="U367" s="367">
        <f>T337+U358+U359+U362+U363+U364</f>
        <v>121897.19726361515</v>
      </c>
      <c r="V367" s="482"/>
      <c r="W367" s="366"/>
      <c r="X367" s="367">
        <f>W337+X358+X359+X362+X363+X364</f>
        <v>113331.47894779181</v>
      </c>
      <c r="Y367" s="482"/>
      <c r="Z367" s="366"/>
      <c r="AA367" s="367">
        <f>Z337+AA358+AA359+AA362+AA363+AA364</f>
        <v>112331.47894779181</v>
      </c>
      <c r="AB367" s="482"/>
      <c r="AC367" s="366"/>
      <c r="AD367" s="367">
        <f>AC337+AD358+AD359+AD362+AD363+AD364</f>
        <v>92754.360453254107</v>
      </c>
      <c r="AE367" s="452"/>
      <c r="AF367" s="35"/>
      <c r="AG367" s="349"/>
      <c r="AH367" s="481"/>
      <c r="AI367" s="35"/>
      <c r="AJ367" s="349"/>
      <c r="AK367" s="481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</row>
    <row r="368" spans="1:49" ht="18" hidden="1">
      <c r="A368" s="13"/>
      <c r="B368" s="671"/>
      <c r="C368" s="674"/>
      <c r="D368" s="679"/>
      <c r="E368" s="694" t="s">
        <v>131</v>
      </c>
      <c r="F368" s="695"/>
      <c r="G368" s="750"/>
      <c r="H368" s="694" t="s">
        <v>131</v>
      </c>
      <c r="I368" s="695"/>
      <c r="J368" s="482"/>
      <c r="K368" s="368" t="s">
        <v>131</v>
      </c>
      <c r="L368" s="486"/>
      <c r="M368" s="482"/>
      <c r="N368" s="368" t="s">
        <v>131</v>
      </c>
      <c r="O368" s="486"/>
      <c r="P368" s="482"/>
      <c r="Q368" s="368" t="s">
        <v>131</v>
      </c>
      <c r="R368" s="486"/>
      <c r="S368" s="482"/>
      <c r="T368" s="368" t="s">
        <v>131</v>
      </c>
      <c r="U368" s="486"/>
      <c r="V368" s="482"/>
      <c r="W368" s="368" t="s">
        <v>131</v>
      </c>
      <c r="X368" s="486"/>
      <c r="Y368" s="482"/>
      <c r="Z368" s="487" t="s">
        <v>131</v>
      </c>
      <c r="AA368" s="486"/>
      <c r="AB368" s="482"/>
      <c r="AC368" s="368" t="s">
        <v>131</v>
      </c>
      <c r="AD368" s="486"/>
      <c r="AE368" s="452"/>
      <c r="AF368" s="35"/>
      <c r="AG368" s="349"/>
      <c r="AH368" s="481"/>
      <c r="AI368" s="35"/>
      <c r="AJ368" s="349"/>
      <c r="AK368" s="481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</row>
    <row r="369" spans="1:49" ht="20.25" hidden="1">
      <c r="A369" s="13"/>
      <c r="B369" s="671"/>
      <c r="C369" s="674"/>
      <c r="D369" s="679"/>
      <c r="E369" s="645"/>
      <c r="F369" s="696">
        <f>F367-F346+F342</f>
        <v>54258.562832655996</v>
      </c>
      <c r="G369" s="750"/>
      <c r="H369" s="645"/>
      <c r="I369" s="696">
        <f>I367-I346+I342</f>
        <v>50680.254104381107</v>
      </c>
      <c r="J369" s="482"/>
      <c r="K369" s="369"/>
      <c r="L369" s="488">
        <f>L367-L346+L342</f>
        <v>48182.165526506345</v>
      </c>
      <c r="M369" s="482"/>
      <c r="N369" s="369"/>
      <c r="O369" s="488">
        <f>O367-O346+O342</f>
        <v>44613.116228246596</v>
      </c>
      <c r="P369" s="482"/>
      <c r="Q369" s="369"/>
      <c r="R369" s="488">
        <f>R367-R346+R342</f>
        <v>41044.066929986846</v>
      </c>
      <c r="S369" s="482"/>
      <c r="T369" s="369"/>
      <c r="U369" s="488">
        <f>U367-U346+U342</f>
        <v>38545.732421205044</v>
      </c>
      <c r="V369" s="482"/>
      <c r="W369" s="369"/>
      <c r="X369" s="488">
        <f>X367-X346+X342</f>
        <v>35690.492982597265</v>
      </c>
      <c r="Y369" s="482"/>
      <c r="Z369" s="369"/>
      <c r="AA369" s="488">
        <f>AA367-AA346+AA342</f>
        <v>35690.492982597265</v>
      </c>
      <c r="AB369" s="482"/>
      <c r="AC369" s="369"/>
      <c r="AD369" s="488">
        <f>AD367-AD346+AD342</f>
        <v>29164.786817751374</v>
      </c>
      <c r="AE369" s="452"/>
      <c r="AF369" s="35"/>
      <c r="AG369" s="349"/>
      <c r="AH369" s="481"/>
      <c r="AI369" s="35"/>
      <c r="AJ369" s="349"/>
      <c r="AK369" s="481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</row>
    <row r="370" spans="1:49" ht="18" hidden="1">
      <c r="A370" s="13"/>
      <c r="B370" s="334"/>
      <c r="C370" s="31"/>
      <c r="D370" s="450"/>
      <c r="E370" s="450"/>
      <c r="F370" s="450"/>
      <c r="G370" s="739"/>
      <c r="H370" s="344"/>
      <c r="I370" s="349"/>
      <c r="J370" s="452"/>
      <c r="K370" s="344"/>
      <c r="L370" s="349"/>
      <c r="M370" s="452"/>
      <c r="N370" s="344"/>
      <c r="O370" s="349"/>
      <c r="P370" s="452"/>
      <c r="Q370" s="344"/>
      <c r="R370" s="349"/>
      <c r="S370" s="452"/>
      <c r="T370" s="344"/>
      <c r="U370" s="349"/>
      <c r="V370" s="452"/>
      <c r="W370" s="344"/>
      <c r="X370" s="349"/>
      <c r="Y370" s="452"/>
      <c r="Z370" s="344"/>
      <c r="AA370" s="349"/>
      <c r="AB370" s="452"/>
      <c r="AC370" s="344"/>
      <c r="AD370" s="349"/>
      <c r="AE370" s="452"/>
      <c r="AF370" s="344"/>
      <c r="AG370" s="349"/>
      <c r="AH370" s="481"/>
      <c r="AI370" s="344"/>
      <c r="AJ370" s="349"/>
      <c r="AK370" s="481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</row>
    <row r="371" spans="1:49" s="836" customFormat="1" ht="18" hidden="1">
      <c r="A371" s="827"/>
      <c r="B371" s="827"/>
      <c r="C371" s="827"/>
      <c r="D371" s="827"/>
      <c r="E371" s="806">
        <v>44562</v>
      </c>
      <c r="F371" s="807">
        <v>8.8999999999999996E-2</v>
      </c>
      <c r="G371" s="828"/>
      <c r="H371" s="809">
        <v>44916</v>
      </c>
      <c r="I371" s="810">
        <v>7.0000000000000007E-2</v>
      </c>
      <c r="J371" s="829"/>
      <c r="K371" s="809">
        <v>44855</v>
      </c>
      <c r="L371" s="810">
        <v>0.1</v>
      </c>
      <c r="M371" s="829"/>
      <c r="N371" s="830" t="s">
        <v>0</v>
      </c>
      <c r="O371" s="810">
        <v>0.1</v>
      </c>
      <c r="P371" s="829"/>
      <c r="Q371" s="809">
        <v>44763</v>
      </c>
      <c r="R371" s="810">
        <v>7.0000000000000007E-2</v>
      </c>
      <c r="S371" s="829"/>
      <c r="T371" s="809">
        <v>44702</v>
      </c>
      <c r="U371" s="810">
        <v>0.08</v>
      </c>
      <c r="V371" s="829"/>
      <c r="W371" s="831">
        <v>44641</v>
      </c>
      <c r="X371" s="832"/>
      <c r="Y371" s="829"/>
      <c r="Z371" s="791">
        <v>44228</v>
      </c>
      <c r="AA371" s="833"/>
      <c r="AB371" s="829"/>
      <c r="AC371" s="790">
        <v>43891</v>
      </c>
      <c r="AD371" s="834"/>
      <c r="AE371" s="829"/>
      <c r="AF371" s="808"/>
      <c r="AG371" s="808"/>
      <c r="AH371" s="827"/>
      <c r="AI371" s="835"/>
      <c r="AJ371" s="827"/>
      <c r="AK371" s="827"/>
      <c r="AL371" s="827"/>
      <c r="AM371" s="827"/>
      <c r="AN371" s="827"/>
      <c r="AO371" s="827"/>
      <c r="AP371" s="827"/>
      <c r="AQ371" s="827"/>
      <c r="AR371" s="827"/>
      <c r="AS371" s="827"/>
      <c r="AT371" s="827"/>
      <c r="AU371" s="827"/>
      <c r="AV371" s="827"/>
      <c r="AW371" s="827"/>
    </row>
    <row r="372" spans="1:49" ht="12.75">
      <c r="A372" s="132"/>
      <c r="B372" s="132"/>
      <c r="C372" s="131"/>
      <c r="D372" s="131"/>
      <c r="E372" s="131"/>
      <c r="F372" s="131"/>
      <c r="G372" s="131"/>
      <c r="H372" s="132"/>
      <c r="I372" s="132"/>
      <c r="J372" s="131"/>
      <c r="K372" s="132"/>
      <c r="L372" s="132"/>
      <c r="M372" s="131"/>
      <c r="N372" s="132"/>
      <c r="O372" s="132"/>
      <c r="P372" s="131"/>
      <c r="Q372" s="132"/>
      <c r="R372" s="132"/>
      <c r="S372" s="131"/>
      <c r="T372" s="132"/>
      <c r="U372" s="132"/>
      <c r="V372" s="131"/>
      <c r="W372" s="132"/>
      <c r="X372" s="132"/>
      <c r="Y372" s="131"/>
      <c r="Z372" s="132"/>
      <c r="AA372" s="132"/>
      <c r="AB372" s="131"/>
      <c r="AC372" s="132"/>
      <c r="AD372" s="132"/>
      <c r="AE372" s="131"/>
      <c r="AF372" s="13"/>
      <c r="AG372" s="13"/>
      <c r="AH372" s="13"/>
      <c r="AI372" s="13"/>
      <c r="AJ372" s="13"/>
      <c r="AK372" s="13"/>
      <c r="AL372" s="132"/>
      <c r="AM372" s="132"/>
      <c r="AN372" s="132"/>
      <c r="AO372" s="132"/>
      <c r="AP372" s="132"/>
      <c r="AQ372" s="132"/>
      <c r="AR372" s="132"/>
      <c r="AS372" s="132"/>
      <c r="AT372" s="132"/>
      <c r="AU372" s="132"/>
      <c r="AV372" s="132"/>
      <c r="AW372" s="132"/>
    </row>
    <row r="373" spans="1:49" ht="12.75">
      <c r="A373" s="13"/>
      <c r="B373" s="13"/>
      <c r="C373" s="13"/>
      <c r="D373" s="13"/>
      <c r="E373" s="203"/>
      <c r="F373" s="203"/>
      <c r="G373" s="724"/>
      <c r="H373" s="13"/>
      <c r="I373" s="13"/>
      <c r="J373" s="131"/>
      <c r="K373" s="13"/>
      <c r="L373" s="13"/>
      <c r="M373" s="131"/>
      <c r="N373" s="13"/>
      <c r="O373" s="13"/>
      <c r="P373" s="131"/>
      <c r="Q373" s="13"/>
      <c r="R373" s="13"/>
      <c r="S373" s="131"/>
      <c r="T373" s="13"/>
      <c r="U373" s="13"/>
      <c r="V373" s="131"/>
      <c r="W373" s="13"/>
      <c r="X373" s="13"/>
      <c r="Y373" s="131"/>
      <c r="Z373" s="13"/>
      <c r="AA373" s="13"/>
      <c r="AB373" s="131"/>
      <c r="AC373" s="13"/>
      <c r="AD373" s="13"/>
      <c r="AE373" s="131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</row>
    <row r="374" spans="1:49" ht="26.25">
      <c r="A374" s="13"/>
      <c r="B374" s="13"/>
      <c r="C374" s="110" t="s">
        <v>152</v>
      </c>
      <c r="G374" s="729"/>
      <c r="H374" s="13"/>
      <c r="I374" s="13"/>
      <c r="J374" s="131"/>
      <c r="K374" s="13"/>
      <c r="L374" s="13"/>
      <c r="M374" s="131"/>
      <c r="N374" s="13"/>
      <c r="O374" s="13"/>
      <c r="P374" s="131"/>
      <c r="Q374" s="13"/>
      <c r="R374" s="13"/>
      <c r="S374" s="131"/>
      <c r="T374" s="13"/>
      <c r="U374" s="13"/>
      <c r="V374" s="131"/>
      <c r="W374" s="13"/>
      <c r="X374" s="13"/>
      <c r="Y374" s="131"/>
      <c r="Z374" s="13"/>
      <c r="AA374" s="13"/>
      <c r="AB374" s="131"/>
      <c r="AC374" s="13"/>
      <c r="AD374" s="13"/>
      <c r="AE374" s="131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</row>
    <row r="375" spans="1:49">
      <c r="A375" s="13"/>
      <c r="B375" s="960" t="s">
        <v>133</v>
      </c>
      <c r="C375" s="961"/>
      <c r="D375" s="926">
        <v>36</v>
      </c>
      <c r="E375" s="714"/>
      <c r="F375" s="714"/>
      <c r="G375" s="730"/>
      <c r="H375" s="13"/>
      <c r="I375" s="31"/>
      <c r="J375" s="385"/>
      <c r="K375" s="13"/>
      <c r="L375" s="31"/>
      <c r="M375" s="385"/>
      <c r="N375" s="13"/>
      <c r="O375" s="31"/>
      <c r="P375" s="385"/>
      <c r="Q375" s="13"/>
      <c r="R375" s="31"/>
      <c r="S375" s="385"/>
      <c r="T375" s="13"/>
      <c r="U375" s="31"/>
      <c r="V375" s="385"/>
      <c r="W375" s="13"/>
      <c r="X375" s="31"/>
      <c r="Y375" s="385"/>
      <c r="Z375" s="13"/>
      <c r="AA375" s="31"/>
      <c r="AB375" s="385"/>
      <c r="AC375" s="13"/>
      <c r="AD375" s="31"/>
      <c r="AE375" s="385"/>
      <c r="AF375" s="13"/>
      <c r="AG375" s="31"/>
      <c r="AH375" s="13"/>
      <c r="AI375" s="13"/>
      <c r="AJ375" s="31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</row>
    <row r="376" spans="1:49">
      <c r="A376" s="13"/>
      <c r="B376" s="960" t="s">
        <v>134</v>
      </c>
      <c r="C376" s="961"/>
      <c r="D376" s="927">
        <v>24</v>
      </c>
      <c r="E376" s="714"/>
      <c r="F376" s="714"/>
      <c r="G376" s="730"/>
      <c r="H376" s="13"/>
      <c r="I376" s="31"/>
      <c r="J376" s="385"/>
      <c r="K376" s="13"/>
      <c r="L376" s="31"/>
      <c r="M376" s="385"/>
      <c r="N376" s="13"/>
      <c r="O376" s="31"/>
      <c r="P376" s="385"/>
      <c r="Q376" s="13"/>
      <c r="R376" s="31"/>
      <c r="S376" s="385"/>
      <c r="T376" s="13"/>
      <c r="U376" s="31"/>
      <c r="V376" s="385"/>
      <c r="W376" s="13"/>
      <c r="X376" s="31"/>
      <c r="Y376" s="385"/>
      <c r="Z376" s="13"/>
      <c r="AA376" s="31"/>
      <c r="AB376" s="385"/>
      <c r="AC376" s="13"/>
      <c r="AD376" s="31"/>
      <c r="AE376" s="385"/>
      <c r="AF376" s="13"/>
      <c r="AG376" s="31"/>
      <c r="AH376" s="13"/>
      <c r="AI376" s="13"/>
      <c r="AJ376" s="31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</row>
    <row r="377" spans="1:49" ht="16.5" thickTop="1">
      <c r="A377" s="13"/>
      <c r="B377" s="13"/>
      <c r="C377" s="13"/>
      <c r="D377" s="489">
        <f>LOOKUP(D376,D18:D29,E18:E29)</f>
        <v>1.2</v>
      </c>
      <c r="E377" s="717"/>
      <c r="F377" s="717"/>
      <c r="G377" s="751"/>
      <c r="H377" s="156" t="s">
        <v>69</v>
      </c>
      <c r="I377" s="13"/>
      <c r="J377" s="386"/>
      <c r="K377" s="156" t="s">
        <v>69</v>
      </c>
      <c r="L377" s="13"/>
      <c r="M377" s="386"/>
      <c r="N377" s="156" t="s">
        <v>69</v>
      </c>
      <c r="O377" s="13"/>
      <c r="P377" s="386"/>
      <c r="Q377" s="156" t="s">
        <v>69</v>
      </c>
      <c r="R377" s="13"/>
      <c r="S377" s="386"/>
      <c r="T377" s="156" t="s">
        <v>69</v>
      </c>
      <c r="U377" s="13"/>
      <c r="V377" s="386"/>
      <c r="W377" s="156" t="s">
        <v>69</v>
      </c>
      <c r="X377" s="13"/>
      <c r="Y377" s="386"/>
      <c r="Z377" s="156" t="s">
        <v>69</v>
      </c>
      <c r="AA377" s="13"/>
      <c r="AB377" s="386"/>
      <c r="AC377" s="156" t="s">
        <v>69</v>
      </c>
      <c r="AD377" s="13"/>
      <c r="AE377" s="386"/>
      <c r="AF377" s="387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</row>
    <row r="378" spans="1:49" ht="21" thickBot="1">
      <c r="A378" s="89"/>
      <c r="B378" s="490" t="s">
        <v>135</v>
      </c>
      <c r="C378" s="388"/>
      <c r="D378" s="853"/>
      <c r="E378" s="491"/>
      <c r="F378" s="491"/>
      <c r="G378" s="752"/>
      <c r="H378" s="158">
        <f>I469</f>
        <v>130548.99037376048</v>
      </c>
      <c r="I378" s="492"/>
      <c r="J378" s="386"/>
      <c r="K378" s="158">
        <f>L469</f>
        <v>122114.1040069364</v>
      </c>
      <c r="L378" s="492"/>
      <c r="M378" s="386"/>
      <c r="N378" s="158">
        <f>O469</f>
        <v>113636.02222864481</v>
      </c>
      <c r="O378" s="492"/>
      <c r="P378" s="386"/>
      <c r="Q378" s="158">
        <f>R469</f>
        <v>103757.9404503532</v>
      </c>
      <c r="R378" s="492"/>
      <c r="S378" s="386"/>
      <c r="T378" s="158">
        <f>U469</f>
        <v>97823.283205549116</v>
      </c>
      <c r="U378" s="492"/>
      <c r="V378" s="386"/>
      <c r="W378" s="158">
        <f>X469</f>
        <v>91040.817782915852</v>
      </c>
      <c r="X378" s="492"/>
      <c r="Y378" s="386"/>
      <c r="Z378" s="158">
        <f>AA469</f>
        <v>90040.817782915852</v>
      </c>
      <c r="AA378" s="492"/>
      <c r="AB378" s="386"/>
      <c r="AC378" s="158">
        <f>AD469</f>
        <v>75241.887723961612</v>
      </c>
      <c r="AD378" s="492"/>
      <c r="AE378" s="386"/>
      <c r="AF378" s="390"/>
      <c r="AG378" s="492"/>
      <c r="AH378" s="89"/>
      <c r="AI378" s="89"/>
      <c r="AJ378" s="492"/>
      <c r="AK378" s="89"/>
      <c r="AL378" s="89"/>
      <c r="AM378" s="89"/>
      <c r="AN378" s="89"/>
      <c r="AO378" s="89"/>
      <c r="AP378" s="89"/>
      <c r="AQ378" s="89"/>
      <c r="AR378" s="89"/>
      <c r="AS378" s="89"/>
      <c r="AT378" s="89"/>
      <c r="AU378" s="89"/>
      <c r="AV378" s="89"/>
      <c r="AW378" s="89"/>
    </row>
    <row r="379" spans="1:49" ht="16.5" thickTop="1">
      <c r="A379" s="13"/>
      <c r="B379" s="962" t="s">
        <v>136</v>
      </c>
      <c r="C379" s="956"/>
      <c r="D379" s="933">
        <v>36</v>
      </c>
      <c r="E379" s="718"/>
      <c r="F379" s="718"/>
      <c r="G379" s="753"/>
      <c r="H379" s="13"/>
      <c r="I379" s="31"/>
      <c r="J379" s="385"/>
      <c r="K379" s="13"/>
      <c r="L379" s="31"/>
      <c r="M379" s="385"/>
      <c r="N379" s="13"/>
      <c r="O379" s="31"/>
      <c r="P379" s="385"/>
      <c r="Q379" s="13"/>
      <c r="R379" s="31"/>
      <c r="S379" s="385"/>
      <c r="T379" s="13"/>
      <c r="U379" s="31"/>
      <c r="V379" s="385"/>
      <c r="W379" s="13"/>
      <c r="X379" s="31"/>
      <c r="Y379" s="385"/>
      <c r="Z379" s="13"/>
      <c r="AA379" s="31"/>
      <c r="AB379" s="385"/>
      <c r="AC379" s="13"/>
      <c r="AD379" s="31"/>
      <c r="AE379" s="385"/>
      <c r="AF379" s="13"/>
      <c r="AG379" s="31"/>
      <c r="AH379" s="13"/>
      <c r="AI379" s="13"/>
      <c r="AJ379" s="31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</row>
    <row r="380" spans="1:49">
      <c r="A380" s="13"/>
      <c r="B380" s="962" t="s">
        <v>137</v>
      </c>
      <c r="C380" s="956"/>
      <c r="D380" s="934">
        <v>36</v>
      </c>
      <c r="E380" s="718"/>
      <c r="F380" s="718"/>
      <c r="G380" s="753"/>
      <c r="H380" s="13"/>
      <c r="I380" s="31"/>
      <c r="J380" s="385"/>
      <c r="K380" s="13"/>
      <c r="L380" s="31"/>
      <c r="M380" s="385"/>
      <c r="N380" s="13"/>
      <c r="O380" s="31"/>
      <c r="P380" s="385"/>
      <c r="Q380" s="13"/>
      <c r="R380" s="31"/>
      <c r="S380" s="385"/>
      <c r="T380" s="13"/>
      <c r="U380" s="31"/>
      <c r="V380" s="385"/>
      <c r="W380" s="13"/>
      <c r="X380" s="31"/>
      <c r="Y380" s="385"/>
      <c r="Z380" s="13"/>
      <c r="AA380" s="31"/>
      <c r="AB380" s="385"/>
      <c r="AC380" s="13"/>
      <c r="AD380" s="31"/>
      <c r="AE380" s="385"/>
      <c r="AF380" s="13"/>
      <c r="AG380" s="31"/>
      <c r="AH380" s="13"/>
      <c r="AI380" s="13"/>
      <c r="AJ380" s="31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</row>
    <row r="381" spans="1:49">
      <c r="A381" s="13"/>
      <c r="B381" s="963" t="s">
        <v>70</v>
      </c>
      <c r="C381" s="956"/>
      <c r="D381" s="935">
        <v>0</v>
      </c>
      <c r="E381" s="493"/>
      <c r="F381" s="493"/>
      <c r="G381" s="493"/>
      <c r="H381" s="13"/>
      <c r="I381" s="121"/>
      <c r="J381" s="385"/>
      <c r="K381" s="13"/>
      <c r="L381" s="121"/>
      <c r="M381" s="385"/>
      <c r="N381" s="13"/>
      <c r="O381" s="13"/>
      <c r="P381" s="385"/>
      <c r="Q381" s="13"/>
      <c r="R381" s="13"/>
      <c r="S381" s="385"/>
      <c r="T381" s="13"/>
      <c r="U381" s="13"/>
      <c r="V381" s="385"/>
      <c r="W381" s="13"/>
      <c r="X381" s="13"/>
      <c r="Y381" s="385"/>
      <c r="Z381" s="13"/>
      <c r="AA381" s="13"/>
      <c r="AB381" s="385"/>
      <c r="AC381" s="13"/>
      <c r="AD381" s="13"/>
      <c r="AE381" s="385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</row>
    <row r="382" spans="1:49" ht="26.25">
      <c r="A382" s="13"/>
      <c r="B382" s="964" t="s">
        <v>71</v>
      </c>
      <c r="C382" s="956"/>
      <c r="D382" s="160">
        <f>canthorsup*86.9</f>
        <v>3128.4</v>
      </c>
      <c r="E382" s="160"/>
      <c r="F382" s="160"/>
      <c r="G382" s="754"/>
      <c r="H382" s="13"/>
      <c r="I382" s="161"/>
      <c r="J382" s="397"/>
      <c r="K382" s="13"/>
      <c r="L382" s="161"/>
      <c r="M382" s="397"/>
      <c r="N382" s="13"/>
      <c r="O382" s="161"/>
      <c r="P382" s="397"/>
      <c r="Q382" s="13"/>
      <c r="R382" s="161"/>
      <c r="S382" s="397"/>
      <c r="T382" s="13"/>
      <c r="U382" s="161"/>
      <c r="V382" s="397"/>
      <c r="W382" s="13"/>
      <c r="X382" s="161"/>
      <c r="Y382" s="397"/>
      <c r="Z382" s="13"/>
      <c r="AA382" s="161"/>
      <c r="AB382" s="397"/>
      <c r="AC382" s="13"/>
      <c r="AD382" s="161"/>
      <c r="AE382" s="397"/>
      <c r="AF382" s="13"/>
      <c r="AG382" s="161"/>
      <c r="AH382" s="392"/>
      <c r="AI382" s="13"/>
      <c r="AJ382" s="161"/>
      <c r="AK382" s="392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</row>
    <row r="383" spans="1:49">
      <c r="A383" s="89"/>
      <c r="B383" s="163"/>
      <c r="C383" s="163"/>
      <c r="D383" s="163"/>
      <c r="E383" s="163"/>
      <c r="F383" s="163"/>
      <c r="G383" s="755"/>
      <c r="H383" s="494"/>
      <c r="I383" s="495"/>
      <c r="J383" s="496"/>
      <c r="K383" s="89"/>
      <c r="L383" s="31"/>
      <c r="M383" s="496"/>
      <c r="N383" s="89"/>
      <c r="O383" s="31"/>
      <c r="P383" s="496"/>
      <c r="Q383" s="89"/>
      <c r="R383" s="31"/>
      <c r="S383" s="496"/>
      <c r="T383" s="89"/>
      <c r="U383" s="31"/>
      <c r="V383" s="496"/>
      <c r="W383" s="89"/>
      <c r="X383" s="31"/>
      <c r="Y383" s="496"/>
      <c r="Z383" s="89"/>
      <c r="AA383" s="31"/>
      <c r="AB383" s="496"/>
      <c r="AC383" s="89"/>
      <c r="AD383" s="31"/>
      <c r="AE383" s="496"/>
      <c r="AF383" s="89"/>
      <c r="AG383" s="31"/>
      <c r="AH383" s="492"/>
      <c r="AI383" s="89"/>
      <c r="AJ383" s="31"/>
      <c r="AK383" s="492"/>
      <c r="AL383" s="89"/>
      <c r="AM383" s="89"/>
      <c r="AN383" s="89"/>
      <c r="AO383" s="89"/>
      <c r="AP383" s="89"/>
      <c r="AQ383" s="89"/>
      <c r="AR383" s="89"/>
      <c r="AS383" s="89"/>
      <c r="AT383" s="89"/>
      <c r="AU383" s="89"/>
      <c r="AV383" s="89"/>
      <c r="AW383" s="89"/>
    </row>
    <row r="384" spans="1:49" ht="18">
      <c r="A384" s="167"/>
      <c r="B384" s="497"/>
      <c r="C384" s="498"/>
      <c r="D384" s="499"/>
      <c r="E384" s="806">
        <v>44562</v>
      </c>
      <c r="F384" s="807">
        <v>8.8999999999999996E-2</v>
      </c>
      <c r="G384" s="756"/>
      <c r="H384" s="228">
        <v>44916</v>
      </c>
      <c r="I384" s="229">
        <v>7.0000000000000007E-2</v>
      </c>
      <c r="J384" s="171"/>
      <c r="K384" s="228">
        <v>44855</v>
      </c>
      <c r="L384" s="229">
        <v>0.1</v>
      </c>
      <c r="M384" s="171"/>
      <c r="N384" s="8" t="s">
        <v>0</v>
      </c>
      <c r="O384" s="229">
        <v>0.1</v>
      </c>
      <c r="P384" s="171"/>
      <c r="Q384" s="228">
        <v>44763</v>
      </c>
      <c r="R384" s="229">
        <v>7.0000000000000007E-2</v>
      </c>
      <c r="S384" s="171"/>
      <c r="T384" s="228">
        <v>44702</v>
      </c>
      <c r="U384" s="229">
        <v>0.08</v>
      </c>
      <c r="V384" s="171"/>
      <c r="W384" s="230">
        <v>44641</v>
      </c>
      <c r="X384" s="231"/>
      <c r="Y384" s="171"/>
      <c r="Z384" s="232">
        <v>44228</v>
      </c>
      <c r="AA384" s="233"/>
      <c r="AB384" s="171"/>
      <c r="AC384" s="234">
        <v>43891</v>
      </c>
      <c r="AD384" s="235"/>
      <c r="AE384" s="171"/>
      <c r="AF384" s="31"/>
      <c r="AG384" s="31"/>
      <c r="AH384" s="89"/>
      <c r="AI384" s="176"/>
      <c r="AJ384" s="89"/>
      <c r="AK384" s="89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</row>
    <row r="385" spans="1:49">
      <c r="A385" s="167"/>
      <c r="B385" s="400" t="s">
        <v>73</v>
      </c>
      <c r="C385" s="401" t="s">
        <v>74</v>
      </c>
      <c r="D385" s="402" t="s">
        <v>75</v>
      </c>
      <c r="E385" s="402"/>
      <c r="F385" s="402"/>
      <c r="G385" s="726"/>
      <c r="H385" s="400" t="s">
        <v>76</v>
      </c>
      <c r="I385" s="401" t="s">
        <v>77</v>
      </c>
      <c r="J385" s="403"/>
      <c r="K385" s="400" t="s">
        <v>76</v>
      </c>
      <c r="L385" s="401" t="s">
        <v>77</v>
      </c>
      <c r="M385" s="403"/>
      <c r="N385" s="400" t="s">
        <v>76</v>
      </c>
      <c r="O385" s="401" t="s">
        <v>77</v>
      </c>
      <c r="P385" s="403"/>
      <c r="Q385" s="400" t="s">
        <v>76</v>
      </c>
      <c r="R385" s="401" t="s">
        <v>77</v>
      </c>
      <c r="S385" s="403"/>
      <c r="T385" s="400" t="s">
        <v>76</v>
      </c>
      <c r="U385" s="401" t="s">
        <v>77</v>
      </c>
      <c r="V385" s="403"/>
      <c r="W385" s="400" t="s">
        <v>76</v>
      </c>
      <c r="X385" s="401" t="s">
        <v>77</v>
      </c>
      <c r="Y385" s="403"/>
      <c r="Z385" s="400" t="s">
        <v>76</v>
      </c>
      <c r="AA385" s="401" t="s">
        <v>77</v>
      </c>
      <c r="AB385" s="403"/>
      <c r="AC385" s="400" t="s">
        <v>76</v>
      </c>
      <c r="AD385" s="401" t="s">
        <v>77</v>
      </c>
      <c r="AE385" s="237"/>
      <c r="AF385" s="31"/>
      <c r="AG385" s="31"/>
      <c r="AH385" s="89"/>
      <c r="AI385" s="176"/>
      <c r="AJ385" s="89"/>
      <c r="AK385" s="89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</row>
    <row r="386" spans="1:49">
      <c r="A386" s="167"/>
      <c r="B386" s="409">
        <v>4</v>
      </c>
      <c r="C386" s="500">
        <v>36</v>
      </c>
      <c r="D386" s="411" t="s">
        <v>141</v>
      </c>
      <c r="E386" s="443">
        <f t="shared" ref="C386:E402" si="156">E444</f>
        <v>60336.512280000003</v>
      </c>
      <c r="F386" s="443">
        <f t="shared" ref="F386:F409" si="157">F444</f>
        <v>0</v>
      </c>
      <c r="G386" s="757"/>
      <c r="H386" s="407">
        <f t="shared" ref="H386:H394" si="158">H444</f>
        <v>56777.957280000002</v>
      </c>
      <c r="I386" s="407"/>
      <c r="J386" s="408"/>
      <c r="K386" s="407">
        <f t="shared" ref="K386:K403" si="159">K444</f>
        <v>53978.930874000012</v>
      </c>
      <c r="L386" s="407"/>
      <c r="M386" s="408"/>
      <c r="N386" s="407">
        <f t="shared" ref="N386:N403" si="160">N444</f>
        <v>49980.491550000006</v>
      </c>
      <c r="O386" s="407"/>
      <c r="P386" s="408"/>
      <c r="Q386" s="407">
        <f t="shared" ref="Q386:AC386" si="161">Q444</f>
        <v>45982.052226</v>
      </c>
      <c r="R386" s="407"/>
      <c r="S386" s="408"/>
      <c r="T386" s="407">
        <f t="shared" si="161"/>
        <v>43183.144699200006</v>
      </c>
      <c r="U386" s="407"/>
      <c r="V386" s="408"/>
      <c r="W386" s="407">
        <f t="shared" si="161"/>
        <v>39984.393240000005</v>
      </c>
      <c r="X386" s="407"/>
      <c r="Y386" s="408"/>
      <c r="Z386" s="407">
        <f t="shared" si="161"/>
        <v>39984.393240000005</v>
      </c>
      <c r="AA386" s="407"/>
      <c r="AB386" s="408"/>
      <c r="AC386" s="407">
        <f t="shared" si="161"/>
        <v>34769.037600000003</v>
      </c>
      <c r="AD386" s="407"/>
      <c r="AE386" s="447"/>
      <c r="AF386" s="31"/>
      <c r="AG386" s="31"/>
      <c r="AH386" s="89"/>
      <c r="AI386" s="176"/>
      <c r="AJ386" s="89"/>
      <c r="AK386" s="89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</row>
    <row r="387" spans="1:49">
      <c r="A387" s="167"/>
      <c r="B387" s="404">
        <v>10</v>
      </c>
      <c r="C387" s="416">
        <v>1.2</v>
      </c>
      <c r="D387" s="406" t="s">
        <v>84</v>
      </c>
      <c r="E387" s="782">
        <f t="shared" si="156"/>
        <v>72403.814736</v>
      </c>
      <c r="F387" s="782"/>
      <c r="G387" s="758"/>
      <c r="H387" s="407">
        <f t="shared" si="158"/>
        <v>68133.548735999997</v>
      </c>
      <c r="I387" s="407"/>
      <c r="J387" s="408"/>
      <c r="K387" s="407">
        <f t="shared" si="159"/>
        <v>64774.717048800012</v>
      </c>
      <c r="L387" s="407"/>
      <c r="M387" s="408"/>
      <c r="N387" s="407">
        <f t="shared" si="160"/>
        <v>59976.589860000007</v>
      </c>
      <c r="O387" s="407"/>
      <c r="P387" s="408"/>
      <c r="Q387" s="407">
        <f t="shared" ref="Q387:AC387" si="162">Q445</f>
        <v>55178.462671199995</v>
      </c>
      <c r="R387" s="407"/>
      <c r="S387" s="408"/>
      <c r="T387" s="407">
        <f t="shared" si="162"/>
        <v>51819.773639040002</v>
      </c>
      <c r="U387" s="407"/>
      <c r="V387" s="408"/>
      <c r="W387" s="407">
        <f t="shared" si="162"/>
        <v>47981.271888000003</v>
      </c>
      <c r="X387" s="407"/>
      <c r="Y387" s="408"/>
      <c r="Z387" s="407">
        <f t="shared" si="162"/>
        <v>47981.271888000003</v>
      </c>
      <c r="AA387" s="407"/>
      <c r="AB387" s="408"/>
      <c r="AC387" s="407">
        <f t="shared" si="162"/>
        <v>41722.845120000005</v>
      </c>
      <c r="AD387" s="407"/>
      <c r="AE387" s="447"/>
      <c r="AF387" s="31"/>
      <c r="AG387" s="31"/>
      <c r="AH387" s="89"/>
      <c r="AI387" s="176"/>
      <c r="AJ387" s="89"/>
      <c r="AK387" s="89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</row>
    <row r="388" spans="1:49">
      <c r="A388" s="167"/>
      <c r="B388" s="409">
        <v>6</v>
      </c>
      <c r="C388" s="431">
        <f t="shared" si="156"/>
        <v>17</v>
      </c>
      <c r="D388" s="414" t="s">
        <v>83</v>
      </c>
      <c r="E388" s="783">
        <f t="shared" si="156"/>
        <v>5267.5842999999995</v>
      </c>
      <c r="F388" s="783"/>
      <c r="G388" s="757"/>
      <c r="H388" s="407">
        <f t="shared" si="158"/>
        <v>4957.2696999999998</v>
      </c>
      <c r="I388" s="407"/>
      <c r="J388" s="408"/>
      <c r="K388" s="407">
        <f t="shared" si="159"/>
        <v>4712.89725</v>
      </c>
      <c r="L388" s="407"/>
      <c r="M388" s="408"/>
      <c r="N388" s="407">
        <f t="shared" si="160"/>
        <v>4363.7937499999998</v>
      </c>
      <c r="O388" s="407"/>
      <c r="P388" s="408"/>
      <c r="Q388" s="407">
        <f t="shared" ref="Q388:AC388" si="163">Q446</f>
        <v>4014.6902499999997</v>
      </c>
      <c r="R388" s="407"/>
      <c r="S388" s="408"/>
      <c r="T388" s="407">
        <f t="shared" si="163"/>
        <v>3770.3178000000003</v>
      </c>
      <c r="U388" s="407"/>
      <c r="V388" s="408"/>
      <c r="W388" s="407">
        <f t="shared" si="163"/>
        <v>3491.0349999999999</v>
      </c>
      <c r="X388" s="407"/>
      <c r="Y388" s="408"/>
      <c r="Z388" s="407">
        <f t="shared" si="163"/>
        <v>3491.0349999999999</v>
      </c>
      <c r="AA388" s="407"/>
      <c r="AB388" s="408"/>
      <c r="AC388" s="407">
        <f t="shared" si="163"/>
        <v>3035.52</v>
      </c>
      <c r="AD388" s="407"/>
      <c r="AE388" s="447"/>
      <c r="AF388" s="31"/>
      <c r="AG388" s="31"/>
      <c r="AH388" s="89"/>
      <c r="AI388" s="176"/>
      <c r="AJ388" s="89"/>
      <c r="AK388" s="89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</row>
    <row r="389" spans="1:49">
      <c r="A389" s="167"/>
      <c r="B389" s="404">
        <v>14</v>
      </c>
      <c r="C389" s="416">
        <v>7.0000000000000007E-2</v>
      </c>
      <c r="D389" s="413" t="s">
        <v>142</v>
      </c>
      <c r="E389" s="782">
        <f t="shared" si="156"/>
        <v>368.73090100000002</v>
      </c>
      <c r="F389" s="782"/>
      <c r="G389" s="758"/>
      <c r="H389" s="407">
        <f t="shared" si="158"/>
        <v>347.00887900000004</v>
      </c>
      <c r="I389" s="407"/>
      <c r="J389" s="408"/>
      <c r="K389" s="407">
        <f t="shared" si="159"/>
        <v>329.90280750000005</v>
      </c>
      <c r="L389" s="407"/>
      <c r="M389" s="408"/>
      <c r="N389" s="407">
        <f t="shared" si="160"/>
        <v>305.46556250000003</v>
      </c>
      <c r="O389" s="407"/>
      <c r="P389" s="408"/>
      <c r="Q389" s="407">
        <f t="shared" ref="Q389:AC389" si="164">Q447</f>
        <v>281.02831750000001</v>
      </c>
      <c r="R389" s="407"/>
      <c r="S389" s="408"/>
      <c r="T389" s="407">
        <f t="shared" si="164"/>
        <v>263.92224600000003</v>
      </c>
      <c r="U389" s="407"/>
      <c r="V389" s="408"/>
      <c r="W389" s="407">
        <f t="shared" si="164"/>
        <v>244.37245000000001</v>
      </c>
      <c r="X389" s="407"/>
      <c r="Y389" s="408"/>
      <c r="Z389" s="407">
        <f t="shared" si="164"/>
        <v>244.37245000000001</v>
      </c>
      <c r="AA389" s="407"/>
      <c r="AB389" s="408"/>
      <c r="AC389" s="407">
        <f t="shared" si="164"/>
        <v>212.48640000000003</v>
      </c>
      <c r="AD389" s="407"/>
      <c r="AE389" s="447"/>
      <c r="AF389" s="31"/>
      <c r="AG389" s="31"/>
      <c r="AH389" s="89"/>
      <c r="AI389" s="176"/>
      <c r="AJ389" s="89"/>
      <c r="AK389" s="89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</row>
    <row r="390" spans="1:49">
      <c r="A390" s="167"/>
      <c r="B390" s="404">
        <v>188</v>
      </c>
      <c r="C390" s="416">
        <v>7.0000000000000007E-2</v>
      </c>
      <c r="D390" s="406" t="s">
        <v>86</v>
      </c>
      <c r="E390" s="782">
        <f t="shared" si="156"/>
        <v>10041.115990979157</v>
      </c>
      <c r="F390" s="782"/>
      <c r="G390" s="758"/>
      <c r="H390" s="407">
        <f t="shared" si="158"/>
        <v>9448.9056211200004</v>
      </c>
      <c r="I390" s="407"/>
      <c r="J390" s="408"/>
      <c r="K390" s="407">
        <f t="shared" si="159"/>
        <v>8983.0967745960024</v>
      </c>
      <c r="L390" s="407"/>
      <c r="M390" s="408"/>
      <c r="N390" s="407">
        <f t="shared" si="160"/>
        <v>8317.6821987000021</v>
      </c>
      <c r="O390" s="407"/>
      <c r="P390" s="408"/>
      <c r="Q390" s="407">
        <f t="shared" ref="Q390:AC390" si="165">Q448</f>
        <v>7652.267622804</v>
      </c>
      <c r="R390" s="407"/>
      <c r="S390" s="408"/>
      <c r="T390" s="407">
        <f t="shared" si="165"/>
        <v>7186.4774196768012</v>
      </c>
      <c r="U390" s="407"/>
      <c r="V390" s="408"/>
      <c r="W390" s="407">
        <f t="shared" si="165"/>
        <v>6654.1457589600013</v>
      </c>
      <c r="X390" s="407"/>
      <c r="Y390" s="408"/>
      <c r="Z390" s="407">
        <f t="shared" si="165"/>
        <v>6654.1457589600013</v>
      </c>
      <c r="AA390" s="407"/>
      <c r="AB390" s="408"/>
      <c r="AC390" s="407">
        <f t="shared" si="165"/>
        <v>5481.8597904000007</v>
      </c>
      <c r="AD390" s="407"/>
      <c r="AE390" s="447"/>
      <c r="AF390" s="31"/>
      <c r="AG390" s="31"/>
      <c r="AH390" s="89"/>
      <c r="AI390" s="176"/>
      <c r="AJ390" s="89"/>
      <c r="AK390" s="89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</row>
    <row r="391" spans="1:49">
      <c r="A391" s="167"/>
      <c r="B391" s="430">
        <v>117</v>
      </c>
      <c r="C391" s="501"/>
      <c r="D391" s="414" t="s">
        <v>92</v>
      </c>
      <c r="E391" s="783">
        <f t="shared" si="156"/>
        <v>3159.1871408450702</v>
      </c>
      <c r="F391" s="783"/>
      <c r="G391" s="757"/>
      <c r="H391" s="407">
        <f t="shared" si="158"/>
        <v>2972.86</v>
      </c>
      <c r="I391" s="407"/>
      <c r="J391" s="408"/>
      <c r="K391" s="407">
        <f t="shared" si="159"/>
        <v>2826.306</v>
      </c>
      <c r="L391" s="407"/>
      <c r="M391" s="408"/>
      <c r="N391" s="407">
        <f t="shared" si="160"/>
        <v>2616.9499999999998</v>
      </c>
      <c r="O391" s="407"/>
      <c r="P391" s="408"/>
      <c r="Q391" s="407">
        <f t="shared" ref="Q391:AC391" si="166">Q449</f>
        <v>2407.5939999999996</v>
      </c>
      <c r="R391" s="407"/>
      <c r="S391" s="408"/>
      <c r="T391" s="407">
        <f t="shared" si="166"/>
        <v>2261.0448000000001</v>
      </c>
      <c r="U391" s="407"/>
      <c r="V391" s="408"/>
      <c r="W391" s="407">
        <f t="shared" si="166"/>
        <v>2093.56</v>
      </c>
      <c r="X391" s="407"/>
      <c r="Y391" s="408"/>
      <c r="Z391" s="407">
        <f t="shared" si="166"/>
        <v>2093.56</v>
      </c>
      <c r="AA391" s="407"/>
      <c r="AB391" s="408"/>
      <c r="AC391" s="407">
        <f t="shared" si="166"/>
        <v>1820.4</v>
      </c>
      <c r="AD391" s="407"/>
      <c r="AE391" s="447"/>
      <c r="AF391" s="31"/>
      <c r="AG391" s="31"/>
      <c r="AH391" s="89"/>
      <c r="AI391" s="176"/>
      <c r="AJ391" s="89"/>
      <c r="AK391" s="89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</row>
    <row r="392" spans="1:49">
      <c r="A392" s="167"/>
      <c r="B392" s="430">
        <v>29</v>
      </c>
      <c r="C392" s="430">
        <f>cantkmhs</f>
        <v>0</v>
      </c>
      <c r="D392" s="414" t="s">
        <v>93</v>
      </c>
      <c r="E392" s="783">
        <f t="shared" si="156"/>
        <v>0</v>
      </c>
      <c r="F392" s="783"/>
      <c r="G392" s="757"/>
      <c r="H392" s="407">
        <f t="shared" si="158"/>
        <v>0</v>
      </c>
      <c r="I392" s="407" t="str">
        <f>I450</f>
        <v>aumento 7%</v>
      </c>
      <c r="J392" s="408"/>
      <c r="K392" s="407">
        <f t="shared" si="159"/>
        <v>0</v>
      </c>
      <c r="L392" s="407" t="str">
        <f>L450</f>
        <v>aumento 10%</v>
      </c>
      <c r="M392" s="408"/>
      <c r="N392" s="407">
        <f t="shared" si="160"/>
        <v>0</v>
      </c>
      <c r="O392" s="407" t="str">
        <f>O450</f>
        <v>aumento 10%</v>
      </c>
      <c r="P392" s="408"/>
      <c r="Q392" s="407">
        <f t="shared" ref="Q392:AD392" si="167">Q450</f>
        <v>0</v>
      </c>
      <c r="R392" s="407" t="str">
        <f t="shared" si="167"/>
        <v>aumento 10%</v>
      </c>
      <c r="S392" s="408"/>
      <c r="T392" s="407">
        <f t="shared" si="167"/>
        <v>0</v>
      </c>
      <c r="U392" s="407" t="str">
        <f t="shared" si="167"/>
        <v>aumento 20%</v>
      </c>
      <c r="V392" s="408"/>
      <c r="W392" s="407">
        <f t="shared" si="167"/>
        <v>0</v>
      </c>
      <c r="X392" s="407">
        <f t="shared" si="167"/>
        <v>0</v>
      </c>
      <c r="Y392" s="408"/>
      <c r="Z392" s="407">
        <f t="shared" si="167"/>
        <v>0</v>
      </c>
      <c r="AA392" s="407" t="str">
        <f t="shared" si="167"/>
        <v>aumento 15%</v>
      </c>
      <c r="AB392" s="408"/>
      <c r="AC392" s="407">
        <f t="shared" si="167"/>
        <v>0</v>
      </c>
      <c r="AD392" s="407">
        <f t="shared" si="167"/>
        <v>0</v>
      </c>
      <c r="AE392" s="447"/>
      <c r="AF392" s="31"/>
      <c r="AG392" s="31"/>
      <c r="AH392" s="89"/>
      <c r="AI392" s="176"/>
      <c r="AJ392" s="89"/>
      <c r="AK392" s="89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</row>
    <row r="393" spans="1:49" ht="23.25">
      <c r="A393" s="167"/>
      <c r="B393" s="420">
        <v>38</v>
      </c>
      <c r="C393" s="952">
        <v>15</v>
      </c>
      <c r="D393" s="421" t="s">
        <v>144</v>
      </c>
      <c r="E393" s="784">
        <f t="shared" si="156"/>
        <v>7545</v>
      </c>
      <c r="F393" s="784"/>
      <c r="G393" s="759"/>
      <c r="H393" s="407">
        <f t="shared" si="158"/>
        <v>7100</v>
      </c>
      <c r="I393" s="407"/>
      <c r="J393" s="408"/>
      <c r="K393" s="407">
        <f t="shared" si="159"/>
        <v>6750</v>
      </c>
      <c r="L393" s="407"/>
      <c r="M393" s="408"/>
      <c r="N393" s="407">
        <f t="shared" si="160"/>
        <v>6250</v>
      </c>
      <c r="O393" s="407"/>
      <c r="P393" s="408"/>
      <c r="Q393" s="407">
        <f t="shared" ref="Q393:AC393" si="168">Q451</f>
        <v>5750</v>
      </c>
      <c r="R393" s="407"/>
      <c r="S393" s="408"/>
      <c r="T393" s="407">
        <f t="shared" si="168"/>
        <v>5400</v>
      </c>
      <c r="U393" s="407"/>
      <c r="V393" s="408"/>
      <c r="W393" s="407">
        <f t="shared" si="168"/>
        <v>5000</v>
      </c>
      <c r="X393" s="407"/>
      <c r="Y393" s="408"/>
      <c r="Z393" s="407">
        <f t="shared" si="168"/>
        <v>5000</v>
      </c>
      <c r="AA393" s="407"/>
      <c r="AB393" s="408"/>
      <c r="AC393" s="407">
        <f t="shared" si="168"/>
        <v>0</v>
      </c>
      <c r="AD393" s="407"/>
      <c r="AE393" s="447"/>
      <c r="AF393" s="31"/>
      <c r="AG393" s="31"/>
      <c r="AH393" s="89"/>
      <c r="AI393" s="176"/>
      <c r="AJ393" s="89"/>
      <c r="AK393" s="89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</row>
    <row r="394" spans="1:49">
      <c r="A394" s="167"/>
      <c r="B394" s="502"/>
      <c r="C394" s="503"/>
      <c r="D394" s="412" t="s">
        <v>153</v>
      </c>
      <c r="E394" s="785">
        <f t="shared" si="156"/>
        <v>159121.94534882423</v>
      </c>
      <c r="F394" s="785"/>
      <c r="G394" s="760"/>
      <c r="H394" s="426">
        <f t="shared" si="158"/>
        <v>149737.55021612</v>
      </c>
      <c r="I394" s="407"/>
      <c r="J394" s="408"/>
      <c r="K394" s="426">
        <f t="shared" si="159"/>
        <v>142355.85075489603</v>
      </c>
      <c r="L394" s="407"/>
      <c r="M394" s="408"/>
      <c r="N394" s="426">
        <f t="shared" si="160"/>
        <v>131810.97292120001</v>
      </c>
      <c r="O394" s="407"/>
      <c r="P394" s="408"/>
      <c r="Q394" s="426">
        <f t="shared" ref="Q394:AC394" si="169">Q452</f>
        <v>121266.09508750397</v>
      </c>
      <c r="R394" s="407"/>
      <c r="S394" s="408"/>
      <c r="T394" s="426">
        <f t="shared" si="169"/>
        <v>113884.68060391682</v>
      </c>
      <c r="U394" s="407"/>
      <c r="V394" s="408"/>
      <c r="W394" s="426">
        <f t="shared" si="169"/>
        <v>105448.77833696001</v>
      </c>
      <c r="X394" s="407"/>
      <c r="Y394" s="408"/>
      <c r="Z394" s="426">
        <f t="shared" si="169"/>
        <v>105448.77833696001</v>
      </c>
      <c r="AA394" s="407"/>
      <c r="AB394" s="408"/>
      <c r="AC394" s="426">
        <f t="shared" si="169"/>
        <v>87042.148910400007</v>
      </c>
      <c r="AD394" s="407"/>
      <c r="AE394" s="447"/>
      <c r="AF394" s="31"/>
      <c r="AG394" s="31"/>
      <c r="AH394" s="89"/>
      <c r="AI394" s="176"/>
      <c r="AJ394" s="89"/>
      <c r="AK394" s="89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</row>
    <row r="395" spans="1:49">
      <c r="A395" s="167"/>
      <c r="B395" s="504" t="s">
        <v>146</v>
      </c>
      <c r="C395" s="441"/>
      <c r="D395" s="441"/>
      <c r="E395" s="936">
        <v>0</v>
      </c>
      <c r="F395" s="782"/>
      <c r="G395" s="758"/>
      <c r="H395" s="429">
        <v>0</v>
      </c>
      <c r="I395" s="407"/>
      <c r="J395" s="408"/>
      <c r="K395" s="407">
        <f t="shared" si="159"/>
        <v>0</v>
      </c>
      <c r="L395" s="407"/>
      <c r="M395" s="408"/>
      <c r="N395" s="407">
        <f t="shared" si="160"/>
        <v>0</v>
      </c>
      <c r="O395" s="407"/>
      <c r="P395" s="408"/>
      <c r="Q395" s="407">
        <f t="shared" ref="Q395:AC395" si="170">Q453</f>
        <v>0</v>
      </c>
      <c r="R395" s="407"/>
      <c r="S395" s="408"/>
      <c r="T395" s="407">
        <f t="shared" si="170"/>
        <v>0</v>
      </c>
      <c r="U395" s="407"/>
      <c r="V395" s="408"/>
      <c r="W395" s="407">
        <f t="shared" si="170"/>
        <v>0</v>
      </c>
      <c r="X395" s="407"/>
      <c r="Y395" s="408"/>
      <c r="Z395" s="407">
        <f t="shared" si="170"/>
        <v>0</v>
      </c>
      <c r="AA395" s="407"/>
      <c r="AB395" s="408"/>
      <c r="AC395" s="407">
        <f t="shared" si="170"/>
        <v>0</v>
      </c>
      <c r="AD395" s="407"/>
      <c r="AE395" s="447"/>
      <c r="AF395" s="31"/>
      <c r="AG395" s="31"/>
      <c r="AH395" s="89"/>
      <c r="AI395" s="176"/>
      <c r="AJ395" s="89"/>
      <c r="AK395" s="89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</row>
    <row r="396" spans="1:49">
      <c r="A396" s="167"/>
      <c r="B396" s="505"/>
      <c r="C396" s="441"/>
      <c r="D396" s="428"/>
      <c r="E396" s="783">
        <f t="shared" si="156"/>
        <v>0</v>
      </c>
      <c r="F396" s="783"/>
      <c r="G396" s="757"/>
      <c r="H396" s="407">
        <f t="shared" ref="H396:H402" si="171">H454</f>
        <v>0</v>
      </c>
      <c r="I396" s="407"/>
      <c r="J396" s="408"/>
      <c r="K396" s="407">
        <f t="shared" si="159"/>
        <v>0</v>
      </c>
      <c r="L396" s="407"/>
      <c r="M396" s="408"/>
      <c r="N396" s="407">
        <f t="shared" si="160"/>
        <v>0</v>
      </c>
      <c r="O396" s="407"/>
      <c r="P396" s="408"/>
      <c r="Q396" s="407">
        <f t="shared" ref="Q396:AC396" si="172">Q454</f>
        <v>0</v>
      </c>
      <c r="R396" s="407"/>
      <c r="S396" s="408"/>
      <c r="T396" s="407">
        <f t="shared" si="172"/>
        <v>0</v>
      </c>
      <c r="U396" s="407"/>
      <c r="V396" s="408"/>
      <c r="W396" s="407">
        <f t="shared" si="172"/>
        <v>0</v>
      </c>
      <c r="X396" s="407"/>
      <c r="Y396" s="408"/>
      <c r="Z396" s="407">
        <f t="shared" si="172"/>
        <v>0</v>
      </c>
      <c r="AA396" s="407"/>
      <c r="AB396" s="408"/>
      <c r="AC396" s="407">
        <f t="shared" si="172"/>
        <v>0</v>
      </c>
      <c r="AD396" s="407"/>
      <c r="AE396" s="447"/>
      <c r="AF396" s="31"/>
      <c r="AG396" s="31"/>
      <c r="AH396" s="89"/>
      <c r="AI396" s="176"/>
      <c r="AJ396" s="89"/>
      <c r="AK396" s="89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</row>
    <row r="397" spans="1:49">
      <c r="A397" s="167"/>
      <c r="B397" s="430">
        <v>84</v>
      </c>
      <c r="C397" s="431">
        <f t="shared" si="156"/>
        <v>24.000003392226628</v>
      </c>
      <c r="D397" s="411" t="s">
        <v>97</v>
      </c>
      <c r="E397" s="783">
        <f t="shared" si="156"/>
        <v>5660</v>
      </c>
      <c r="F397" s="783"/>
      <c r="G397" s="757"/>
      <c r="H397" s="407">
        <f t="shared" si="171"/>
        <v>5660</v>
      </c>
      <c r="I397" s="407"/>
      <c r="J397" s="408"/>
      <c r="K397" s="407">
        <f t="shared" si="159"/>
        <v>5660</v>
      </c>
      <c r="L397" s="407"/>
      <c r="M397" s="408"/>
      <c r="N397" s="407">
        <f t="shared" si="160"/>
        <v>5660</v>
      </c>
      <c r="O397" s="407"/>
      <c r="P397" s="408"/>
      <c r="Q397" s="407">
        <f t="shared" ref="Q397:AC397" si="173">Q455</f>
        <v>4840</v>
      </c>
      <c r="R397" s="407"/>
      <c r="S397" s="408"/>
      <c r="T397" s="407">
        <f t="shared" si="173"/>
        <v>4840</v>
      </c>
      <c r="U397" s="407"/>
      <c r="V397" s="408"/>
      <c r="W397" s="407">
        <f t="shared" si="173"/>
        <v>4840</v>
      </c>
      <c r="X397" s="407"/>
      <c r="Y397" s="408"/>
      <c r="Z397" s="407">
        <f t="shared" si="173"/>
        <v>2420</v>
      </c>
      <c r="AA397" s="407"/>
      <c r="AB397" s="408"/>
      <c r="AC397" s="407">
        <f t="shared" si="173"/>
        <v>2420</v>
      </c>
      <c r="AD397" s="407"/>
      <c r="AE397" s="447"/>
      <c r="AF397" s="31"/>
      <c r="AG397" s="31"/>
      <c r="AH397" s="89"/>
      <c r="AI397" s="176"/>
      <c r="AJ397" s="89"/>
      <c r="AK397" s="89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</row>
    <row r="398" spans="1:49">
      <c r="A398" s="167"/>
      <c r="B398" s="432">
        <v>113</v>
      </c>
      <c r="C398" s="506"/>
      <c r="D398" s="433" t="s">
        <v>98</v>
      </c>
      <c r="E398" s="786" t="str">
        <f t="shared" si="156"/>
        <v>Todo en el 084</v>
      </c>
      <c r="F398" s="786"/>
      <c r="G398" s="761"/>
      <c r="H398" s="407" t="str">
        <f t="shared" si="171"/>
        <v>Todo en el 084</v>
      </c>
      <c r="I398" s="407"/>
      <c r="J398" s="408"/>
      <c r="K398" s="407" t="str">
        <f t="shared" si="159"/>
        <v>Todo en el 084</v>
      </c>
      <c r="L398" s="407"/>
      <c r="M398" s="408"/>
      <c r="N398" s="407" t="str">
        <f t="shared" si="160"/>
        <v>Todo en el 084</v>
      </c>
      <c r="O398" s="407"/>
      <c r="P398" s="408"/>
      <c r="Q398" s="407" t="str">
        <f t="shared" ref="Q398:AC398" si="174">Q456</f>
        <v>Todo en el 084</v>
      </c>
      <c r="R398" s="407"/>
      <c r="S398" s="408"/>
      <c r="T398" s="407" t="str">
        <f t="shared" si="174"/>
        <v>Todo en el 084</v>
      </c>
      <c r="U398" s="407"/>
      <c r="V398" s="408"/>
      <c r="W398" s="407" t="str">
        <f t="shared" si="174"/>
        <v>Todo en el 084</v>
      </c>
      <c r="X398" s="407"/>
      <c r="Y398" s="408"/>
      <c r="Z398" s="407">
        <f t="shared" si="174"/>
        <v>2420</v>
      </c>
      <c r="AA398" s="407"/>
      <c r="AB398" s="408"/>
      <c r="AC398" s="407">
        <f t="shared" si="174"/>
        <v>2420</v>
      </c>
      <c r="AD398" s="407"/>
      <c r="AE398" s="447"/>
      <c r="AF398" s="31"/>
      <c r="AG398" s="31"/>
      <c r="AH398" s="89"/>
      <c r="AI398" s="176"/>
      <c r="AJ398" s="89"/>
      <c r="AK398" s="89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</row>
    <row r="399" spans="1:49">
      <c r="A399" s="167"/>
      <c r="B399" s="417">
        <v>54</v>
      </c>
      <c r="C399" s="412">
        <f t="shared" si="156"/>
        <v>24</v>
      </c>
      <c r="D399" s="414" t="s">
        <v>100</v>
      </c>
      <c r="E399" s="783">
        <f t="shared" si="156"/>
        <v>4500</v>
      </c>
      <c r="F399" s="783"/>
      <c r="G399" s="757"/>
      <c r="H399" s="407">
        <f t="shared" si="171"/>
        <v>4500</v>
      </c>
      <c r="I399" s="407"/>
      <c r="J399" s="408"/>
      <c r="K399" s="407">
        <f t="shared" si="159"/>
        <v>2000</v>
      </c>
      <c r="L399" s="407"/>
      <c r="M399" s="408"/>
      <c r="N399" s="407">
        <f t="shared" si="160"/>
        <v>2000</v>
      </c>
      <c r="O399" s="407"/>
      <c r="P399" s="408"/>
      <c r="Q399" s="407">
        <f t="shared" ref="Q399:AC399" si="175">Q457</f>
        <v>1420</v>
      </c>
      <c r="R399" s="407"/>
      <c r="S399" s="408"/>
      <c r="T399" s="407">
        <f t="shared" si="175"/>
        <v>1420</v>
      </c>
      <c r="U399" s="407"/>
      <c r="V399" s="408"/>
      <c r="W399" s="407">
        <f t="shared" si="175"/>
        <v>1420</v>
      </c>
      <c r="X399" s="407"/>
      <c r="Y399" s="408"/>
      <c r="Z399" s="407">
        <f t="shared" si="175"/>
        <v>420</v>
      </c>
      <c r="AA399" s="407"/>
      <c r="AB399" s="408"/>
      <c r="AC399" s="407">
        <f t="shared" si="175"/>
        <v>420</v>
      </c>
      <c r="AD399" s="407"/>
      <c r="AE399" s="447"/>
      <c r="AF399" s="31"/>
      <c r="AG399" s="31"/>
      <c r="AH399" s="89"/>
      <c r="AI399" s="176"/>
      <c r="AJ399" s="89"/>
      <c r="AK399" s="89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</row>
    <row r="400" spans="1:49">
      <c r="A400" s="167"/>
      <c r="B400" s="505"/>
      <c r="C400" s="441"/>
      <c r="D400" s="441"/>
      <c r="E400" s="782">
        <f t="shared" si="156"/>
        <v>0</v>
      </c>
      <c r="F400" s="782"/>
      <c r="G400" s="758"/>
      <c r="H400" s="407">
        <f t="shared" si="171"/>
        <v>0</v>
      </c>
      <c r="I400" s="407"/>
      <c r="J400" s="408"/>
      <c r="K400" s="407">
        <f t="shared" si="159"/>
        <v>0</v>
      </c>
      <c r="L400" s="407"/>
      <c r="M400" s="408"/>
      <c r="N400" s="407">
        <f t="shared" si="160"/>
        <v>0</v>
      </c>
      <c r="O400" s="407"/>
      <c r="P400" s="408"/>
      <c r="Q400" s="407">
        <f t="shared" ref="Q400:AC400" si="176">Q458</f>
        <v>0</v>
      </c>
      <c r="R400" s="407"/>
      <c r="S400" s="408"/>
      <c r="T400" s="407">
        <f t="shared" si="176"/>
        <v>0</v>
      </c>
      <c r="U400" s="407"/>
      <c r="V400" s="408"/>
      <c r="W400" s="407">
        <f t="shared" si="176"/>
        <v>0</v>
      </c>
      <c r="X400" s="407"/>
      <c r="Y400" s="408"/>
      <c r="Z400" s="407">
        <f t="shared" si="176"/>
        <v>0</v>
      </c>
      <c r="AA400" s="407"/>
      <c r="AB400" s="408"/>
      <c r="AC400" s="407">
        <f t="shared" si="176"/>
        <v>0</v>
      </c>
      <c r="AD400" s="407"/>
      <c r="AE400" s="447"/>
      <c r="AF400" s="31"/>
      <c r="AG400" s="31"/>
      <c r="AH400" s="89"/>
      <c r="AI400" s="176"/>
      <c r="AJ400" s="89"/>
      <c r="AK400" s="89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</row>
    <row r="401" spans="1:49">
      <c r="A401" s="167"/>
      <c r="B401" s="505"/>
      <c r="C401" s="441"/>
      <c r="D401" s="441"/>
      <c r="E401" s="782">
        <f t="shared" si="156"/>
        <v>0</v>
      </c>
      <c r="F401" s="782"/>
      <c r="G401" s="758"/>
      <c r="H401" s="407">
        <f t="shared" si="171"/>
        <v>0</v>
      </c>
      <c r="I401" s="407"/>
      <c r="J401" s="408"/>
      <c r="K401" s="407">
        <f t="shared" si="159"/>
        <v>0</v>
      </c>
      <c r="L401" s="407"/>
      <c r="M401" s="408"/>
      <c r="N401" s="407">
        <f t="shared" si="160"/>
        <v>0</v>
      </c>
      <c r="O401" s="407"/>
      <c r="P401" s="408"/>
      <c r="Q401" s="407">
        <f t="shared" ref="Q401:AC401" si="177">Q459</f>
        <v>0</v>
      </c>
      <c r="R401" s="407"/>
      <c r="S401" s="408"/>
      <c r="T401" s="407">
        <f t="shared" si="177"/>
        <v>0</v>
      </c>
      <c r="U401" s="407"/>
      <c r="V401" s="408"/>
      <c r="W401" s="407">
        <f t="shared" si="177"/>
        <v>0</v>
      </c>
      <c r="X401" s="407"/>
      <c r="Y401" s="408"/>
      <c r="Z401" s="407">
        <f t="shared" si="177"/>
        <v>0</v>
      </c>
      <c r="AA401" s="407"/>
      <c r="AB401" s="408"/>
      <c r="AC401" s="407">
        <f t="shared" si="177"/>
        <v>0</v>
      </c>
      <c r="AD401" s="407"/>
      <c r="AE401" s="447"/>
      <c r="AF401" s="31"/>
      <c r="AG401" s="31"/>
      <c r="AH401" s="89"/>
      <c r="AI401" s="176"/>
      <c r="AJ401" s="89"/>
      <c r="AK401" s="89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</row>
    <row r="402" spans="1:49">
      <c r="A402" s="167"/>
      <c r="B402" s="507"/>
      <c r="D402" s="508" t="s">
        <v>148</v>
      </c>
      <c r="E402" s="787">
        <f t="shared" si="156"/>
        <v>169281.94534882423</v>
      </c>
      <c r="F402" s="787"/>
      <c r="G402" s="762"/>
      <c r="H402" s="426">
        <f t="shared" si="171"/>
        <v>159897.55021612</v>
      </c>
      <c r="I402" s="407"/>
      <c r="J402" s="408"/>
      <c r="K402" s="426">
        <f t="shared" si="159"/>
        <v>150015.85075489603</v>
      </c>
      <c r="L402" s="407"/>
      <c r="M402" s="408"/>
      <c r="N402" s="426">
        <f t="shared" si="160"/>
        <v>139470.97292120001</v>
      </c>
      <c r="O402" s="407"/>
      <c r="P402" s="408"/>
      <c r="Q402" s="426">
        <f t="shared" ref="Q402:AC402" si="178">Q460</f>
        <v>127526.09508750397</v>
      </c>
      <c r="R402" s="407"/>
      <c r="S402" s="408"/>
      <c r="T402" s="426">
        <f t="shared" si="178"/>
        <v>120144.68060391682</v>
      </c>
      <c r="U402" s="407"/>
      <c r="V402" s="408"/>
      <c r="W402" s="426">
        <f t="shared" si="178"/>
        <v>111708.77833696001</v>
      </c>
      <c r="X402" s="407"/>
      <c r="Y402" s="408"/>
      <c r="Z402" s="426">
        <f t="shared" si="178"/>
        <v>110708.77833696001</v>
      </c>
      <c r="AA402" s="407"/>
      <c r="AB402" s="408"/>
      <c r="AC402" s="426">
        <f t="shared" si="178"/>
        <v>92302.148910400007</v>
      </c>
      <c r="AD402" s="407"/>
      <c r="AE402" s="447"/>
      <c r="AF402" s="31"/>
      <c r="AG402" s="31"/>
      <c r="AH402" s="89"/>
      <c r="AI402" s="176"/>
      <c r="AJ402" s="89"/>
      <c r="AK402" s="89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</row>
    <row r="403" spans="1:49">
      <c r="A403" s="167"/>
      <c r="B403" s="417">
        <v>440</v>
      </c>
      <c r="C403" s="509"/>
      <c r="D403" s="413" t="s">
        <v>102</v>
      </c>
      <c r="E403" s="936">
        <v>0</v>
      </c>
      <c r="F403" s="782">
        <f t="shared" si="157"/>
        <v>0</v>
      </c>
      <c r="G403" s="758"/>
      <c r="H403" s="429">
        <v>0</v>
      </c>
      <c r="I403" s="407">
        <f t="shared" ref="I403:I409" si="179">I461</f>
        <v>0</v>
      </c>
      <c r="J403" s="408"/>
      <c r="K403" s="407">
        <f t="shared" si="159"/>
        <v>0</v>
      </c>
      <c r="L403" s="407">
        <f t="shared" ref="L403:L409" si="180">L461</f>
        <v>0</v>
      </c>
      <c r="M403" s="408"/>
      <c r="N403" s="407">
        <f t="shared" si="160"/>
        <v>0</v>
      </c>
      <c r="O403" s="407">
        <f t="shared" ref="O403:O409" si="181">O461</f>
        <v>0</v>
      </c>
      <c r="P403" s="408"/>
      <c r="Q403" s="407">
        <f t="shared" ref="Q403:AD403" si="182">Q461</f>
        <v>0</v>
      </c>
      <c r="R403" s="407">
        <f t="shared" si="182"/>
        <v>0</v>
      </c>
      <c r="S403" s="408"/>
      <c r="T403" s="407">
        <f t="shared" si="182"/>
        <v>0</v>
      </c>
      <c r="U403" s="407">
        <f t="shared" si="182"/>
        <v>0</v>
      </c>
      <c r="V403" s="408"/>
      <c r="W403" s="407">
        <f t="shared" si="182"/>
        <v>0</v>
      </c>
      <c r="X403" s="407">
        <f t="shared" si="182"/>
        <v>0</v>
      </c>
      <c r="Y403" s="408"/>
      <c r="Z403" s="407">
        <f t="shared" si="182"/>
        <v>0</v>
      </c>
      <c r="AA403" s="407">
        <f t="shared" si="182"/>
        <v>0</v>
      </c>
      <c r="AB403" s="408"/>
      <c r="AC403" s="407">
        <f t="shared" si="182"/>
        <v>0</v>
      </c>
      <c r="AD403" s="407">
        <f t="shared" si="182"/>
        <v>0</v>
      </c>
      <c r="AE403" s="447"/>
      <c r="AF403" s="31"/>
      <c r="AG403" s="31"/>
      <c r="AH403" s="89"/>
      <c r="AI403" s="176"/>
      <c r="AJ403" s="89"/>
      <c r="AK403" s="89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</row>
    <row r="404" spans="1:49">
      <c r="A404" s="167"/>
      <c r="B404" s="409">
        <v>502</v>
      </c>
      <c r="C404" s="409" t="s">
        <v>30</v>
      </c>
      <c r="D404" s="510" t="s">
        <v>149</v>
      </c>
      <c r="E404" s="443"/>
      <c r="F404" s="873">
        <f t="shared" si="157"/>
        <v>-25459.511255811878</v>
      </c>
      <c r="G404" s="763"/>
      <c r="H404" s="407"/>
      <c r="I404" s="407">
        <f t="shared" si="179"/>
        <v>-23958.008034579201</v>
      </c>
      <c r="J404" s="408"/>
      <c r="K404" s="407"/>
      <c r="L404" s="407">
        <f t="shared" si="180"/>
        <v>-22776.936120783372</v>
      </c>
      <c r="M404" s="408"/>
      <c r="N404" s="407"/>
      <c r="O404" s="407">
        <f t="shared" si="181"/>
        <v>-21089.755667392001</v>
      </c>
      <c r="P404" s="408"/>
      <c r="Q404" s="407"/>
      <c r="R404" s="407">
        <f t="shared" ref="R404:AD404" si="183">R462</f>
        <v>-19402.575214000637</v>
      </c>
      <c r="S404" s="408"/>
      <c r="T404" s="407"/>
      <c r="U404" s="407">
        <f t="shared" si="183"/>
        <v>-18221.548896626689</v>
      </c>
      <c r="V404" s="408"/>
      <c r="W404" s="407"/>
      <c r="X404" s="407">
        <f t="shared" si="183"/>
        <v>-16871.804533913601</v>
      </c>
      <c r="Y404" s="408"/>
      <c r="Z404" s="407"/>
      <c r="AA404" s="407">
        <f t="shared" si="183"/>
        <v>-16871.804533913601</v>
      </c>
      <c r="AB404" s="408"/>
      <c r="AC404" s="407"/>
      <c r="AD404" s="407">
        <f t="shared" si="183"/>
        <v>-13926.743825664002</v>
      </c>
      <c r="AE404" s="447"/>
      <c r="AF404" s="31"/>
      <c r="AG404" s="31"/>
      <c r="AH404" s="89"/>
      <c r="AI404" s="176"/>
      <c r="AJ404" s="89"/>
      <c r="AK404" s="89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</row>
    <row r="405" spans="1:49">
      <c r="A405" s="167"/>
      <c r="B405" s="404">
        <v>504</v>
      </c>
      <c r="C405" s="404" t="s">
        <v>105</v>
      </c>
      <c r="D405" s="794" t="s">
        <v>552</v>
      </c>
      <c r="E405" s="782"/>
      <c r="F405" s="874">
        <f t="shared" si="157"/>
        <v>0</v>
      </c>
      <c r="G405" s="758"/>
      <c r="H405" s="407"/>
      <c r="I405" s="407">
        <f t="shared" si="179"/>
        <v>-898.42530129672002</v>
      </c>
      <c r="J405" s="408"/>
      <c r="K405" s="407"/>
      <c r="L405" s="407">
        <f t="shared" si="180"/>
        <v>-854.13510452937635</v>
      </c>
      <c r="M405" s="408"/>
      <c r="N405" s="407"/>
      <c r="O405" s="407">
        <f t="shared" si="181"/>
        <v>-790.86583752720003</v>
      </c>
      <c r="P405" s="408"/>
      <c r="Q405" s="407"/>
      <c r="R405" s="407">
        <f t="shared" ref="R405:AD405" si="184">R463</f>
        <v>-727.59657052502394</v>
      </c>
      <c r="S405" s="408"/>
      <c r="T405" s="407"/>
      <c r="U405" s="407">
        <f t="shared" si="184"/>
        <v>-683.30808362350092</v>
      </c>
      <c r="V405" s="408"/>
      <c r="W405" s="407"/>
      <c r="X405" s="407">
        <f t="shared" si="184"/>
        <v>-632.69267002176002</v>
      </c>
      <c r="Y405" s="408"/>
      <c r="Z405" s="407"/>
      <c r="AA405" s="407">
        <f t="shared" si="184"/>
        <v>-632.69267002176002</v>
      </c>
      <c r="AB405" s="408"/>
      <c r="AC405" s="407"/>
      <c r="AD405" s="407">
        <f t="shared" si="184"/>
        <v>-522.25289346240004</v>
      </c>
      <c r="AE405" s="447"/>
      <c r="AF405" s="31"/>
      <c r="AG405" s="31"/>
      <c r="AH405" s="89"/>
      <c r="AI405" s="176"/>
      <c r="AJ405" s="89"/>
      <c r="AK405" s="89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</row>
    <row r="406" spans="1:49">
      <c r="A406" s="167"/>
      <c r="B406" s="409">
        <v>505</v>
      </c>
      <c r="C406" s="410">
        <v>0.03</v>
      </c>
      <c r="D406" s="510" t="s">
        <v>150</v>
      </c>
      <c r="E406" s="443"/>
      <c r="F406" s="873">
        <f t="shared" si="157"/>
        <v>-4773.6583604647267</v>
      </c>
      <c r="G406" s="763"/>
      <c r="H406" s="407"/>
      <c r="I406" s="407">
        <f t="shared" si="179"/>
        <v>-4492.1265064835998</v>
      </c>
      <c r="J406" s="408"/>
      <c r="K406" s="407"/>
      <c r="L406" s="407">
        <f t="shared" si="180"/>
        <v>-4270.6755226468813</v>
      </c>
      <c r="M406" s="408"/>
      <c r="N406" s="407"/>
      <c r="O406" s="407">
        <f t="shared" si="181"/>
        <v>-3954.3291876359999</v>
      </c>
      <c r="P406" s="408"/>
      <c r="Q406" s="407"/>
      <c r="R406" s="407">
        <f t="shared" ref="R406:AD406" si="185">R464</f>
        <v>-3637.9828526251194</v>
      </c>
      <c r="S406" s="408"/>
      <c r="T406" s="407"/>
      <c r="U406" s="407">
        <f t="shared" si="185"/>
        <v>-3416.5404181175045</v>
      </c>
      <c r="V406" s="408"/>
      <c r="W406" s="407"/>
      <c r="X406" s="407">
        <f t="shared" si="185"/>
        <v>-3163.4633501088001</v>
      </c>
      <c r="Y406" s="408"/>
      <c r="Z406" s="407"/>
      <c r="AA406" s="407">
        <f t="shared" si="185"/>
        <v>-3163.4633501088001</v>
      </c>
      <c r="AB406" s="408"/>
      <c r="AC406" s="407"/>
      <c r="AD406" s="407">
        <f t="shared" si="185"/>
        <v>-2611.2644673120003</v>
      </c>
      <c r="AE406" s="447"/>
      <c r="AF406" s="31"/>
      <c r="AG406" s="31"/>
      <c r="AH406" s="89"/>
      <c r="AI406" s="176"/>
      <c r="AJ406" s="89"/>
      <c r="AK406" s="89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</row>
    <row r="407" spans="1:49">
      <c r="A407" s="167"/>
      <c r="B407" s="511">
        <v>332</v>
      </c>
      <c r="C407" s="937">
        <v>0</v>
      </c>
      <c r="D407" s="512" t="s">
        <v>110</v>
      </c>
      <c r="E407" s="582"/>
      <c r="F407" s="874">
        <f t="shared" si="157"/>
        <v>0</v>
      </c>
      <c r="G407" s="764"/>
      <c r="H407" s="407"/>
      <c r="I407" s="407">
        <f t="shared" si="179"/>
        <v>0</v>
      </c>
      <c r="J407" s="408"/>
      <c r="K407" s="407"/>
      <c r="L407" s="407">
        <f t="shared" si="180"/>
        <v>0</v>
      </c>
      <c r="M407" s="408"/>
      <c r="N407" s="407"/>
      <c r="O407" s="407">
        <f t="shared" si="181"/>
        <v>0</v>
      </c>
      <c r="P407" s="408"/>
      <c r="Q407" s="407"/>
      <c r="R407" s="407">
        <f t="shared" ref="R407:AD407" si="186">R465</f>
        <v>0</v>
      </c>
      <c r="S407" s="408"/>
      <c r="T407" s="407"/>
      <c r="U407" s="407">
        <f t="shared" si="186"/>
        <v>0</v>
      </c>
      <c r="V407" s="408"/>
      <c r="W407" s="407"/>
      <c r="X407" s="407">
        <f t="shared" si="186"/>
        <v>0</v>
      </c>
      <c r="Y407" s="408"/>
      <c r="Z407" s="407"/>
      <c r="AA407" s="407">
        <f t="shared" si="186"/>
        <v>0</v>
      </c>
      <c r="AB407" s="408"/>
      <c r="AC407" s="407"/>
      <c r="AD407" s="407">
        <f t="shared" si="186"/>
        <v>0</v>
      </c>
      <c r="AE407" s="447"/>
      <c r="AF407" s="31"/>
      <c r="AG407" s="31"/>
      <c r="AH407" s="89"/>
      <c r="AI407" s="176"/>
      <c r="AJ407" s="89"/>
      <c r="AK407" s="89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</row>
    <row r="408" spans="1:49">
      <c r="A408" s="167"/>
      <c r="B408" s="513" t="s">
        <v>111</v>
      </c>
      <c r="C408" s="929">
        <v>0</v>
      </c>
      <c r="D408" s="428"/>
      <c r="E408" s="783"/>
      <c r="F408" s="783">
        <f t="shared" si="157"/>
        <v>0</v>
      </c>
      <c r="G408" s="757"/>
      <c r="H408" s="407"/>
      <c r="I408" s="407">
        <f t="shared" si="179"/>
        <v>0</v>
      </c>
      <c r="J408" s="408"/>
      <c r="K408" s="407"/>
      <c r="L408" s="407">
        <f t="shared" si="180"/>
        <v>0</v>
      </c>
      <c r="M408" s="408"/>
      <c r="N408" s="407"/>
      <c r="O408" s="407">
        <f t="shared" si="181"/>
        <v>0</v>
      </c>
      <c r="P408" s="408"/>
      <c r="Q408" s="407"/>
      <c r="R408" s="407">
        <f t="shared" ref="R408:AD408" si="187">R466</f>
        <v>0</v>
      </c>
      <c r="S408" s="408"/>
      <c r="T408" s="407"/>
      <c r="U408" s="407">
        <f t="shared" si="187"/>
        <v>0</v>
      </c>
      <c r="V408" s="408"/>
      <c r="W408" s="407"/>
      <c r="X408" s="407">
        <f t="shared" si="187"/>
        <v>0</v>
      </c>
      <c r="Y408" s="408"/>
      <c r="Z408" s="407"/>
      <c r="AA408" s="407">
        <f t="shared" si="187"/>
        <v>0</v>
      </c>
      <c r="AB408" s="408"/>
      <c r="AC408" s="407"/>
      <c r="AD408" s="407">
        <f t="shared" si="187"/>
        <v>0</v>
      </c>
      <c r="AE408" s="447"/>
      <c r="AF408" s="31"/>
      <c r="AG408" s="31"/>
      <c r="AH408" s="89"/>
      <c r="AI408" s="176"/>
      <c r="AJ408" s="89"/>
      <c r="AK408" s="89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</row>
    <row r="409" spans="1:49">
      <c r="A409" s="167"/>
      <c r="B409" s="509"/>
      <c r="C409" s="509"/>
      <c r="D409" s="514" t="s">
        <v>112</v>
      </c>
      <c r="E409" s="788"/>
      <c r="F409" s="788">
        <f t="shared" si="157"/>
        <v>-30233.169616276606</v>
      </c>
      <c r="G409" s="765"/>
      <c r="H409" s="407"/>
      <c r="I409" s="426">
        <f t="shared" si="179"/>
        <v>-29348.559842359522</v>
      </c>
      <c r="J409" s="408"/>
      <c r="K409" s="407"/>
      <c r="L409" s="426">
        <f t="shared" si="180"/>
        <v>-27901.746747959631</v>
      </c>
      <c r="M409" s="408"/>
      <c r="N409" s="407"/>
      <c r="O409" s="426">
        <f t="shared" si="181"/>
        <v>-25834.950692555198</v>
      </c>
      <c r="P409" s="408"/>
      <c r="Q409" s="407"/>
      <c r="R409" s="426">
        <f t="shared" ref="R409:AD409" si="188">R467</f>
        <v>-23768.154637150779</v>
      </c>
      <c r="S409" s="408"/>
      <c r="T409" s="407"/>
      <c r="U409" s="426">
        <f t="shared" si="188"/>
        <v>-22321.397398367695</v>
      </c>
      <c r="V409" s="408"/>
      <c r="W409" s="407"/>
      <c r="X409" s="426">
        <f t="shared" si="188"/>
        <v>-20667.960554044159</v>
      </c>
      <c r="Y409" s="408"/>
      <c r="Z409" s="407"/>
      <c r="AA409" s="426">
        <f t="shared" si="188"/>
        <v>-20667.960554044159</v>
      </c>
      <c r="AB409" s="408"/>
      <c r="AC409" s="407"/>
      <c r="AD409" s="426">
        <f t="shared" si="188"/>
        <v>-17060.261186438402</v>
      </c>
      <c r="AE409" s="447"/>
      <c r="AF409" s="31"/>
      <c r="AG409" s="31"/>
      <c r="AH409" s="89"/>
      <c r="AI409" s="176"/>
      <c r="AJ409" s="89"/>
      <c r="AK409" s="89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</row>
    <row r="410" spans="1:49">
      <c r="A410" s="167"/>
      <c r="B410" s="515"/>
      <c r="C410" s="515"/>
      <c r="D410" s="515"/>
      <c r="E410" s="515"/>
      <c r="F410" s="515"/>
      <c r="G410" s="757"/>
      <c r="H410" s="443"/>
      <c r="I410" s="443"/>
      <c r="J410" s="408"/>
      <c r="K410" s="443"/>
      <c r="L410" s="443"/>
      <c r="M410" s="408"/>
      <c r="N410" s="443"/>
      <c r="O410" s="443"/>
      <c r="P410" s="408"/>
      <c r="Q410" s="443"/>
      <c r="R410" s="443"/>
      <c r="S410" s="408"/>
      <c r="T410" s="443"/>
      <c r="U410" s="443">
        <f t="shared" ref="U410:AD410" si="189">U468</f>
        <v>0</v>
      </c>
      <c r="V410" s="408"/>
      <c r="W410" s="443"/>
      <c r="X410" s="443">
        <f t="shared" si="189"/>
        <v>0</v>
      </c>
      <c r="Y410" s="408"/>
      <c r="Z410" s="443"/>
      <c r="AA410" s="443">
        <f t="shared" si="189"/>
        <v>0</v>
      </c>
      <c r="AB410" s="408"/>
      <c r="AC410" s="443"/>
      <c r="AD410" s="443">
        <f t="shared" si="189"/>
        <v>0</v>
      </c>
      <c r="AE410" s="447"/>
      <c r="AF410" s="31"/>
      <c r="AG410" s="31"/>
      <c r="AH410" s="89"/>
      <c r="AI410" s="176"/>
      <c r="AJ410" s="89"/>
      <c r="AK410" s="89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</row>
    <row r="411" spans="1:49">
      <c r="A411" s="167"/>
      <c r="B411" s="243"/>
      <c r="C411" s="13"/>
      <c r="D411" s="31"/>
      <c r="E411" s="444" t="str">
        <f t="shared" ref="E411:F414" si="190">E469</f>
        <v>Sueldo líquido</v>
      </c>
      <c r="F411" s="444">
        <f t="shared" si="190"/>
        <v>139048.77573254763</v>
      </c>
      <c r="G411" s="738"/>
      <c r="H411" s="426" t="str">
        <f t="shared" ref="H411:I414" si="191">H469</f>
        <v>Sueldo líquido</v>
      </c>
      <c r="I411" s="426">
        <f t="shared" si="191"/>
        <v>130548.99037376048</v>
      </c>
      <c r="J411" s="447"/>
      <c r="K411" s="426" t="str">
        <f t="shared" ref="K411:L414" si="192">K469</f>
        <v>Sueldo líquido</v>
      </c>
      <c r="L411" s="426">
        <f t="shared" si="192"/>
        <v>122114.1040069364</v>
      </c>
      <c r="M411" s="447"/>
      <c r="N411" s="426" t="str">
        <f t="shared" ref="N411:O414" si="193">N469</f>
        <v>Sueldo líquido</v>
      </c>
      <c r="O411" s="426">
        <f t="shared" si="193"/>
        <v>113636.02222864481</v>
      </c>
      <c r="P411" s="447"/>
      <c r="Q411" s="426" t="str">
        <f t="shared" ref="Q411:T425" si="194">Q469</f>
        <v>Sueldo líquido</v>
      </c>
      <c r="R411" s="426">
        <f t="shared" si="194"/>
        <v>103757.9404503532</v>
      </c>
      <c r="S411" s="447"/>
      <c r="T411" s="426" t="str">
        <f t="shared" si="194"/>
        <v>Sueldo líquido</v>
      </c>
      <c r="U411" s="426">
        <f t="shared" ref="U411:AD411" si="195">U469</f>
        <v>97823.283205549116</v>
      </c>
      <c r="V411" s="447"/>
      <c r="W411" s="426" t="str">
        <f t="shared" si="195"/>
        <v>Sueldo líquido</v>
      </c>
      <c r="X411" s="426">
        <f t="shared" si="195"/>
        <v>91040.817782915852</v>
      </c>
      <c r="Y411" s="447"/>
      <c r="Z411" s="426" t="str">
        <f t="shared" si="195"/>
        <v>Sueldo líquido</v>
      </c>
      <c r="AA411" s="426">
        <f t="shared" si="195"/>
        <v>90040.817782915852</v>
      </c>
      <c r="AB411" s="447"/>
      <c r="AC411" s="426" t="str">
        <f t="shared" si="195"/>
        <v>Sueldo líquido</v>
      </c>
      <c r="AD411" s="426">
        <f t="shared" si="195"/>
        <v>75241.887723961612</v>
      </c>
      <c r="AE411" s="447"/>
      <c r="AF411" s="31"/>
      <c r="AG411" s="31"/>
      <c r="AH411" s="89"/>
      <c r="AI411" s="176"/>
      <c r="AJ411" s="89"/>
      <c r="AK411" s="89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</row>
    <row r="412" spans="1:49" ht="16.5" thickBot="1">
      <c r="A412" s="167"/>
      <c r="B412" s="243"/>
      <c r="C412" s="13"/>
      <c r="D412" s="31"/>
      <c r="E412" s="212"/>
      <c r="F412" s="212"/>
      <c r="G412" s="738"/>
      <c r="H412" s="212"/>
      <c r="I412" s="212"/>
      <c r="J412" s="447"/>
      <c r="K412" s="212"/>
      <c r="L412" s="212"/>
      <c r="M412" s="447"/>
      <c r="N412" s="212"/>
      <c r="O412" s="212"/>
      <c r="P412" s="447"/>
      <c r="Q412" s="212"/>
      <c r="R412" s="212"/>
      <c r="S412" s="447"/>
      <c r="T412" s="212"/>
      <c r="U412" s="212"/>
      <c r="V412" s="447"/>
      <c r="W412" s="212"/>
      <c r="X412" s="212"/>
      <c r="Y412" s="447"/>
      <c r="Z412" s="212"/>
      <c r="AA412" s="212"/>
      <c r="AB412" s="447"/>
      <c r="AC412" s="241"/>
      <c r="AD412" s="241"/>
      <c r="AE412" s="447"/>
      <c r="AF412" s="31"/>
      <c r="AG412" s="31"/>
      <c r="AH412" s="89"/>
      <c r="AI412" s="176"/>
      <c r="AJ412" s="89"/>
      <c r="AK412" s="89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</row>
    <row r="413" spans="1:49">
      <c r="A413" s="167"/>
      <c r="B413" s="243"/>
      <c r="C413" s="13"/>
      <c r="D413" s="31"/>
      <c r="E413" s="207" t="str">
        <f t="shared" si="190"/>
        <v>Aumento del mes</v>
      </c>
      <c r="F413" s="208">
        <f t="shared" si="190"/>
        <v>8499.7853587871505</v>
      </c>
      <c r="G413" s="738"/>
      <c r="H413" s="207" t="str">
        <f t="shared" si="191"/>
        <v>Aumento del mes</v>
      </c>
      <c r="I413" s="208">
        <f t="shared" si="191"/>
        <v>8434.8863668240811</v>
      </c>
      <c r="J413" s="451"/>
      <c r="K413" s="207" t="str">
        <f t="shared" si="192"/>
        <v>Aumento del mes</v>
      </c>
      <c r="L413" s="208">
        <f t="shared" si="192"/>
        <v>8478.0817782915838</v>
      </c>
      <c r="M413" s="451"/>
      <c r="N413" s="207" t="str">
        <f t="shared" si="193"/>
        <v>Aumento del mes</v>
      </c>
      <c r="O413" s="208">
        <f t="shared" si="193"/>
        <v>9878.0817782916129</v>
      </c>
      <c r="P413" s="451"/>
      <c r="Q413" s="207" t="str">
        <f t="shared" si="194"/>
        <v>Aumento del mes</v>
      </c>
      <c r="R413" s="208">
        <f t="shared" si="194"/>
        <v>5934.6572448040824</v>
      </c>
      <c r="S413" s="451"/>
      <c r="T413" s="207" t="str">
        <f t="shared" si="194"/>
        <v>Aumento del mes</v>
      </c>
      <c r="U413" s="208">
        <f t="shared" ref="U413:AA413" si="196">U471</f>
        <v>6782.4654226332641</v>
      </c>
      <c r="V413" s="451"/>
      <c r="W413" s="207" t="str">
        <f t="shared" si="196"/>
        <v>Aumento del mes</v>
      </c>
      <c r="X413" s="208">
        <f t="shared" si="196"/>
        <v>1000</v>
      </c>
      <c r="Y413" s="451"/>
      <c r="Z413" s="207" t="str">
        <f t="shared" si="196"/>
        <v>Aumento del mes</v>
      </c>
      <c r="AA413" s="208">
        <f t="shared" si="196"/>
        <v>14798.93005895424</v>
      </c>
      <c r="AB413" s="447"/>
      <c r="AC413" s="241"/>
      <c r="AD413" s="241"/>
      <c r="AE413" s="447"/>
      <c r="AF413" s="31"/>
      <c r="AG413" s="31"/>
      <c r="AH413" s="89"/>
      <c r="AI413" s="176"/>
      <c r="AJ413" s="89"/>
      <c r="AK413" s="89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</row>
    <row r="414" spans="1:49" ht="16.5" thickBot="1">
      <c r="A414" s="167"/>
      <c r="B414" s="243"/>
      <c r="C414" s="13"/>
      <c r="D414" s="31"/>
      <c r="E414" s="210" t="str">
        <f t="shared" si="190"/>
        <v>Porc resp a anterior</v>
      </c>
      <c r="F414" s="211">
        <f t="shared" si="190"/>
        <v>6.5108012972389509E-2</v>
      </c>
      <c r="G414" s="738"/>
      <c r="H414" s="210" t="str">
        <f t="shared" si="191"/>
        <v>Porc resp a anterior</v>
      </c>
      <c r="I414" s="211">
        <f t="shared" si="191"/>
        <v>6.9073809576860656E-2</v>
      </c>
      <c r="J414" s="451"/>
      <c r="K414" s="210" t="str">
        <f t="shared" si="192"/>
        <v>Porc resp a anterior</v>
      </c>
      <c r="L414" s="211">
        <f t="shared" si="192"/>
        <v>7.4607343798368808E-2</v>
      </c>
      <c r="M414" s="451"/>
      <c r="N414" s="210" t="str">
        <f t="shared" si="193"/>
        <v>Porc resp a anterior</v>
      </c>
      <c r="O414" s="211">
        <f t="shared" si="193"/>
        <v>9.5203140457651478E-2</v>
      </c>
      <c r="P414" s="451"/>
      <c r="Q414" s="210" t="str">
        <f t="shared" si="194"/>
        <v>Porc resp a anterior</v>
      </c>
      <c r="R414" s="211">
        <f t="shared" si="194"/>
        <v>6.0667123923187169E-2</v>
      </c>
      <c r="S414" s="451"/>
      <c r="T414" s="210" t="str">
        <f t="shared" si="194"/>
        <v>Porc resp a anterior</v>
      </c>
      <c r="U414" s="211">
        <f t="shared" ref="U414:AA414" si="197">U472</f>
        <v>7.4499170677550949E-2</v>
      </c>
      <c r="V414" s="451"/>
      <c r="W414" s="210" t="str">
        <f t="shared" si="197"/>
        <v>Porc resp a anterior</v>
      </c>
      <c r="X414" s="211">
        <f t="shared" si="197"/>
        <v>1.1106074163064052E-2</v>
      </c>
      <c r="Y414" s="451"/>
      <c r="Z414" s="210" t="str">
        <f t="shared" si="197"/>
        <v>Porc resp a anterior</v>
      </c>
      <c r="AA414" s="211">
        <f t="shared" si="197"/>
        <v>0.1966847258437584</v>
      </c>
      <c r="AB414" s="447"/>
      <c r="AC414" s="241"/>
      <c r="AD414" s="241"/>
      <c r="AE414" s="447"/>
      <c r="AF414" s="31"/>
      <c r="AG414" s="31"/>
      <c r="AH414" s="89"/>
      <c r="AI414" s="176"/>
      <c r="AJ414" s="89"/>
      <c r="AK414" s="89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</row>
    <row r="415" spans="1:49" ht="16.5" thickBot="1">
      <c r="A415" s="167"/>
      <c r="B415" s="13"/>
      <c r="C415" s="13"/>
      <c r="D415" s="13"/>
      <c r="E415" s="212"/>
      <c r="F415" s="212"/>
      <c r="G415" s="724"/>
      <c r="H415" s="212"/>
      <c r="I415" s="212"/>
      <c r="J415" s="447"/>
      <c r="K415" s="212"/>
      <c r="L415" s="212"/>
      <c r="M415" s="447"/>
      <c r="N415" s="212"/>
      <c r="O415" s="212"/>
      <c r="P415" s="447"/>
      <c r="Q415" s="212"/>
      <c r="R415" s="212"/>
      <c r="S415" s="447"/>
      <c r="T415" s="212"/>
      <c r="U415" s="212"/>
      <c r="V415" s="447"/>
      <c r="W415" s="212"/>
      <c r="X415" s="212"/>
      <c r="Y415" s="447"/>
      <c r="Z415" s="212"/>
      <c r="AA415" s="212"/>
      <c r="AB415" s="447"/>
      <c r="AC415" s="241"/>
      <c r="AD415" s="241"/>
      <c r="AE415" s="447"/>
      <c r="AF415" s="31"/>
      <c r="AG415" s="31"/>
      <c r="AH415" s="89"/>
      <c r="AI415" s="176"/>
      <c r="AJ415" s="89"/>
      <c r="AK415" s="89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</row>
    <row r="416" spans="1:49">
      <c r="A416" s="167"/>
      <c r="B416" s="334"/>
      <c r="C416" s="31"/>
      <c r="D416" s="450"/>
      <c r="E416" s="213" t="str">
        <f>E474</f>
        <v>Aum resp feb 21</v>
      </c>
      <c r="F416" s="214">
        <f>F474</f>
        <v>49007.957949631775</v>
      </c>
      <c r="G416" s="739"/>
      <c r="H416" s="213" t="str">
        <f>H474</f>
        <v>Aum resp feb 21</v>
      </c>
      <c r="I416" s="214">
        <f>I474</f>
        <v>40508.172590844624</v>
      </c>
      <c r="J416" s="451"/>
      <c r="K416" s="213" t="str">
        <f>K474</f>
        <v>Aum resp feb 21</v>
      </c>
      <c r="L416" s="214">
        <f>L474</f>
        <v>32073.286224020543</v>
      </c>
      <c r="M416" s="451"/>
      <c r="N416" s="213" t="str">
        <f>N474</f>
        <v>Aum resp feb 21</v>
      </c>
      <c r="O416" s="214">
        <f>O474</f>
        <v>23595.204445728959</v>
      </c>
      <c r="P416" s="451"/>
      <c r="Q416" s="213" t="str">
        <f t="shared" si="194"/>
        <v>Aum resp feb 21</v>
      </c>
      <c r="R416" s="214">
        <f t="shared" si="194"/>
        <v>13717.122667437347</v>
      </c>
      <c r="S416" s="451"/>
      <c r="T416" s="213" t="str">
        <f t="shared" si="194"/>
        <v>Aum resp feb 21</v>
      </c>
      <c r="U416" s="214">
        <f t="shared" ref="U416:AA416" si="198">U474</f>
        <v>7782.4654226332641</v>
      </c>
      <c r="V416" s="451"/>
      <c r="W416" s="213" t="str">
        <f t="shared" si="198"/>
        <v>Aum resp feb 21</v>
      </c>
      <c r="X416" s="214">
        <f t="shared" si="198"/>
        <v>1000</v>
      </c>
      <c r="Y416" s="451"/>
      <c r="Z416" s="213" t="str">
        <f t="shared" si="198"/>
        <v>Aum resp feb 21</v>
      </c>
      <c r="AA416" s="214">
        <f t="shared" si="198"/>
        <v>0</v>
      </c>
      <c r="AB416" s="447"/>
      <c r="AC416" s="241"/>
      <c r="AD416" s="241"/>
      <c r="AE416" s="447"/>
      <c r="AF416" s="31"/>
      <c r="AG416" s="31"/>
      <c r="AH416" s="89"/>
      <c r="AI416" s="176"/>
      <c r="AJ416" s="89"/>
      <c r="AK416" s="89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</row>
    <row r="417" spans="1:49" ht="16.5" thickBot="1">
      <c r="A417" s="167"/>
      <c r="B417" s="334"/>
      <c r="C417" s="31"/>
      <c r="D417" s="450"/>
      <c r="E417" s="215" t="str">
        <f>E475</f>
        <v>Resp feb 21 Porc</v>
      </c>
      <c r="F417" s="216">
        <f>F475</f>
        <v>0.54428601556893497</v>
      </c>
      <c r="G417" s="739"/>
      <c r="H417" s="215" t="str">
        <f>H475</f>
        <v>Resp feb 21 Porc</v>
      </c>
      <c r="I417" s="216">
        <f>I475</f>
        <v>0.44988676900411889</v>
      </c>
      <c r="J417" s="451"/>
      <c r="K417" s="215" t="str">
        <f>K475</f>
        <v>Resp feb 21 Porc</v>
      </c>
      <c r="L417" s="216">
        <f>L475</f>
        <v>0.35620829545715277</v>
      </c>
      <c r="M417" s="451"/>
      <c r="N417" s="215" t="str">
        <f>N475</f>
        <v>Resp feb 21 Porc</v>
      </c>
      <c r="O417" s="216">
        <f>O475</f>
        <v>0.26205009046692446</v>
      </c>
      <c r="P417" s="451"/>
      <c r="Q417" s="215" t="str">
        <f t="shared" si="194"/>
        <v>Resp feb 21 Porc</v>
      </c>
      <c r="R417" s="216">
        <f t="shared" si="194"/>
        <v>0.15234338164840616</v>
      </c>
      <c r="S417" s="451"/>
      <c r="T417" s="215" t="str">
        <f t="shared" si="194"/>
        <v>Resp feb 21 Porc</v>
      </c>
      <c r="U417" s="216">
        <f t="shared" ref="U417:AA417" si="199">U475</f>
        <v>8.6432638155246655E-2</v>
      </c>
      <c r="V417" s="451"/>
      <c r="W417" s="215" t="str">
        <f t="shared" si="199"/>
        <v>Resp feb 21 Porc</v>
      </c>
      <c r="X417" s="216">
        <f t="shared" si="199"/>
        <v>1.1106074163064052E-2</v>
      </c>
      <c r="Y417" s="451"/>
      <c r="Z417" s="215" t="str">
        <f t="shared" si="199"/>
        <v>Resp feb 21 Porc</v>
      </c>
      <c r="AA417" s="216">
        <f t="shared" si="199"/>
        <v>0</v>
      </c>
      <c r="AB417" s="447"/>
      <c r="AC417" s="241"/>
      <c r="AD417" s="241"/>
      <c r="AE417" s="447"/>
      <c r="AF417" s="31"/>
      <c r="AG417" s="31"/>
      <c r="AH417" s="89"/>
      <c r="AI417" s="176"/>
      <c r="AJ417" s="89"/>
      <c r="AK417" s="89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</row>
    <row r="418" spans="1:49" ht="16.5" thickBot="1">
      <c r="A418" s="167"/>
      <c r="B418" s="334"/>
      <c r="C418" s="31"/>
      <c r="D418" s="450"/>
      <c r="E418" s="212"/>
      <c r="F418" s="212"/>
      <c r="G418" s="739"/>
      <c r="H418" s="212"/>
      <c r="I418" s="212"/>
      <c r="J418" s="447"/>
      <c r="K418" s="212"/>
      <c r="L418" s="212"/>
      <c r="M418" s="447"/>
      <c r="N418" s="212"/>
      <c r="O418" s="212"/>
      <c r="P418" s="447"/>
      <c r="Q418" s="212"/>
      <c r="R418" s="212"/>
      <c r="S418" s="447"/>
      <c r="T418" s="212"/>
      <c r="U418" s="212"/>
      <c r="V418" s="447"/>
      <c r="W418" s="212"/>
      <c r="X418" s="212"/>
      <c r="Y418" s="447"/>
      <c r="Z418" s="212"/>
      <c r="AA418" s="212"/>
      <c r="AB418" s="447"/>
      <c r="AC418" s="241"/>
      <c r="AD418" s="241"/>
      <c r="AE418" s="447"/>
      <c r="AF418" s="31"/>
      <c r="AG418" s="31"/>
      <c r="AH418" s="89"/>
      <c r="AI418" s="176"/>
      <c r="AJ418" s="89"/>
      <c r="AK418" s="89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</row>
    <row r="419" spans="1:49">
      <c r="A419" s="167"/>
      <c r="B419" s="13"/>
      <c r="C419" s="13"/>
      <c r="D419" s="13"/>
      <c r="E419" s="217" t="str">
        <f>E477</f>
        <v>Aum Acum anual</v>
      </c>
      <c r="F419" s="218">
        <f>F477</f>
        <v>63806.888008586015</v>
      </c>
      <c r="G419" s="724"/>
      <c r="H419" s="217" t="str">
        <f>H477</f>
        <v>Aum Acum anual</v>
      </c>
      <c r="I419" s="218">
        <f>I477</f>
        <v>55307.102649798864</v>
      </c>
      <c r="J419" s="451"/>
      <c r="K419" s="217" t="str">
        <f>K477</f>
        <v>Aum Acum anual</v>
      </c>
      <c r="L419" s="218">
        <f>L477</f>
        <v>46872.216282974783</v>
      </c>
      <c r="M419" s="451"/>
      <c r="N419" s="217" t="str">
        <f>N477</f>
        <v>Aum Acum anual</v>
      </c>
      <c r="O419" s="218">
        <f>O477</f>
        <v>38394.134504683199</v>
      </c>
      <c r="P419" s="451"/>
      <c r="Q419" s="217" t="str">
        <f t="shared" si="194"/>
        <v>Aum Acum anual</v>
      </c>
      <c r="R419" s="218">
        <f t="shared" si="194"/>
        <v>28516.052726391586</v>
      </c>
      <c r="S419" s="451"/>
      <c r="T419" s="217" t="str">
        <f t="shared" si="194"/>
        <v>Aum Acum anual</v>
      </c>
      <c r="U419" s="218">
        <f t="shared" ref="U419:AA419" si="200">U477</f>
        <v>22581.395481587504</v>
      </c>
      <c r="V419" s="451"/>
      <c r="W419" s="217" t="str">
        <f t="shared" si="200"/>
        <v>Aum Acum anual</v>
      </c>
      <c r="X419" s="218">
        <f t="shared" si="200"/>
        <v>15798.93005895424</v>
      </c>
      <c r="Y419" s="451"/>
      <c r="Z419" s="217" t="str">
        <f t="shared" si="200"/>
        <v>Aum Acum anual</v>
      </c>
      <c r="AA419" s="218">
        <f t="shared" si="200"/>
        <v>14798.93005895424</v>
      </c>
      <c r="AB419" s="447"/>
      <c r="AC419" s="241"/>
      <c r="AD419" s="241"/>
      <c r="AE419" s="447"/>
      <c r="AF419" s="31"/>
      <c r="AG419" s="31"/>
      <c r="AH419" s="89"/>
      <c r="AI419" s="176"/>
      <c r="AJ419" s="89"/>
      <c r="AK419" s="89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</row>
    <row r="420" spans="1:49" ht="16.5" thickBot="1">
      <c r="A420" s="167"/>
      <c r="B420" s="13"/>
      <c r="C420" s="13"/>
      <c r="D420" s="13"/>
      <c r="E420" s="219" t="str">
        <f>E478</f>
        <v>Aum Acum anual Porc</v>
      </c>
      <c r="F420" s="220">
        <f>F478</f>
        <v>0.84802348716546094</v>
      </c>
      <c r="G420" s="724"/>
      <c r="H420" s="219" t="str">
        <f>H478</f>
        <v>Aum Acum anual Porc</v>
      </c>
      <c r="I420" s="220">
        <f>I478</f>
        <v>0.73505735067018663</v>
      </c>
      <c r="J420" s="451"/>
      <c r="K420" s="219" t="str">
        <f>K478</f>
        <v>Aum Acum anual Porc</v>
      </c>
      <c r="L420" s="220">
        <f>L478</f>
        <v>0.62295375223617377</v>
      </c>
      <c r="M420" s="451"/>
      <c r="N420" s="219" t="str">
        <f>N478</f>
        <v>Aum Acum anual Porc</v>
      </c>
      <c r="O420" s="220">
        <f>O478</f>
        <v>0.51027606651150192</v>
      </c>
      <c r="P420" s="451"/>
      <c r="Q420" s="219" t="str">
        <f t="shared" si="194"/>
        <v>Aum Acum anual Porc</v>
      </c>
      <c r="R420" s="220">
        <f t="shared" si="194"/>
        <v>0.37899172374579237</v>
      </c>
      <c r="S420" s="451"/>
      <c r="T420" s="219" t="str">
        <f t="shared" si="194"/>
        <v>Aum Acum anual Porc</v>
      </c>
      <c r="U420" s="220">
        <f t="shared" ref="U420:AA420" si="201">U478</f>
        <v>0.3001173437385225</v>
      </c>
      <c r="V420" s="451"/>
      <c r="W420" s="219" t="str">
        <f t="shared" si="201"/>
        <v>Aum Acum anual Porc</v>
      </c>
      <c r="X420" s="220">
        <f t="shared" si="201"/>
        <v>0.20997519515878516</v>
      </c>
      <c r="Y420" s="451"/>
      <c r="Z420" s="219" t="str">
        <f t="shared" si="201"/>
        <v>Aum Acum anual Porc</v>
      </c>
      <c r="AA420" s="220">
        <f t="shared" si="201"/>
        <v>0.1966847258437584</v>
      </c>
      <c r="AB420" s="447"/>
      <c r="AC420" s="241"/>
      <c r="AD420" s="241"/>
      <c r="AE420" s="447"/>
      <c r="AF420" s="31"/>
      <c r="AG420" s="31"/>
      <c r="AH420" s="89"/>
      <c r="AI420" s="176"/>
      <c r="AJ420" s="89"/>
      <c r="AK420" s="89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</row>
    <row r="421" spans="1:49" ht="16.5" thickBot="1">
      <c r="A421" s="167"/>
      <c r="B421" s="13"/>
      <c r="C421" s="13"/>
      <c r="D421" s="13"/>
      <c r="E421" s="212"/>
      <c r="F421" s="212"/>
      <c r="G421" s="724"/>
      <c r="H421" s="212"/>
      <c r="I421" s="212"/>
      <c r="J421" s="447"/>
      <c r="K421" s="241"/>
      <c r="L421" s="241"/>
      <c r="M421" s="447"/>
      <c r="N421" s="241"/>
      <c r="O421" s="241"/>
      <c r="P421" s="447"/>
      <c r="Q421" s="241"/>
      <c r="R421" s="241"/>
      <c r="S421" s="447"/>
      <c r="T421" s="241"/>
      <c r="U421" s="241"/>
      <c r="V421" s="447"/>
      <c r="W421" s="241"/>
      <c r="X421" s="241"/>
      <c r="Y421" s="447"/>
      <c r="Z421" s="241"/>
      <c r="AA421" s="241"/>
      <c r="AB421" s="447"/>
      <c r="AC421" s="241"/>
      <c r="AD421" s="241"/>
      <c r="AE421" s="447"/>
      <c r="AF421" s="31"/>
      <c r="AG421" s="31"/>
      <c r="AH421" s="89"/>
      <c r="AI421" s="176"/>
      <c r="AJ421" s="89"/>
      <c r="AK421" s="89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</row>
    <row r="422" spans="1:49" ht="16.5" thickTop="1">
      <c r="A422" s="167"/>
      <c r="B422" s="13"/>
      <c r="C422" s="13"/>
      <c r="D422" s="13"/>
      <c r="E422" s="221" t="str">
        <f t="shared" ref="E422:E429" si="202">E480</f>
        <v>Medio Aguinaldo</v>
      </c>
      <c r="F422" s="222"/>
      <c r="G422" s="724"/>
      <c r="H422" s="221" t="str">
        <f t="shared" ref="H422:H429" si="203">H480</f>
        <v>Medio Aguinaldo</v>
      </c>
      <c r="I422" s="222"/>
      <c r="J422" s="447"/>
      <c r="K422" s="221" t="str">
        <f t="shared" ref="K422:K429" si="204">K480</f>
        <v>Medio Aguinaldo</v>
      </c>
      <c r="L422" s="222"/>
      <c r="M422" s="447"/>
      <c r="N422" s="221" t="str">
        <f t="shared" ref="N422:N429" si="205">N480</f>
        <v>Medio Aguinaldo</v>
      </c>
      <c r="O422" s="222"/>
      <c r="P422" s="447"/>
      <c r="Q422" s="221" t="str">
        <f t="shared" si="194"/>
        <v>Medio Aguinaldo</v>
      </c>
      <c r="R422" s="222"/>
      <c r="S422" s="447"/>
      <c r="T422" s="221" t="str">
        <f t="shared" si="194"/>
        <v>Medio Aguinaldo</v>
      </c>
      <c r="U422" s="222"/>
      <c r="V422" s="447"/>
      <c r="W422" s="221" t="str">
        <f t="shared" ref="W422:AC422" si="206">W480</f>
        <v>Medio Aguinaldo</v>
      </c>
      <c r="X422" s="222"/>
      <c r="Y422" s="447"/>
      <c r="Z422" s="221" t="str">
        <f t="shared" si="206"/>
        <v>Medio Aguinaldo</v>
      </c>
      <c r="AA422" s="222"/>
      <c r="AB422" s="447"/>
      <c r="AC422" s="221" t="str">
        <f t="shared" si="206"/>
        <v>Medio Aguinaldo</v>
      </c>
      <c r="AD422" s="222"/>
      <c r="AE422" s="447"/>
      <c r="AF422" s="31"/>
      <c r="AG422" s="31"/>
      <c r="AH422" s="89"/>
      <c r="AI422" s="176"/>
      <c r="AJ422" s="89"/>
      <c r="AK422" s="89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</row>
    <row r="423" spans="1:49">
      <c r="A423" s="167"/>
      <c r="B423" s="13"/>
      <c r="C423" s="13"/>
      <c r="D423" s="13"/>
      <c r="E423" s="223" t="str">
        <f t="shared" si="202"/>
        <v>código 100</v>
      </c>
      <c r="F423" s="224">
        <f>F481</f>
        <v>79560.972674412114</v>
      </c>
      <c r="G423" s="724"/>
      <c r="H423" s="223" t="str">
        <f t="shared" si="203"/>
        <v>código 100</v>
      </c>
      <c r="I423" s="224">
        <f>I481</f>
        <v>74868.775108059999</v>
      </c>
      <c r="J423" s="447"/>
      <c r="K423" s="223" t="str">
        <f t="shared" si="204"/>
        <v>código 100</v>
      </c>
      <c r="L423" s="224">
        <f>L481</f>
        <v>71177.925377448017</v>
      </c>
      <c r="M423" s="447"/>
      <c r="N423" s="223" t="str">
        <f t="shared" si="205"/>
        <v>código 100</v>
      </c>
      <c r="O423" s="224">
        <f>O481</f>
        <v>65905.486460600005</v>
      </c>
      <c r="P423" s="447"/>
      <c r="Q423" s="223" t="str">
        <f t="shared" si="194"/>
        <v>código 100</v>
      </c>
      <c r="R423" s="224">
        <f t="shared" si="194"/>
        <v>60633.047543751985</v>
      </c>
      <c r="S423" s="447"/>
      <c r="T423" s="223" t="str">
        <f t="shared" si="194"/>
        <v>código 100</v>
      </c>
      <c r="U423" s="224">
        <f>U481</f>
        <v>56942.340301958408</v>
      </c>
      <c r="V423" s="447"/>
      <c r="W423" s="223" t="str">
        <f t="shared" ref="W423:AD423" si="207">W481</f>
        <v>código 100</v>
      </c>
      <c r="X423" s="224">
        <f t="shared" si="207"/>
        <v>52724.389168480004</v>
      </c>
      <c r="Y423" s="447"/>
      <c r="Z423" s="223" t="str">
        <f t="shared" si="207"/>
        <v>código 100</v>
      </c>
      <c r="AA423" s="224">
        <f t="shared" si="207"/>
        <v>52724.389168480004</v>
      </c>
      <c r="AB423" s="447"/>
      <c r="AC423" s="223" t="str">
        <f t="shared" si="207"/>
        <v>código 100</v>
      </c>
      <c r="AD423" s="224">
        <f t="shared" si="207"/>
        <v>43521.074455200003</v>
      </c>
      <c r="AE423" s="447"/>
      <c r="AF423" s="31"/>
      <c r="AG423" s="31"/>
      <c r="AH423" s="89"/>
      <c r="AI423" s="176"/>
      <c r="AJ423" s="89"/>
      <c r="AK423" s="89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</row>
    <row r="424" spans="1:49">
      <c r="A424" s="167"/>
      <c r="B424" s="13"/>
      <c r="C424" s="13"/>
      <c r="D424" s="13"/>
      <c r="E424" s="223" t="str">
        <f t="shared" si="202"/>
        <v>código 186 (No remun)</v>
      </c>
      <c r="F424" s="224">
        <f>F482</f>
        <v>0</v>
      </c>
      <c r="G424" s="724"/>
      <c r="H424" s="223" t="str">
        <f t="shared" si="203"/>
        <v>código 186 (No remun)</v>
      </c>
      <c r="I424" s="224">
        <f>I482</f>
        <v>0</v>
      </c>
      <c r="J424" s="447"/>
      <c r="K424" s="223" t="str">
        <f t="shared" si="204"/>
        <v>código 186 (No remun)</v>
      </c>
      <c r="L424" s="224">
        <f>L482</f>
        <v>0</v>
      </c>
      <c r="M424" s="447"/>
      <c r="N424" s="223" t="str">
        <f t="shared" si="205"/>
        <v>código 186 (No remun)</v>
      </c>
      <c r="O424" s="224">
        <f>O482</f>
        <v>0</v>
      </c>
      <c r="P424" s="447"/>
      <c r="Q424" s="223" t="str">
        <f t="shared" si="194"/>
        <v>código 186 (No remun)</v>
      </c>
      <c r="R424" s="224">
        <f t="shared" si="194"/>
        <v>0</v>
      </c>
      <c r="S424" s="447"/>
      <c r="T424" s="223" t="str">
        <f t="shared" si="194"/>
        <v>código 186 (No remun)</v>
      </c>
      <c r="U424" s="224">
        <f>U482</f>
        <v>0</v>
      </c>
      <c r="V424" s="447"/>
      <c r="W424" s="223" t="str">
        <f t="shared" ref="W424:AD424" si="208">W482</f>
        <v>código 186 (No remun)</v>
      </c>
      <c r="X424" s="224">
        <f t="shared" si="208"/>
        <v>0</v>
      </c>
      <c r="Y424" s="447"/>
      <c r="Z424" s="223" t="str">
        <f t="shared" si="208"/>
        <v>código 186 (No remun)</v>
      </c>
      <c r="AA424" s="224">
        <f t="shared" si="208"/>
        <v>0</v>
      </c>
      <c r="AB424" s="447"/>
      <c r="AC424" s="223" t="str">
        <f t="shared" si="208"/>
        <v>código 186 (No remun)</v>
      </c>
      <c r="AD424" s="224">
        <f t="shared" si="208"/>
        <v>0</v>
      </c>
      <c r="AE424" s="447"/>
      <c r="AF424" s="31"/>
      <c r="AG424" s="31"/>
      <c r="AH424" s="89"/>
      <c r="AI424" s="176"/>
      <c r="AJ424" s="89"/>
      <c r="AK424" s="89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</row>
    <row r="425" spans="1:49">
      <c r="A425" s="167"/>
      <c r="B425" s="13"/>
      <c r="C425" s="13"/>
      <c r="D425" s="13"/>
      <c r="E425" s="223" t="str">
        <f t="shared" si="202"/>
        <v>Líquido</v>
      </c>
      <c r="F425" s="224">
        <f>F483</f>
        <v>63967.022030227345</v>
      </c>
      <c r="G425" s="724"/>
      <c r="H425" s="223" t="str">
        <f t="shared" si="203"/>
        <v>Líquido</v>
      </c>
      <c r="I425" s="224">
        <f>I483</f>
        <v>60194.495186880245</v>
      </c>
      <c r="J425" s="447"/>
      <c r="K425" s="223" t="str">
        <f t="shared" si="204"/>
        <v>Líquido</v>
      </c>
      <c r="L425" s="224">
        <f>L483</f>
        <v>57227.052003468212</v>
      </c>
      <c r="M425" s="447"/>
      <c r="N425" s="223" t="str">
        <f t="shared" si="205"/>
        <v>Líquido</v>
      </c>
      <c r="O425" s="224">
        <f>O483</f>
        <v>52988.011114322406</v>
      </c>
      <c r="P425" s="447"/>
      <c r="Q425" s="223" t="str">
        <f t="shared" si="194"/>
        <v>Líquido</v>
      </c>
      <c r="R425" s="224">
        <f t="shared" si="194"/>
        <v>48748.970225176599</v>
      </c>
      <c r="S425" s="447"/>
      <c r="T425" s="223" t="str">
        <f t="shared" si="194"/>
        <v>Líquido</v>
      </c>
      <c r="U425" s="224">
        <f>U483</f>
        <v>45781.641602774565</v>
      </c>
      <c r="V425" s="447"/>
      <c r="W425" s="223" t="str">
        <f t="shared" ref="W425:AD425" si="209">W483</f>
        <v>Líquido</v>
      </c>
      <c r="X425" s="224">
        <f t="shared" si="209"/>
        <v>42390.408891457926</v>
      </c>
      <c r="Y425" s="447"/>
      <c r="Z425" s="223" t="str">
        <f t="shared" si="209"/>
        <v>Líquido</v>
      </c>
      <c r="AA425" s="224">
        <f t="shared" si="209"/>
        <v>42390.408891457926</v>
      </c>
      <c r="AB425" s="447"/>
      <c r="AC425" s="223" t="str">
        <f t="shared" si="209"/>
        <v>Líquido</v>
      </c>
      <c r="AD425" s="224">
        <f t="shared" si="209"/>
        <v>34990.943861980806</v>
      </c>
      <c r="AE425" s="447"/>
      <c r="AF425" s="31"/>
      <c r="AG425" s="31"/>
      <c r="AH425" s="89"/>
      <c r="AI425" s="176"/>
      <c r="AJ425" s="89"/>
      <c r="AK425" s="89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</row>
    <row r="426" spans="1:49">
      <c r="A426" s="167"/>
      <c r="B426" s="13"/>
      <c r="C426" s="13"/>
      <c r="D426" s="13"/>
      <c r="E426" s="223" t="str">
        <f t="shared" si="202"/>
        <v>Descuentos con aguinaldo</v>
      </c>
      <c r="F426" s="224"/>
      <c r="G426" s="724"/>
      <c r="H426" s="223" t="str">
        <f t="shared" si="203"/>
        <v>Descuentos con aguinaldo</v>
      </c>
      <c r="I426" s="224"/>
      <c r="J426" s="447"/>
      <c r="K426" s="223" t="str">
        <f t="shared" si="204"/>
        <v>Descuentos con aguinaldo</v>
      </c>
      <c r="L426" s="224"/>
      <c r="M426" s="447"/>
      <c r="N426" s="223" t="str">
        <f t="shared" si="205"/>
        <v>Descuentos con aguinaldo</v>
      </c>
      <c r="O426" s="224"/>
      <c r="P426" s="447"/>
      <c r="Q426" s="223" t="str">
        <f>Q484</f>
        <v>Descuentos con aguinaldo</v>
      </c>
      <c r="R426" s="224"/>
      <c r="S426" s="447"/>
      <c r="T426" s="223" t="str">
        <f t="shared" ref="T426:T429" si="210">T484</f>
        <v>Descuentos con aguinaldo</v>
      </c>
      <c r="U426" s="224"/>
      <c r="V426" s="447"/>
      <c r="W426" s="223" t="str">
        <f t="shared" ref="W426:AC426" si="211">W484</f>
        <v>Descuentos con aguinaldo</v>
      </c>
      <c r="X426" s="224"/>
      <c r="Y426" s="447"/>
      <c r="Z426" s="223" t="str">
        <f t="shared" si="211"/>
        <v>Descuentos con aguinaldo</v>
      </c>
      <c r="AA426" s="224"/>
      <c r="AB426" s="447"/>
      <c r="AC426" s="223" t="str">
        <f t="shared" si="211"/>
        <v>Descuentos con aguinaldo</v>
      </c>
      <c r="AD426" s="224"/>
      <c r="AE426" s="447"/>
      <c r="AF426" s="31"/>
      <c r="AG426" s="31"/>
      <c r="AH426" s="89"/>
      <c r="AI426" s="176"/>
      <c r="AJ426" s="89"/>
      <c r="AK426" s="89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</row>
    <row r="427" spans="1:49">
      <c r="A427" s="167"/>
      <c r="B427" s="13"/>
      <c r="C427" s="13"/>
      <c r="D427" s="13"/>
      <c r="E427" s="223">
        <f t="shared" si="202"/>
        <v>502</v>
      </c>
      <c r="F427" s="224">
        <f>F485</f>
        <v>-38189.266883717813</v>
      </c>
      <c r="G427" s="724"/>
      <c r="H427" s="223">
        <f t="shared" si="203"/>
        <v>502</v>
      </c>
      <c r="I427" s="224">
        <f>I485</f>
        <v>-35937.012051868805</v>
      </c>
      <c r="J427" s="447"/>
      <c r="K427" s="223">
        <f t="shared" si="204"/>
        <v>502</v>
      </c>
      <c r="L427" s="224">
        <f>L485</f>
        <v>-34165.404181175058</v>
      </c>
      <c r="M427" s="447"/>
      <c r="N427" s="223">
        <f t="shared" si="205"/>
        <v>502</v>
      </c>
      <c r="O427" s="224">
        <f>O485</f>
        <v>-31634.633501088007</v>
      </c>
      <c r="P427" s="447"/>
      <c r="Q427" s="223">
        <f>Q485</f>
        <v>502</v>
      </c>
      <c r="R427" s="224">
        <f>R485</f>
        <v>-29103.862821000956</v>
      </c>
      <c r="S427" s="447"/>
      <c r="T427" s="223">
        <f t="shared" si="210"/>
        <v>502</v>
      </c>
      <c r="U427" s="224">
        <f>U485</f>
        <v>-27332.323344940036</v>
      </c>
      <c r="V427" s="447"/>
      <c r="W427" s="223">
        <f t="shared" ref="W427:AD427" si="212">W485</f>
        <v>502</v>
      </c>
      <c r="X427" s="224">
        <f t="shared" si="212"/>
        <v>-25307.706800870401</v>
      </c>
      <c r="Y427" s="447"/>
      <c r="Z427" s="223">
        <f t="shared" si="212"/>
        <v>502</v>
      </c>
      <c r="AA427" s="224">
        <f t="shared" si="212"/>
        <v>-25307.706800870401</v>
      </c>
      <c r="AB427" s="447"/>
      <c r="AC427" s="223">
        <f t="shared" si="212"/>
        <v>502</v>
      </c>
      <c r="AD427" s="224">
        <f t="shared" si="212"/>
        <v>-20890.115738496002</v>
      </c>
      <c r="AE427" s="447"/>
      <c r="AF427" s="31"/>
      <c r="AG427" s="31"/>
      <c r="AH427" s="89"/>
      <c r="AI427" s="176"/>
      <c r="AJ427" s="89"/>
      <c r="AK427" s="89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</row>
    <row r="428" spans="1:49">
      <c r="A428" s="167"/>
      <c r="B428" s="13"/>
      <c r="C428" s="13"/>
      <c r="D428" s="13"/>
      <c r="E428" s="223">
        <f t="shared" si="202"/>
        <v>504</v>
      </c>
      <c r="F428" s="224">
        <f>F486</f>
        <v>0</v>
      </c>
      <c r="G428" s="724"/>
      <c r="H428" s="223">
        <f t="shared" si="203"/>
        <v>504</v>
      </c>
      <c r="I428" s="224">
        <f>I486</f>
        <v>-1347.6379519450802</v>
      </c>
      <c r="J428" s="447"/>
      <c r="K428" s="223">
        <f t="shared" si="204"/>
        <v>504</v>
      </c>
      <c r="L428" s="224">
        <f>L486</f>
        <v>-1281.2026567940645</v>
      </c>
      <c r="M428" s="447"/>
      <c r="N428" s="223">
        <f t="shared" si="205"/>
        <v>504</v>
      </c>
      <c r="O428" s="224">
        <f>O486</f>
        <v>-1186.2987562908002</v>
      </c>
      <c r="P428" s="447"/>
      <c r="Q428" s="223">
        <f>Q486</f>
        <v>504</v>
      </c>
      <c r="R428" s="224">
        <f>R486</f>
        <v>-1091.3948557875358</v>
      </c>
      <c r="S428" s="447"/>
      <c r="T428" s="223">
        <f t="shared" si="210"/>
        <v>504</v>
      </c>
      <c r="U428" s="224">
        <f>U486</f>
        <v>-1024.9621254352514</v>
      </c>
      <c r="V428" s="447"/>
      <c r="W428" s="223">
        <f t="shared" ref="W428:AD428" si="213">W486</f>
        <v>504</v>
      </c>
      <c r="X428" s="224">
        <f t="shared" si="213"/>
        <v>-949.03900503264003</v>
      </c>
      <c r="Y428" s="447"/>
      <c r="Z428" s="223">
        <f t="shared" si="213"/>
        <v>504</v>
      </c>
      <c r="AA428" s="224">
        <f t="shared" si="213"/>
        <v>-949.03900503264003</v>
      </c>
      <c r="AB428" s="447"/>
      <c r="AC428" s="223">
        <f t="shared" si="213"/>
        <v>504</v>
      </c>
      <c r="AD428" s="224">
        <f t="shared" si="213"/>
        <v>-783.37934019360011</v>
      </c>
      <c r="AE428" s="447"/>
      <c r="AF428" s="31"/>
      <c r="AG428" s="31"/>
      <c r="AH428" s="89"/>
      <c r="AI428" s="176"/>
      <c r="AJ428" s="89"/>
      <c r="AK428" s="89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</row>
    <row r="429" spans="1:49">
      <c r="A429" s="167"/>
      <c r="B429" s="13"/>
      <c r="C429" s="13"/>
      <c r="D429" s="13"/>
      <c r="E429" s="223">
        <f t="shared" si="202"/>
        <v>505</v>
      </c>
      <c r="F429" s="224">
        <f>F487</f>
        <v>-7160.4875406970896</v>
      </c>
      <c r="G429" s="724"/>
      <c r="H429" s="223">
        <f t="shared" si="203"/>
        <v>505</v>
      </c>
      <c r="I429" s="224">
        <f>I487</f>
        <v>-6738.1897597254001</v>
      </c>
      <c r="J429" s="447"/>
      <c r="K429" s="223">
        <f t="shared" si="204"/>
        <v>505</v>
      </c>
      <c r="L429" s="224">
        <f>L487</f>
        <v>-6406.0132839703228</v>
      </c>
      <c r="M429" s="447"/>
      <c r="N429" s="223">
        <f t="shared" si="205"/>
        <v>505</v>
      </c>
      <c r="O429" s="224">
        <f>O487</f>
        <v>-5931.4937814540008</v>
      </c>
      <c r="P429" s="447"/>
      <c r="Q429" s="223">
        <f>Q487</f>
        <v>505</v>
      </c>
      <c r="R429" s="224">
        <f>R487</f>
        <v>-5456.9742789376787</v>
      </c>
      <c r="S429" s="447"/>
      <c r="T429" s="223">
        <f t="shared" si="210"/>
        <v>505</v>
      </c>
      <c r="U429" s="224">
        <f>U487</f>
        <v>-5124.8106271762563</v>
      </c>
      <c r="V429" s="447"/>
      <c r="W429" s="223">
        <f t="shared" ref="W429:AD429" si="214">W487</f>
        <v>505</v>
      </c>
      <c r="X429" s="224">
        <f t="shared" si="214"/>
        <v>-4745.1950251631997</v>
      </c>
      <c r="Y429" s="447"/>
      <c r="Z429" s="223">
        <f t="shared" si="214"/>
        <v>505</v>
      </c>
      <c r="AA429" s="224">
        <f t="shared" si="214"/>
        <v>-4745.1950251631997</v>
      </c>
      <c r="AB429" s="447"/>
      <c r="AC429" s="223">
        <f t="shared" si="214"/>
        <v>505</v>
      </c>
      <c r="AD429" s="224">
        <f t="shared" si="214"/>
        <v>-3916.8967009680005</v>
      </c>
      <c r="AE429" s="447"/>
      <c r="AF429" s="31"/>
      <c r="AG429" s="31"/>
      <c r="AH429" s="89"/>
      <c r="AI429" s="176"/>
      <c r="AJ429" s="89"/>
      <c r="AK429" s="89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</row>
    <row r="430" spans="1:49">
      <c r="A430" s="167"/>
      <c r="B430" s="13"/>
      <c r="C430" s="13"/>
      <c r="D430" s="13"/>
      <c r="E430" s="223"/>
      <c r="F430" s="224"/>
      <c r="G430" s="724"/>
      <c r="H430" s="223"/>
      <c r="I430" s="224"/>
      <c r="J430" s="447"/>
      <c r="K430" s="223"/>
      <c r="L430" s="224"/>
      <c r="M430" s="447"/>
      <c r="N430" s="223"/>
      <c r="O430" s="224"/>
      <c r="P430" s="447"/>
      <c r="Q430" s="223"/>
      <c r="R430" s="224"/>
      <c r="S430" s="447"/>
      <c r="T430" s="223"/>
      <c r="U430" s="224"/>
      <c r="V430" s="447"/>
      <c r="W430" s="223"/>
      <c r="X430" s="224"/>
      <c r="Y430" s="447"/>
      <c r="Z430" s="223"/>
      <c r="AA430" s="224"/>
      <c r="AB430" s="447"/>
      <c r="AC430" s="223"/>
      <c r="AD430" s="224"/>
      <c r="AE430" s="447"/>
      <c r="AF430" s="31"/>
      <c r="AG430" s="31"/>
      <c r="AH430" s="89"/>
      <c r="AI430" s="176"/>
      <c r="AJ430" s="89"/>
      <c r="AK430" s="89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</row>
    <row r="431" spans="1:49">
      <c r="A431" s="167"/>
      <c r="B431" s="13"/>
      <c r="C431" s="13"/>
      <c r="D431" s="13"/>
      <c r="E431" s="223" t="str">
        <f t="shared" ref="E431" si="215">E489</f>
        <v>Sueldo líquido incluyendo aguinaldo</v>
      </c>
      <c r="F431" s="224"/>
      <c r="G431" s="724"/>
      <c r="H431" s="223" t="str">
        <f t="shared" ref="H431:AC431" si="216">H489</f>
        <v>Sueldo líquido incluyendo aguinaldo</v>
      </c>
      <c r="I431" s="224"/>
      <c r="J431" s="447"/>
      <c r="K431" s="223" t="str">
        <f t="shared" si="216"/>
        <v>Sueldo líquido incluyendo aguinaldo</v>
      </c>
      <c r="L431" s="224"/>
      <c r="M431" s="447"/>
      <c r="N431" s="223" t="str">
        <f t="shared" si="216"/>
        <v>Sueldo líquido incluyendo aguinaldo</v>
      </c>
      <c r="O431" s="224"/>
      <c r="P431" s="447"/>
      <c r="Q431" s="223" t="str">
        <f t="shared" si="216"/>
        <v>Sueldo líquido incluyendo aguinaldo</v>
      </c>
      <c r="R431" s="224"/>
      <c r="S431" s="447"/>
      <c r="T431" s="223" t="str">
        <f t="shared" si="216"/>
        <v>Sueldo líquido incluyendo aguinaldo</v>
      </c>
      <c r="U431" s="224"/>
      <c r="V431" s="447"/>
      <c r="W431" s="223" t="str">
        <f t="shared" si="216"/>
        <v>Sueldo líquido incluyendo aguinaldo</v>
      </c>
      <c r="X431" s="224"/>
      <c r="Y431" s="447"/>
      <c r="Z431" s="223" t="str">
        <f t="shared" si="216"/>
        <v>Sueldo líquido incluyendo aguinaldo</v>
      </c>
      <c r="AA431" s="224"/>
      <c r="AB431" s="447"/>
      <c r="AC431" s="223" t="str">
        <f t="shared" si="216"/>
        <v>Sueldo líquido incluyendo aguinaldo</v>
      </c>
      <c r="AD431" s="224"/>
      <c r="AE431" s="447"/>
      <c r="AF431" s="31"/>
      <c r="AG431" s="31"/>
      <c r="AH431" s="89"/>
      <c r="AI431" s="176"/>
      <c r="AJ431" s="89"/>
      <c r="AK431" s="89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</row>
    <row r="432" spans="1:49">
      <c r="A432" s="167"/>
      <c r="B432" s="13"/>
      <c r="C432" s="13"/>
      <c r="D432" s="13"/>
      <c r="E432" s="223"/>
      <c r="F432" s="225">
        <f t="shared" ref="F432" si="217">F490</f>
        <v>203493.16359882141</v>
      </c>
      <c r="G432" s="724"/>
      <c r="H432" s="223"/>
      <c r="I432" s="225">
        <f t="shared" ref="I432:AD432" si="218">I490</f>
        <v>190743.48556064072</v>
      </c>
      <c r="J432" s="447"/>
      <c r="K432" s="223"/>
      <c r="L432" s="225">
        <f t="shared" si="218"/>
        <v>179341.15601040458</v>
      </c>
      <c r="M432" s="447"/>
      <c r="N432" s="223"/>
      <c r="O432" s="225">
        <f t="shared" si="218"/>
        <v>166624.03334296722</v>
      </c>
      <c r="P432" s="447"/>
      <c r="Q432" s="223"/>
      <c r="R432" s="225">
        <f t="shared" si="218"/>
        <v>152506.9106755298</v>
      </c>
      <c r="S432" s="447"/>
      <c r="T432" s="223"/>
      <c r="U432" s="225">
        <f t="shared" si="218"/>
        <v>143604.9248083237</v>
      </c>
      <c r="V432" s="447"/>
      <c r="W432" s="223"/>
      <c r="X432" s="225">
        <f t="shared" si="218"/>
        <v>133431.22667437376</v>
      </c>
      <c r="Y432" s="447"/>
      <c r="Z432" s="223"/>
      <c r="AA432" s="225">
        <f t="shared" si="218"/>
        <v>132431.22667437376</v>
      </c>
      <c r="AB432" s="447"/>
      <c r="AC432" s="223"/>
      <c r="AD432" s="225">
        <f t="shared" si="218"/>
        <v>110232.8315859424</v>
      </c>
      <c r="AE432" s="447"/>
      <c r="AF432" s="31"/>
      <c r="AG432" s="31"/>
      <c r="AH432" s="89"/>
      <c r="AI432" s="176"/>
      <c r="AJ432" s="89"/>
      <c r="AK432" s="89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</row>
    <row r="433" spans="1:49">
      <c r="A433" s="167"/>
      <c r="B433" s="13"/>
      <c r="C433" s="13"/>
      <c r="D433" s="13"/>
      <c r="E433" s="879" t="str">
        <f t="shared" ref="E433" si="219">E491</f>
        <v>Aguinaldo de bolsillo</v>
      </c>
      <c r="F433" s="902"/>
      <c r="G433" s="903"/>
      <c r="H433" s="879" t="str">
        <f t="shared" ref="H433:AC433" si="220">H491</f>
        <v>Aguinaldo de bolsillo</v>
      </c>
      <c r="I433" s="902"/>
      <c r="J433" s="904"/>
      <c r="K433" s="879" t="str">
        <f t="shared" si="220"/>
        <v>Aguinaldo de bolsillo</v>
      </c>
      <c r="L433" s="902"/>
      <c r="M433" s="904"/>
      <c r="N433" s="879" t="str">
        <f t="shared" si="220"/>
        <v>Aguinaldo de bolsillo</v>
      </c>
      <c r="O433" s="224"/>
      <c r="P433" s="447"/>
      <c r="Q433" s="938" t="str">
        <f t="shared" si="220"/>
        <v>Aguinaldo de bolsillo</v>
      </c>
      <c r="R433" s="224"/>
      <c r="S433" s="447"/>
      <c r="T433" s="938" t="str">
        <f t="shared" si="220"/>
        <v>Aguinaldo de bolsillo</v>
      </c>
      <c r="U433" s="224"/>
      <c r="V433" s="447"/>
      <c r="W433" s="938" t="str">
        <f t="shared" si="220"/>
        <v>Aguinaldo de bolsillo</v>
      </c>
      <c r="X433" s="224"/>
      <c r="Y433" s="447"/>
      <c r="Z433" s="938" t="str">
        <f t="shared" si="220"/>
        <v>Aguinaldo de bolsillo</v>
      </c>
      <c r="AA433" s="224"/>
      <c r="AB433" s="447"/>
      <c r="AC433" s="938" t="str">
        <f t="shared" si="220"/>
        <v>Aguinaldo de bolsillo</v>
      </c>
      <c r="AD433" s="224"/>
      <c r="AE433" s="447"/>
      <c r="AF433" s="31"/>
      <c r="AG433" s="31"/>
      <c r="AH433" s="89"/>
      <c r="AI433" s="176"/>
      <c r="AJ433" s="89"/>
      <c r="AK433" s="89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</row>
    <row r="434" spans="1:49" ht="16.5" thickBot="1">
      <c r="A434" s="167"/>
      <c r="B434" s="13"/>
      <c r="C434" s="13"/>
      <c r="D434" s="13"/>
      <c r="E434" s="226"/>
      <c r="F434" s="227">
        <f t="shared" ref="F434" si="221">F492</f>
        <v>64444.387866273784</v>
      </c>
      <c r="G434" s="724"/>
      <c r="H434" s="226"/>
      <c r="I434" s="227">
        <f t="shared" ref="I434:AD434" si="222">I492</f>
        <v>60194.495186880245</v>
      </c>
      <c r="J434" s="447"/>
      <c r="K434" s="226"/>
      <c r="L434" s="227">
        <f t="shared" si="222"/>
        <v>57227.052003468183</v>
      </c>
      <c r="M434" s="447"/>
      <c r="N434" s="226"/>
      <c r="O434" s="227">
        <f t="shared" si="222"/>
        <v>52988.011114322406</v>
      </c>
      <c r="P434" s="447"/>
      <c r="Q434" s="226"/>
      <c r="R434" s="227">
        <f t="shared" si="222"/>
        <v>48748.970225176599</v>
      </c>
      <c r="S434" s="447"/>
      <c r="T434" s="226"/>
      <c r="U434" s="227">
        <f t="shared" si="222"/>
        <v>45781.641602774587</v>
      </c>
      <c r="V434" s="447"/>
      <c r="W434" s="226"/>
      <c r="X434" s="227">
        <f t="shared" si="222"/>
        <v>42390.408891457904</v>
      </c>
      <c r="Y434" s="447"/>
      <c r="Z434" s="226"/>
      <c r="AA434" s="227">
        <f t="shared" si="222"/>
        <v>42390.408891457904</v>
      </c>
      <c r="AB434" s="447"/>
      <c r="AC434" s="226"/>
      <c r="AD434" s="227">
        <f t="shared" si="222"/>
        <v>34990.943861980792</v>
      </c>
      <c r="AE434" s="447"/>
      <c r="AF434" s="31"/>
      <c r="AG434" s="31"/>
      <c r="AH434" s="89"/>
      <c r="AI434" s="176"/>
      <c r="AJ434" s="89"/>
      <c r="AK434" s="89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</row>
    <row r="435" spans="1:49" ht="16.5" thickTop="1">
      <c r="A435" s="167"/>
      <c r="B435" s="13"/>
      <c r="C435" s="13"/>
      <c r="D435" s="13"/>
      <c r="E435" s="203"/>
      <c r="F435" s="203"/>
      <c r="G435" s="724"/>
      <c r="H435" s="13"/>
      <c r="I435" s="13"/>
      <c r="J435" s="131"/>
      <c r="K435" s="13"/>
      <c r="L435" s="13"/>
      <c r="M435" s="131"/>
      <c r="N435" s="13"/>
      <c r="O435" s="13"/>
      <c r="P435" s="131"/>
      <c r="Q435" s="13"/>
      <c r="R435" s="13"/>
      <c r="S435" s="131"/>
      <c r="T435" s="13"/>
      <c r="U435" s="13"/>
      <c r="V435" s="131"/>
      <c r="W435" s="13"/>
      <c r="X435" s="13"/>
      <c r="Y435" s="131"/>
      <c r="Z435" s="13"/>
      <c r="AA435" s="13"/>
      <c r="AB435" s="131"/>
      <c r="AC435" s="13"/>
      <c r="AD435" s="13"/>
      <c r="AE435" s="131"/>
      <c r="AF435" s="31"/>
      <c r="AG435" s="31"/>
      <c r="AH435" s="89"/>
      <c r="AI435" s="176"/>
      <c r="AJ435" s="89"/>
      <c r="AK435" s="89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</row>
    <row r="436" spans="1:49" s="851" customFormat="1">
      <c r="A436" s="837"/>
      <c r="B436" s="837"/>
      <c r="C436" s="899"/>
      <c r="D436" s="900"/>
      <c r="E436" s="838">
        <v>44562</v>
      </c>
      <c r="F436" s="839">
        <v>8.8999999999999996E-2</v>
      </c>
      <c r="G436" s="901"/>
      <c r="H436" s="840">
        <v>44916</v>
      </c>
      <c r="I436" s="841">
        <v>7.0000000000000007E-2</v>
      </c>
      <c r="J436" s="842"/>
      <c r="K436" s="840">
        <v>44855</v>
      </c>
      <c r="L436" s="841">
        <v>0.1</v>
      </c>
      <c r="M436" s="842"/>
      <c r="N436" s="843" t="s">
        <v>0</v>
      </c>
      <c r="O436" s="841">
        <v>0.1</v>
      </c>
      <c r="P436" s="842"/>
      <c r="Q436" s="840">
        <v>44763</v>
      </c>
      <c r="R436" s="841">
        <v>7.0000000000000007E-2</v>
      </c>
      <c r="S436" s="842"/>
      <c r="T436" s="840">
        <v>44702</v>
      </c>
      <c r="U436" s="841">
        <v>0.08</v>
      </c>
      <c r="V436" s="842"/>
      <c r="W436" s="844">
        <v>44641</v>
      </c>
      <c r="X436" s="845"/>
      <c r="Y436" s="842"/>
      <c r="Z436" s="906">
        <v>44228</v>
      </c>
      <c r="AA436" s="846"/>
      <c r="AB436" s="842"/>
      <c r="AC436" s="907">
        <v>43891</v>
      </c>
      <c r="AD436" s="848"/>
      <c r="AE436" s="842"/>
      <c r="AF436" s="849"/>
      <c r="AG436" s="849"/>
      <c r="AH436" s="837"/>
      <c r="AI436" s="850"/>
      <c r="AJ436" s="837"/>
      <c r="AK436" s="837"/>
      <c r="AL436" s="837"/>
      <c r="AM436" s="837"/>
      <c r="AN436" s="837"/>
      <c r="AO436" s="837"/>
      <c r="AP436" s="837"/>
      <c r="AQ436" s="837"/>
      <c r="AR436" s="837"/>
      <c r="AS436" s="837"/>
      <c r="AT436" s="837"/>
      <c r="AU436" s="837"/>
      <c r="AV436" s="837"/>
      <c r="AW436" s="837"/>
    </row>
    <row r="437" spans="1:49" hidden="1">
      <c r="A437" s="167"/>
      <c r="B437" s="497"/>
      <c r="C437" s="498"/>
      <c r="D437" s="499"/>
      <c r="E437" s="499"/>
      <c r="F437" s="499"/>
      <c r="G437" s="756"/>
      <c r="H437" s="228"/>
      <c r="I437" s="229"/>
      <c r="J437" s="171"/>
      <c r="K437" s="228"/>
      <c r="L437" s="229"/>
      <c r="M437" s="171"/>
      <c r="N437" s="8"/>
      <c r="O437" s="229"/>
      <c r="P437" s="171"/>
      <c r="Q437" s="228"/>
      <c r="R437" s="229"/>
      <c r="S437" s="171"/>
      <c r="T437" s="228"/>
      <c r="U437" s="229"/>
      <c r="V437" s="171"/>
      <c r="W437" s="230"/>
      <c r="X437" s="231"/>
      <c r="Y437" s="171"/>
      <c r="Z437" s="232"/>
      <c r="AA437" s="233"/>
      <c r="AB437" s="171"/>
      <c r="AC437" s="234"/>
      <c r="AD437" s="235"/>
      <c r="AE437" s="171"/>
      <c r="AF437" s="31"/>
      <c r="AG437" s="31"/>
      <c r="AH437" s="89"/>
      <c r="AI437" s="176"/>
      <c r="AJ437" s="89"/>
      <c r="AK437" s="89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</row>
    <row r="438" spans="1:49" hidden="1">
      <c r="A438" s="167"/>
      <c r="B438" s="497"/>
      <c r="C438" s="498"/>
      <c r="D438" s="499"/>
      <c r="E438" s="499"/>
      <c r="F438" s="499"/>
      <c r="G438" s="756"/>
      <c r="H438" s="228"/>
      <c r="I438" s="229"/>
      <c r="J438" s="171"/>
      <c r="K438" s="228"/>
      <c r="L438" s="229"/>
      <c r="M438" s="171"/>
      <c r="N438" s="8"/>
      <c r="O438" s="229"/>
      <c r="P438" s="171"/>
      <c r="Q438" s="228"/>
      <c r="R438" s="229"/>
      <c r="S438" s="171"/>
      <c r="T438" s="228"/>
      <c r="U438" s="229"/>
      <c r="V438" s="171"/>
      <c r="W438" s="230"/>
      <c r="X438" s="231"/>
      <c r="Y438" s="171"/>
      <c r="Z438" s="232"/>
      <c r="AA438" s="233"/>
      <c r="AB438" s="171"/>
      <c r="AC438" s="234"/>
      <c r="AD438" s="235"/>
      <c r="AE438" s="171"/>
      <c r="AF438" s="31"/>
      <c r="AG438" s="31"/>
      <c r="AH438" s="89"/>
      <c r="AI438" s="176"/>
      <c r="AJ438" s="89"/>
      <c r="AK438" s="89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</row>
    <row r="439" spans="1:49" hidden="1">
      <c r="A439" s="167"/>
      <c r="B439" s="497"/>
      <c r="C439" s="498"/>
      <c r="D439" s="499"/>
      <c r="E439" s="499">
        <f>291.582667*1.509/1.42</f>
        <v>309.85791866408448</v>
      </c>
      <c r="F439" s="499"/>
      <c r="G439" s="756"/>
      <c r="H439" s="228"/>
      <c r="I439" s="229"/>
      <c r="J439" s="171"/>
      <c r="K439" s="228"/>
      <c r="L439" s="229"/>
      <c r="M439" s="171"/>
      <c r="N439" s="8"/>
      <c r="O439" s="229"/>
      <c r="P439" s="171"/>
      <c r="Q439" s="228"/>
      <c r="R439" s="229"/>
      <c r="S439" s="171"/>
      <c r="T439" s="228"/>
      <c r="U439" s="229"/>
      <c r="V439" s="171"/>
      <c r="W439" s="230"/>
      <c r="X439" s="231"/>
      <c r="Y439" s="171"/>
      <c r="Z439" s="232"/>
      <c r="AA439" s="233"/>
      <c r="AB439" s="171"/>
      <c r="AC439" s="234"/>
      <c r="AD439" s="235"/>
      <c r="AE439" s="171"/>
      <c r="AF439" s="31"/>
      <c r="AG439" s="31"/>
      <c r="AH439" s="89"/>
      <c r="AI439" s="176"/>
      <c r="AJ439" s="89"/>
      <c r="AK439" s="89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</row>
    <row r="440" spans="1:49" hidden="1">
      <c r="A440" s="167"/>
      <c r="B440" s="497"/>
      <c r="C440" s="498"/>
      <c r="D440" s="499"/>
      <c r="E440" s="499"/>
      <c r="F440" s="499"/>
      <c r="G440" s="756"/>
      <c r="H440" s="228"/>
      <c r="I440" s="229"/>
      <c r="J440" s="171"/>
      <c r="K440" s="228"/>
      <c r="L440" s="229"/>
      <c r="M440" s="171"/>
      <c r="N440" s="8"/>
      <c r="O440" s="229"/>
      <c r="P440" s="171"/>
      <c r="Q440" s="228"/>
      <c r="R440" s="229"/>
      <c r="S440" s="171"/>
      <c r="T440" s="228"/>
      <c r="U440" s="229"/>
      <c r="V440" s="171"/>
      <c r="W440" s="230"/>
      <c r="X440" s="231"/>
      <c r="Y440" s="171"/>
      <c r="Z440" s="232"/>
      <c r="AA440" s="233"/>
      <c r="AB440" s="171"/>
      <c r="AC440" s="234"/>
      <c r="AD440" s="235"/>
      <c r="AE440" s="171"/>
      <c r="AF440" s="31"/>
      <c r="AG440" s="31"/>
      <c r="AH440" s="89"/>
      <c r="AI440" s="176"/>
      <c r="AJ440" s="89"/>
      <c r="AK440" s="89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</row>
    <row r="441" spans="1:49" hidden="1">
      <c r="A441" s="167"/>
      <c r="B441" s="497"/>
      <c r="C441" s="498"/>
      <c r="D441" s="499"/>
      <c r="E441" s="499"/>
      <c r="F441" s="499"/>
      <c r="G441" s="756"/>
      <c r="H441" s="228"/>
      <c r="I441" s="229"/>
      <c r="J441" s="171"/>
      <c r="K441" s="228"/>
      <c r="L441" s="229"/>
      <c r="M441" s="171"/>
      <c r="N441" s="8"/>
      <c r="O441" s="229"/>
      <c r="P441" s="171"/>
      <c r="Q441" s="228"/>
      <c r="R441" s="229"/>
      <c r="S441" s="171"/>
      <c r="T441" s="228"/>
      <c r="U441" s="229"/>
      <c r="V441" s="171"/>
      <c r="W441" s="230"/>
      <c r="X441" s="231"/>
      <c r="Y441" s="171"/>
      <c r="Z441" s="232"/>
      <c r="AA441" s="233"/>
      <c r="AB441" s="171"/>
      <c r="AC441" s="234"/>
      <c r="AD441" s="235"/>
      <c r="AE441" s="171"/>
      <c r="AF441" s="31"/>
      <c r="AG441" s="31"/>
      <c r="AH441" s="89"/>
      <c r="AI441" s="176"/>
      <c r="AJ441" s="89"/>
      <c r="AK441" s="89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</row>
    <row r="442" spans="1:49" ht="18" hidden="1">
      <c r="A442" s="167"/>
      <c r="B442" s="497"/>
      <c r="C442" s="498"/>
      <c r="D442" s="499"/>
      <c r="E442" s="806">
        <v>44562</v>
      </c>
      <c r="F442" s="807">
        <v>8.8999999999999996E-2</v>
      </c>
      <c r="G442" s="756"/>
      <c r="H442" s="228">
        <v>44916</v>
      </c>
      <c r="I442" s="229">
        <v>7.0000000000000007E-2</v>
      </c>
      <c r="J442" s="171"/>
      <c r="K442" s="228">
        <v>44855</v>
      </c>
      <c r="L442" s="229">
        <v>0.1</v>
      </c>
      <c r="M442" s="171"/>
      <c r="N442" s="8" t="s">
        <v>0</v>
      </c>
      <c r="O442" s="229">
        <v>0.1</v>
      </c>
      <c r="P442" s="171"/>
      <c r="Q442" s="228">
        <v>44763</v>
      </c>
      <c r="R442" s="229">
        <v>7.0000000000000007E-2</v>
      </c>
      <c r="S442" s="171"/>
      <c r="T442" s="228">
        <v>44702</v>
      </c>
      <c r="U442" s="229">
        <v>0.08</v>
      </c>
      <c r="V442" s="171"/>
      <c r="W442" s="230">
        <v>44641</v>
      </c>
      <c r="X442" s="231"/>
      <c r="Y442" s="171"/>
      <c r="Z442" s="232">
        <v>44228</v>
      </c>
      <c r="AA442" s="233"/>
      <c r="AB442" s="171"/>
      <c r="AC442" s="234">
        <v>43891</v>
      </c>
      <c r="AD442" s="235"/>
      <c r="AE442" s="171"/>
      <c r="AF442" s="31"/>
      <c r="AG442" s="31"/>
      <c r="AH442" s="89"/>
      <c r="AI442" s="176"/>
      <c r="AJ442" s="89"/>
      <c r="AK442" s="89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</row>
    <row r="443" spans="1:49" ht="12.75" hidden="1">
      <c r="A443" s="13"/>
      <c r="B443" s="669" t="s">
        <v>73</v>
      </c>
      <c r="C443" s="669" t="s">
        <v>74</v>
      </c>
      <c r="D443" s="669" t="s">
        <v>75</v>
      </c>
      <c r="E443" s="669" t="s">
        <v>76</v>
      </c>
      <c r="F443" s="669" t="s">
        <v>77</v>
      </c>
      <c r="G443" s="766"/>
      <c r="H443" s="669" t="s">
        <v>76</v>
      </c>
      <c r="I443" s="669" t="s">
        <v>77</v>
      </c>
      <c r="J443" s="697"/>
      <c r="K443" s="137" t="s">
        <v>76</v>
      </c>
      <c r="L443" s="138" t="s">
        <v>77</v>
      </c>
      <c r="M443" s="237"/>
      <c r="N443" s="137" t="s">
        <v>76</v>
      </c>
      <c r="O443" s="138" t="s">
        <v>77</v>
      </c>
      <c r="P443" s="237"/>
      <c r="Q443" s="137" t="s">
        <v>76</v>
      </c>
      <c r="R443" s="138" t="s">
        <v>77</v>
      </c>
      <c r="S443" s="237"/>
      <c r="T443" s="137" t="s">
        <v>76</v>
      </c>
      <c r="U443" s="138" t="s">
        <v>77</v>
      </c>
      <c r="V443" s="237"/>
      <c r="W443" s="137" t="s">
        <v>76</v>
      </c>
      <c r="X443" s="138" t="s">
        <v>77</v>
      </c>
      <c r="Y443" s="237"/>
      <c r="Z443" s="137" t="s">
        <v>76</v>
      </c>
      <c r="AA443" s="138" t="s">
        <v>77</v>
      </c>
      <c r="AB443" s="237"/>
      <c r="AC443" s="137" t="s">
        <v>76</v>
      </c>
      <c r="AD443" s="138" t="s">
        <v>77</v>
      </c>
      <c r="AE443" s="237"/>
      <c r="AF443" s="32"/>
      <c r="AG443" s="32"/>
      <c r="AH443" s="13"/>
      <c r="AI443" s="32"/>
      <c r="AJ443" s="32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</row>
    <row r="444" spans="1:49" ht="15" hidden="1">
      <c r="A444" s="13"/>
      <c r="B444" s="643">
        <v>4</v>
      </c>
      <c r="C444" s="698">
        <v>36</v>
      </c>
      <c r="D444" s="645" t="s">
        <v>141</v>
      </c>
      <c r="E444" s="646">
        <f>indiceene22*punbashorsup</f>
        <v>60336.512280000003</v>
      </c>
      <c r="F444" s="647"/>
      <c r="G444" s="742"/>
      <c r="H444" s="646">
        <f>indicedic21*punbashorsup</f>
        <v>56777.957280000002</v>
      </c>
      <c r="I444" s="647"/>
      <c r="J444" s="298"/>
      <c r="K444" s="241">
        <f>indicemar21*punbashorsup*Aumento4</f>
        <v>53978.930874000012</v>
      </c>
      <c r="L444" s="458"/>
      <c r="M444" s="298"/>
      <c r="N444" s="241">
        <f>indicemar21*punbashorsup*Aumento3</f>
        <v>49980.491550000006</v>
      </c>
      <c r="O444" s="458"/>
      <c r="P444" s="298"/>
      <c r="Q444" s="241">
        <f>indicemar21*punbashorsup*Aumento2</f>
        <v>45982.052226</v>
      </c>
      <c r="R444" s="458"/>
      <c r="S444" s="298"/>
      <c r="T444" s="241">
        <f>indicemar21*punbashorsup*Aumento1</f>
        <v>43183.144699200006</v>
      </c>
      <c r="U444" s="458"/>
      <c r="V444" s="298"/>
      <c r="W444" s="241">
        <f>indicemar21*punbashorsup</f>
        <v>39984.393240000005</v>
      </c>
      <c r="X444" s="458"/>
      <c r="Y444" s="298"/>
      <c r="Z444" s="241">
        <f>indicemar21*punbashorsup</f>
        <v>39984.393240000005</v>
      </c>
      <c r="AA444" s="458"/>
      <c r="AB444" s="298"/>
      <c r="AC444" s="241">
        <f>indiceene20*punbashorsup</f>
        <v>34769.037600000003</v>
      </c>
      <c r="AD444" s="458"/>
      <c r="AE444" s="320"/>
      <c r="AF444" s="243"/>
      <c r="AG444" s="13"/>
      <c r="AH444" s="24"/>
      <c r="AI444" s="243"/>
      <c r="AJ444" s="13"/>
      <c r="AK444" s="24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</row>
    <row r="445" spans="1:49" ht="12.75" hidden="1">
      <c r="A445" s="13"/>
      <c r="B445" s="638">
        <v>10</v>
      </c>
      <c r="C445" s="650">
        <v>1.2</v>
      </c>
      <c r="D445" s="640" t="s">
        <v>84</v>
      </c>
      <c r="E445" s="641">
        <f>E444*porantighorsup</f>
        <v>72403.814736</v>
      </c>
      <c r="F445" s="642"/>
      <c r="G445" s="741"/>
      <c r="H445" s="641">
        <f>H444*porantighorsup</f>
        <v>68133.548735999997</v>
      </c>
      <c r="I445" s="642"/>
      <c r="J445" s="298"/>
      <c r="K445" s="247">
        <f>K444*porantighorsup</f>
        <v>64774.717048800012</v>
      </c>
      <c r="L445" s="457"/>
      <c r="M445" s="298"/>
      <c r="N445" s="247">
        <f>N444*porantighorsup</f>
        <v>59976.589860000007</v>
      </c>
      <c r="O445" s="457"/>
      <c r="P445" s="298"/>
      <c r="Q445" s="247">
        <f>Q444*porantighorsup</f>
        <v>55178.462671199995</v>
      </c>
      <c r="R445" s="457"/>
      <c r="S445" s="298"/>
      <c r="T445" s="247">
        <f>T444*porantighorsup</f>
        <v>51819.773639040002</v>
      </c>
      <c r="U445" s="457"/>
      <c r="V445" s="298"/>
      <c r="W445" s="247">
        <f>W444*porantighorsup</f>
        <v>47981.271888000003</v>
      </c>
      <c r="X445" s="457"/>
      <c r="Y445" s="298"/>
      <c r="Z445" s="247">
        <f>Z444*porantighorsup</f>
        <v>47981.271888000003</v>
      </c>
      <c r="AA445" s="457"/>
      <c r="AB445" s="298"/>
      <c r="AC445" s="247">
        <f>AC444*porantighorsup</f>
        <v>41722.845120000005</v>
      </c>
      <c r="AD445" s="457"/>
      <c r="AE445" s="320"/>
      <c r="AF445" s="243"/>
      <c r="AG445" s="13"/>
      <c r="AH445" s="24"/>
      <c r="AI445" s="243"/>
      <c r="AJ445" s="13"/>
      <c r="AK445" s="24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</row>
    <row r="446" spans="1:49" hidden="1">
      <c r="A446" s="13"/>
      <c r="B446" s="643">
        <v>6</v>
      </c>
      <c r="C446" s="789">
        <f>E446/309.8579</f>
        <v>17</v>
      </c>
      <c r="D446" s="645" t="s">
        <v>83</v>
      </c>
      <c r="E446" s="646">
        <f>IF(canthor06sup&gt;17,17*309.8579,309.8579*canthor06sup)</f>
        <v>5267.5842999999995</v>
      </c>
      <c r="F446" s="647"/>
      <c r="G446" s="742"/>
      <c r="H446" s="646">
        <f>IF(canthor06sup&gt;17,17*205.355,205.355*canthor06sup)*Aumento5</f>
        <v>4957.2696999999998</v>
      </c>
      <c r="I446" s="647"/>
      <c r="J446" s="260"/>
      <c r="K446" s="241">
        <f>IF(canthor06sup&gt;17,17*205.355,205.355*canthor06sup)*Aumento4</f>
        <v>4712.89725</v>
      </c>
      <c r="L446" s="458"/>
      <c r="M446" s="260"/>
      <c r="N446" s="241">
        <f>IF(canthor06sup&gt;17,17*205.355,205.355*canthor06sup)*Aumento3</f>
        <v>4363.7937499999998</v>
      </c>
      <c r="O446" s="458"/>
      <c r="P446" s="260"/>
      <c r="Q446" s="241">
        <f>IF(canthor06sup&gt;17,17*205.355,205.355*canthor06sup)*Aumento2</f>
        <v>4014.6902499999997</v>
      </c>
      <c r="R446" s="458"/>
      <c r="S446" s="260"/>
      <c r="T446" s="241">
        <f>IF(canthor06sup&gt;17,17*205.355,205.355*canthor06sup)*Aumento1</f>
        <v>3770.3178000000003</v>
      </c>
      <c r="U446" s="458"/>
      <c r="V446" s="260"/>
      <c r="W446" s="241">
        <f>IF(canthor06sup&gt;17,17*205.355,205.355*canthor06sup)</f>
        <v>3491.0349999999999</v>
      </c>
      <c r="X446" s="458"/>
      <c r="Y446" s="260"/>
      <c r="Z446" s="241">
        <f>IF(canthor06sup&gt;17,17*205.355,205.355*canthor06sup)</f>
        <v>3491.0349999999999</v>
      </c>
      <c r="AA446" s="458"/>
      <c r="AB446" s="260"/>
      <c r="AC446" s="241">
        <f>IF(canthor06sup&gt;17,17*178.56,178.56*canthor06sup)</f>
        <v>3035.52</v>
      </c>
      <c r="AD446" s="458"/>
      <c r="AE446" s="459"/>
      <c r="AF446" s="243"/>
      <c r="AG446" s="13"/>
      <c r="AH446" s="24"/>
      <c r="AI446" s="243"/>
      <c r="AJ446" s="13"/>
      <c r="AK446" s="24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</row>
    <row r="447" spans="1:49" ht="12.75" hidden="1">
      <c r="A447" s="13"/>
      <c r="B447" s="638">
        <v>14</v>
      </c>
      <c r="C447" s="650">
        <v>7.0000000000000007E-2</v>
      </c>
      <c r="D447" s="640" t="s">
        <v>142</v>
      </c>
      <c r="E447" s="641">
        <f>E446*0.07</f>
        <v>368.73090100000002</v>
      </c>
      <c r="F447" s="642"/>
      <c r="G447" s="741"/>
      <c r="H447" s="641">
        <f>H446*0.07</f>
        <v>347.00887900000004</v>
      </c>
      <c r="I447" s="642"/>
      <c r="J447" s="260"/>
      <c r="K447" s="247">
        <f>K446*0.07</f>
        <v>329.90280750000005</v>
      </c>
      <c r="L447" s="457"/>
      <c r="M447" s="260"/>
      <c r="N447" s="247">
        <f>N446*0.07</f>
        <v>305.46556250000003</v>
      </c>
      <c r="O447" s="457"/>
      <c r="P447" s="260"/>
      <c r="Q447" s="247">
        <f>Q446*0.07</f>
        <v>281.02831750000001</v>
      </c>
      <c r="R447" s="457"/>
      <c r="S447" s="260"/>
      <c r="T447" s="247">
        <f>T446*0.07</f>
        <v>263.92224600000003</v>
      </c>
      <c r="U447" s="457"/>
      <c r="V447" s="260"/>
      <c r="W447" s="247">
        <f>W446*0.07</f>
        <v>244.37245000000001</v>
      </c>
      <c r="X447" s="457"/>
      <c r="Y447" s="260"/>
      <c r="Z447" s="247">
        <f>Z446*0.07</f>
        <v>244.37245000000001</v>
      </c>
      <c r="AA447" s="457"/>
      <c r="AB447" s="260"/>
      <c r="AC447" s="247">
        <f>AC446*0.07</f>
        <v>212.48640000000003</v>
      </c>
      <c r="AD447" s="457"/>
      <c r="AE447" s="459"/>
      <c r="AF447" s="243"/>
      <c r="AG447" s="13"/>
      <c r="AH447" s="24"/>
      <c r="AI447" s="243"/>
      <c r="AJ447" s="13"/>
      <c r="AK447" s="24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</row>
    <row r="448" spans="1:49" ht="12.75" hidden="1">
      <c r="A448" s="13"/>
      <c r="B448" s="638">
        <v>188</v>
      </c>
      <c r="C448" s="650">
        <v>7.0000000000000007E-2</v>
      </c>
      <c r="D448" s="640" t="s">
        <v>86</v>
      </c>
      <c r="E448" s="641">
        <f>(E444+E445+E449+E451)*0.07</f>
        <v>10041.115990979157</v>
      </c>
      <c r="F448" s="642"/>
      <c r="G448" s="741"/>
      <c r="H448" s="641">
        <f>(H444+H445+H449+H451)*0.07</f>
        <v>9448.9056211200004</v>
      </c>
      <c r="I448" s="642"/>
      <c r="J448" s="298"/>
      <c r="K448" s="247">
        <f>(K444+K445+K449+K451)*0.07</f>
        <v>8983.0967745960024</v>
      </c>
      <c r="L448" s="457"/>
      <c r="M448" s="298"/>
      <c r="N448" s="247">
        <f>(N444+N445+N449+N451)*0.07</f>
        <v>8317.6821987000021</v>
      </c>
      <c r="O448" s="457"/>
      <c r="P448" s="298"/>
      <c r="Q448" s="247">
        <f>(Q444+Q445+Q449+Q451)*0.07</f>
        <v>7652.267622804</v>
      </c>
      <c r="R448" s="457"/>
      <c r="S448" s="298"/>
      <c r="T448" s="247">
        <f>(T444+T445+T449+T451)*0.07</f>
        <v>7186.4774196768012</v>
      </c>
      <c r="U448" s="457"/>
      <c r="V448" s="298"/>
      <c r="W448" s="247">
        <f>(W444+W445+W449+W451)*0.07</f>
        <v>6654.1457589600013</v>
      </c>
      <c r="X448" s="457"/>
      <c r="Y448" s="298"/>
      <c r="Z448" s="247">
        <f>(Z444+Z445+Z449+Z451)*0.07</f>
        <v>6654.1457589600013</v>
      </c>
      <c r="AA448" s="457"/>
      <c r="AB448" s="298"/>
      <c r="AC448" s="247">
        <f>(AC444+AC445+AC449+AC451)*0.07</f>
        <v>5481.8597904000007</v>
      </c>
      <c r="AD448" s="457"/>
      <c r="AE448" s="320"/>
      <c r="AF448" s="243"/>
      <c r="AG448" s="13"/>
      <c r="AH448" s="24"/>
      <c r="AI448" s="243"/>
      <c r="AJ448" s="13"/>
      <c r="AK448" s="24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</row>
    <row r="449" spans="1:49" hidden="1">
      <c r="A449" s="13"/>
      <c r="B449" s="643">
        <v>117</v>
      </c>
      <c r="C449" s="674"/>
      <c r="D449" s="645" t="s">
        <v>92</v>
      </c>
      <c r="E449" s="646">
        <f>IF(canthorsup*99.095333&gt;2972.86,2972.86,canthorsup*99.095333)*1.509/1.42</f>
        <v>3159.1871408450702</v>
      </c>
      <c r="F449" s="664"/>
      <c r="G449" s="742"/>
      <c r="H449" s="646">
        <f>IF(canthorsup*99.095333&gt;2972.86,2972.86,canthorsup*99.095333)</f>
        <v>2972.86</v>
      </c>
      <c r="I449" s="664"/>
      <c r="J449" s="260"/>
      <c r="K449" s="241">
        <f>IF(canthorsup*69.78533&gt;2093.56,2093.56,canthorsup*69.78533)*Aumento4</f>
        <v>2826.306</v>
      </c>
      <c r="L449" s="468"/>
      <c r="M449" s="260"/>
      <c r="N449" s="241">
        <f>IF(canthorsup*69.78533&gt;2093.56,2093.56,canthorsup*69.78533)*Aumento3</f>
        <v>2616.9499999999998</v>
      </c>
      <c r="O449" s="458"/>
      <c r="P449" s="260"/>
      <c r="Q449" s="241">
        <f>IF(canthorsup*69.78533&gt;2093.56,2093.56,canthorsup*69.78533)*Aumento2</f>
        <v>2407.5939999999996</v>
      </c>
      <c r="R449" s="458"/>
      <c r="S449" s="260"/>
      <c r="T449" s="241">
        <f>IF(canthorsup*69.78533&gt;2093.56,2093.56,canthorsup*69.78533)*Aumento1</f>
        <v>2261.0448000000001</v>
      </c>
      <c r="U449" s="458"/>
      <c r="V449" s="260"/>
      <c r="W449" s="241">
        <f>IF(canthorsup*69.78533&gt;2093.56,2093.56,canthorsup*69.78533)</f>
        <v>2093.56</v>
      </c>
      <c r="X449" s="458"/>
      <c r="Y449" s="260"/>
      <c r="Z449" s="241">
        <f>IF(canthorsup*69.78533&gt;2093.56,2093.56,canthorsup*69.78533)</f>
        <v>2093.56</v>
      </c>
      <c r="AA449" s="458"/>
      <c r="AB449" s="260"/>
      <c r="AC449" s="241">
        <f>IF(canthorsup*60.68&gt;1820.4,1820.4,canthorsup*60.68)</f>
        <v>1820.4</v>
      </c>
      <c r="AD449" s="458"/>
      <c r="AE449" s="459"/>
      <c r="AF449" s="243"/>
      <c r="AG449" s="13"/>
      <c r="AH449" s="24"/>
      <c r="AI449" s="243"/>
      <c r="AJ449" s="13"/>
      <c r="AK449" s="24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</row>
    <row r="450" spans="1:49" ht="12.75" hidden="1">
      <c r="A450" s="13"/>
      <c r="B450" s="643">
        <v>29</v>
      </c>
      <c r="C450" s="643">
        <f>cantkmhs</f>
        <v>0</v>
      </c>
      <c r="D450" s="645" t="s">
        <v>93</v>
      </c>
      <c r="E450" s="646">
        <f>IF(kmsemhssup&lt;300,kmsemhssup*4.3141666*4,5177)*1.659</f>
        <v>0</v>
      </c>
      <c r="F450" s="652" t="s">
        <v>155</v>
      </c>
      <c r="G450" s="742"/>
      <c r="H450" s="646">
        <f>IF(kmsemhssup&lt;300,kmsemhssup*4.3141666*4,5177)*1.57</f>
        <v>0</v>
      </c>
      <c r="I450" s="652" t="s">
        <v>155</v>
      </c>
      <c r="J450" s="260"/>
      <c r="K450" s="461">
        <f>IF(kmsemhssup&lt;300,kmsemhssup*4.3141666*4,5177)*1.5</f>
        <v>0</v>
      </c>
      <c r="L450" s="284" t="s">
        <v>156</v>
      </c>
      <c r="M450" s="260"/>
      <c r="N450" s="461">
        <f>IF(kmsemhssup&lt;300,kmsemhssup*4.3141666*4,5177)*1.4</f>
        <v>0</v>
      </c>
      <c r="O450" s="284" t="s">
        <v>156</v>
      </c>
      <c r="P450" s="260"/>
      <c r="Q450" s="461">
        <f>IF(kmsemhssup&lt;300,kmsemhssup*4.3141666*4,5177)*1.3</f>
        <v>0</v>
      </c>
      <c r="R450" s="284" t="s">
        <v>156</v>
      </c>
      <c r="S450" s="260"/>
      <c r="T450" s="461">
        <f>IF(kmsemhssup&lt;300,kmsemhssup*4.3141666*4,5177)*1.2</f>
        <v>0</v>
      </c>
      <c r="U450" s="284" t="s">
        <v>157</v>
      </c>
      <c r="V450" s="260"/>
      <c r="W450" s="461">
        <f>IF(kmsemhssup&lt;300,kmsemhssup*4.3141666*4,5177)</f>
        <v>0</v>
      </c>
      <c r="X450" s="516"/>
      <c r="Y450" s="260"/>
      <c r="Z450" s="461">
        <f>IF(kmsemhssup&lt;300,kmsemhssup*4.3141666*4,5177)</f>
        <v>0</v>
      </c>
      <c r="AA450" s="284" t="s">
        <v>158</v>
      </c>
      <c r="AB450" s="260"/>
      <c r="AC450" s="461">
        <f>IF(kmsemhssup&lt;300,kmsemhssup*3.7508*4,4501)</f>
        <v>0</v>
      </c>
      <c r="AD450" s="516"/>
      <c r="AE450" s="459"/>
      <c r="AF450" s="257"/>
      <c r="AG450" s="517"/>
      <c r="AH450" s="24"/>
      <c r="AI450" s="257"/>
      <c r="AJ450" s="517"/>
      <c r="AK450" s="24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</row>
    <row r="451" spans="1:49" hidden="1">
      <c r="A451" s="13"/>
      <c r="B451" s="654">
        <v>38</v>
      </c>
      <c r="C451" s="852">
        <f>C393</f>
        <v>15</v>
      </c>
      <c r="D451" s="656" t="s">
        <v>144</v>
      </c>
      <c r="E451" s="699">
        <f>IF(C451="",IF(canthorsup&lt;15,473.333*canthorsup,7100),IF(C451&lt;15,473.333*C451,7100))*1.509/1.42</f>
        <v>7545</v>
      </c>
      <c r="F451" s="692"/>
      <c r="G451" s="744"/>
      <c r="H451" s="699">
        <f>IF(C451="",IF(canthorsup&lt;15,473.333*canthorsup,7100),IF(C451&lt;15,473.333*C451,7100))</f>
        <v>7100</v>
      </c>
      <c r="I451" s="692"/>
      <c r="J451" s="260"/>
      <c r="K451" s="518">
        <f>IF(C451="",IF(canthorsup&lt;15,6750/15*canthorsup,6750),IF(C451&lt;15,6750/15*C451,6750))</f>
        <v>6750</v>
      </c>
      <c r="L451" s="519"/>
      <c r="M451" s="260"/>
      <c r="N451" s="518">
        <f>IF(C451="",IF(canthorsup&lt;15,6250/15*canthorsup,6250),IF(C451&lt;15,6250/15*C451,6250))</f>
        <v>6250</v>
      </c>
      <c r="O451" s="519"/>
      <c r="P451" s="260"/>
      <c r="Q451" s="518">
        <f>IF(C451="",IF(canthorsup&lt;15,5750/15*canthorsup,5750),IF(C451&lt;15,5750/15*C451,5750))</f>
        <v>5750</v>
      </c>
      <c r="R451" s="520"/>
      <c r="S451" s="260"/>
      <c r="T451" s="518">
        <f>IF(C451="",IF(canthorsup&lt;15,360*canthorsup,5400),IF(C451&lt;15,360*C451,5400))</f>
        <v>5400</v>
      </c>
      <c r="U451" s="519"/>
      <c r="V451" s="260"/>
      <c r="W451" s="518">
        <f>IF(C451="",IF(canthorsup&lt;15,5000/15*canthorsup,5000),IF(C451&lt;15,5000/15*C451,5000))</f>
        <v>5000</v>
      </c>
      <c r="X451" s="519"/>
      <c r="Y451" s="260"/>
      <c r="Z451" s="518">
        <f>IF(I451="",IF(canthorsup&lt;15,5000/15*canthorsup,5000),IF(I451&lt;15,5000/15*I451,5000))</f>
        <v>5000</v>
      </c>
      <c r="AA451" s="519"/>
      <c r="AB451" s="260"/>
      <c r="AC451" s="518"/>
      <c r="AD451" s="458"/>
      <c r="AE451" s="459"/>
      <c r="AF451" s="243"/>
      <c r="AG451" s="13"/>
      <c r="AH451" s="24"/>
      <c r="AI451" s="243"/>
      <c r="AJ451" s="13"/>
      <c r="AK451" s="24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</row>
    <row r="452" spans="1:49" hidden="1">
      <c r="A452" s="13"/>
      <c r="B452" s="654"/>
      <c r="C452" s="700"/>
      <c r="D452" s="701" t="s">
        <v>153</v>
      </c>
      <c r="E452" s="702">
        <f>SUM(E444:E451)</f>
        <v>159121.94534882423</v>
      </c>
      <c r="F452" s="692"/>
      <c r="G452" s="767"/>
      <c r="H452" s="702">
        <f>SUM(H444:H451)</f>
        <v>149737.55021612</v>
      </c>
      <c r="I452" s="692"/>
      <c r="J452" s="260"/>
      <c r="K452" s="521">
        <f>SUM(K444:K451)</f>
        <v>142355.85075489603</v>
      </c>
      <c r="L452" s="522"/>
      <c r="M452" s="260"/>
      <c r="N452" s="521">
        <f>SUM(N444:N451)</f>
        <v>131810.97292120001</v>
      </c>
      <c r="O452" s="522"/>
      <c r="P452" s="260"/>
      <c r="Q452" s="521">
        <f>SUM(Q444:Q451)</f>
        <v>121266.09508750397</v>
      </c>
      <c r="R452" s="522"/>
      <c r="S452" s="260"/>
      <c r="T452" s="521">
        <f>SUM(T444:T451)</f>
        <v>113884.68060391682</v>
      </c>
      <c r="U452" s="522"/>
      <c r="V452" s="260"/>
      <c r="W452" s="521">
        <f>SUM(W444:W451)</f>
        <v>105448.77833696001</v>
      </c>
      <c r="X452" s="522"/>
      <c r="Y452" s="260"/>
      <c r="Z452" s="521">
        <f>SUM(Z444:Z451)</f>
        <v>105448.77833696001</v>
      </c>
      <c r="AA452" s="522"/>
      <c r="AB452" s="260"/>
      <c r="AC452" s="521">
        <f>SUM(AC444:AC451)</f>
        <v>87042.148910400007</v>
      </c>
      <c r="AD452" s="458"/>
      <c r="AE452" s="459"/>
      <c r="AF452" s="243"/>
      <c r="AG452" s="13"/>
      <c r="AH452" s="24"/>
      <c r="AI452" s="243"/>
      <c r="AJ452" s="13"/>
      <c r="AK452" s="24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</row>
    <row r="453" spans="1:49" hidden="1">
      <c r="A453" s="13"/>
      <c r="B453" s="701" t="s">
        <v>146</v>
      </c>
      <c r="C453" s="640"/>
      <c r="D453" s="640"/>
      <c r="E453" s="703">
        <f>E395</f>
        <v>0</v>
      </c>
      <c r="F453" s="642"/>
      <c r="G453" s="741"/>
      <c r="H453" s="703">
        <f>H395</f>
        <v>0</v>
      </c>
      <c r="I453" s="642"/>
      <c r="J453" s="298"/>
      <c r="K453" s="523">
        <v>0</v>
      </c>
      <c r="L453" s="457"/>
      <c r="M453" s="298"/>
      <c r="N453" s="523">
        <v>0</v>
      </c>
      <c r="O453" s="457"/>
      <c r="P453" s="298"/>
      <c r="Q453" s="523">
        <v>0</v>
      </c>
      <c r="R453" s="457"/>
      <c r="S453" s="298"/>
      <c r="T453" s="523">
        <v>0</v>
      </c>
      <c r="U453" s="457"/>
      <c r="V453" s="298"/>
      <c r="W453" s="523">
        <v>0</v>
      </c>
      <c r="X453" s="457"/>
      <c r="Y453" s="298"/>
      <c r="Z453" s="523">
        <v>0</v>
      </c>
      <c r="AA453" s="457"/>
      <c r="AB453" s="298"/>
      <c r="AC453" s="523">
        <v>0</v>
      </c>
      <c r="AD453" s="457"/>
      <c r="AE453" s="320"/>
      <c r="AF453" s="300"/>
      <c r="AG453" s="13"/>
      <c r="AH453" s="24"/>
      <c r="AI453" s="300"/>
      <c r="AJ453" s="13"/>
      <c r="AK453" s="24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</row>
    <row r="454" spans="1:49" ht="15" hidden="1">
      <c r="A454" s="13"/>
      <c r="B454" s="701"/>
      <c r="C454" s="640"/>
      <c r="D454" s="645"/>
      <c r="E454" s="704"/>
      <c r="F454" s="642"/>
      <c r="G454" s="742"/>
      <c r="H454" s="704"/>
      <c r="I454" s="642"/>
      <c r="J454" s="298"/>
      <c r="K454" s="322"/>
      <c r="L454" s="457"/>
      <c r="M454" s="298"/>
      <c r="N454" s="322"/>
      <c r="O454" s="457"/>
      <c r="P454" s="298"/>
      <c r="Q454" s="322"/>
      <c r="R454" s="457"/>
      <c r="S454" s="298"/>
      <c r="T454" s="322"/>
      <c r="U454" s="457"/>
      <c r="V454" s="298"/>
      <c r="W454" s="322"/>
      <c r="X454" s="457"/>
      <c r="Y454" s="298"/>
      <c r="Z454" s="322"/>
      <c r="AA454" s="457"/>
      <c r="AB454" s="298"/>
      <c r="AC454" s="322"/>
      <c r="AD454" s="457"/>
      <c r="AE454" s="320"/>
      <c r="AF454" s="300"/>
      <c r="AG454" s="13"/>
      <c r="AH454" s="24"/>
      <c r="AI454" s="300"/>
      <c r="AJ454" s="13"/>
      <c r="AK454" s="24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</row>
    <row r="455" spans="1:49" hidden="1">
      <c r="A455" s="13"/>
      <c r="B455" s="643">
        <v>84</v>
      </c>
      <c r="C455" s="663">
        <f>E455/235.8333</f>
        <v>24.000003392226628</v>
      </c>
      <c r="D455" s="645" t="s">
        <v>97</v>
      </c>
      <c r="E455" s="646">
        <f>IF(canthorincsup*235.833333&gt;5660,5660,canthorincsup*235.833333)</f>
        <v>5660</v>
      </c>
      <c r="F455" s="647"/>
      <c r="G455" s="742"/>
      <c r="H455" s="646">
        <f>IF(canthorincsup*235.833333&gt;5660,5660,canthorincsup*235.833333)</f>
        <v>5660</v>
      </c>
      <c r="I455" s="647"/>
      <c r="J455" s="298"/>
      <c r="K455" s="241">
        <f>IF(canthorincsup*235.833333&gt;5660,5660,canthorincsup*235.833333)</f>
        <v>5660</v>
      </c>
      <c r="L455" s="458"/>
      <c r="M455" s="298"/>
      <c r="N455" s="241">
        <f>IF(canthorincsup*235.833333&gt;5660,5660,canthorincsup*235.833333)</f>
        <v>5660</v>
      </c>
      <c r="O455" s="458"/>
      <c r="P455" s="298"/>
      <c r="Q455" s="241">
        <f>IF(canthorincsup*201.66667&gt;4840,4840,canthorincsup*201.66667)</f>
        <v>4840</v>
      </c>
      <c r="R455" s="458"/>
      <c r="S455" s="298"/>
      <c r="T455" s="241">
        <f>IF(canthorincsup*201.66667&gt;4840,4840,canthorincsup*201.66667)</f>
        <v>4840</v>
      </c>
      <c r="U455" s="458"/>
      <c r="V455" s="298"/>
      <c r="W455" s="241">
        <f>IF(canthorincsup*201.66667&gt;4840,4840,canthorincsup*201.66667)</f>
        <v>4840</v>
      </c>
      <c r="X455" s="458"/>
      <c r="Y455" s="298"/>
      <c r="Z455" s="241">
        <f>IF(canthorincsup*100.8333&gt;2420,2420,canthorincsup*100.83333)</f>
        <v>2420</v>
      </c>
      <c r="AA455" s="458"/>
      <c r="AB455" s="298"/>
      <c r="AC455" s="241">
        <f>IF(canthorincsup*100.8333&gt;2420,2420,canthorincsup*100.83333)</f>
        <v>2420</v>
      </c>
      <c r="AD455" s="458"/>
      <c r="AE455" s="320"/>
      <c r="AF455" s="243"/>
      <c r="AG455" s="13"/>
      <c r="AH455" s="24"/>
      <c r="AI455" s="243"/>
      <c r="AJ455" s="13"/>
      <c r="AK455" s="24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</row>
    <row r="456" spans="1:49" hidden="1">
      <c r="A456" s="13"/>
      <c r="B456" s="665">
        <v>113</v>
      </c>
      <c r="C456" s="705" t="s">
        <v>154</v>
      </c>
      <c r="D456" s="666" t="s">
        <v>98</v>
      </c>
      <c r="E456" s="667" t="s">
        <v>151</v>
      </c>
      <c r="F456" s="647"/>
      <c r="G456" s="746"/>
      <c r="H456" s="667" t="s">
        <v>151</v>
      </c>
      <c r="I456" s="647"/>
      <c r="J456" s="298"/>
      <c r="K456" s="469" t="s">
        <v>151</v>
      </c>
      <c r="L456" s="458"/>
      <c r="M456" s="298"/>
      <c r="N456" s="469" t="s">
        <v>151</v>
      </c>
      <c r="O456" s="458"/>
      <c r="P456" s="298"/>
      <c r="Q456" s="469" t="s">
        <v>151</v>
      </c>
      <c r="R456" s="458"/>
      <c r="S456" s="298"/>
      <c r="T456" s="469" t="s">
        <v>151</v>
      </c>
      <c r="U456" s="458"/>
      <c r="V456" s="298"/>
      <c r="W456" s="469" t="s">
        <v>151</v>
      </c>
      <c r="X456" s="458"/>
      <c r="Y456" s="298"/>
      <c r="Z456" s="469">
        <f>IF(canthorincsup*100.8333&gt;2420,2420,canthorincsup*100.83333)</f>
        <v>2420</v>
      </c>
      <c r="AA456" s="458"/>
      <c r="AB456" s="298"/>
      <c r="AC456" s="469">
        <f>IF(canthorincsup*100.8333&gt;2420,2420,canthorincsup*100.83333)</f>
        <v>2420</v>
      </c>
      <c r="AD456" s="458"/>
      <c r="AE456" s="320"/>
      <c r="AF456" s="243"/>
      <c r="AG456" s="13"/>
      <c r="AH456" s="24"/>
      <c r="AI456" s="243"/>
      <c r="AJ456" s="13"/>
      <c r="AK456" s="24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</row>
    <row r="457" spans="1:49" hidden="1">
      <c r="A457" s="13"/>
      <c r="B457" s="638">
        <v>54</v>
      </c>
      <c r="C457" s="648">
        <f>E457/187.5</f>
        <v>24</v>
      </c>
      <c r="D457" s="645" t="s">
        <v>100</v>
      </c>
      <c r="E457" s="641">
        <f>IF(canthorincsup*187.5&gt;4500,4500,canthorincsup*187.5)</f>
        <v>4500</v>
      </c>
      <c r="F457" s="642"/>
      <c r="G457" s="742"/>
      <c r="H457" s="641">
        <f>IF(canthorincsup*187.5&gt;4500,4500,canthorincsup*187.5)</f>
        <v>4500</v>
      </c>
      <c r="I457" s="642"/>
      <c r="J457" s="260"/>
      <c r="K457" s="247">
        <f>IF(canthorincsup*83.3333&gt;2000,2000,canthorincsup*83.3333)</f>
        <v>2000</v>
      </c>
      <c r="L457" s="457"/>
      <c r="M457" s="260"/>
      <c r="N457" s="247">
        <f>IF(canthorincsup*83.3333&gt;2000,2000,canthorincsup*83.3333)</f>
        <v>2000</v>
      </c>
      <c r="O457" s="457"/>
      <c r="P457" s="260"/>
      <c r="Q457" s="247">
        <f>IF(canthorincsup*59.16666&gt;1420,1420,canthorincsup*59.16666)</f>
        <v>1420</v>
      </c>
      <c r="R457" s="457"/>
      <c r="S457" s="260"/>
      <c r="T457" s="247">
        <f>IF(canthorincsup*59.16666&gt;1420,1420,canthorincsup*59.16666)</f>
        <v>1420</v>
      </c>
      <c r="U457" s="457"/>
      <c r="V457" s="260"/>
      <c r="W457" s="247">
        <f>IF(canthorincsup*59.16666&gt;1420,1420,canthorincsup*59.16666)</f>
        <v>1420</v>
      </c>
      <c r="X457" s="457"/>
      <c r="Y457" s="260"/>
      <c r="Z457" s="247">
        <f>IF(canthorincsup*17.5&gt;420,420,canthorincsup*17.5)</f>
        <v>420</v>
      </c>
      <c r="AA457" s="457"/>
      <c r="AB457" s="260"/>
      <c r="AC457" s="247">
        <f>IF(canthorincsup*17.5&gt;420,420,canthorincsup*17.5)</f>
        <v>420</v>
      </c>
      <c r="AD457" s="457"/>
      <c r="AE457" s="459"/>
      <c r="AF457" s="243"/>
      <c r="AG457" s="13"/>
      <c r="AH457" s="24"/>
      <c r="AI457" s="243"/>
      <c r="AJ457" s="13"/>
      <c r="AK457" s="24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</row>
    <row r="458" spans="1:49" ht="15" hidden="1">
      <c r="A458" s="13"/>
      <c r="B458" s="701"/>
      <c r="C458" s="640"/>
      <c r="D458" s="640"/>
      <c r="E458" s="706"/>
      <c r="F458" s="642"/>
      <c r="G458" s="741"/>
      <c r="H458" s="706"/>
      <c r="I458" s="642"/>
      <c r="J458" s="298"/>
      <c r="K458" s="523"/>
      <c r="L458" s="457"/>
      <c r="M458" s="298"/>
      <c r="N458" s="523"/>
      <c r="O458" s="457"/>
      <c r="P458" s="298"/>
      <c r="Q458" s="523"/>
      <c r="R458" s="457"/>
      <c r="S458" s="298"/>
      <c r="T458" s="523"/>
      <c r="U458" s="457"/>
      <c r="V458" s="298"/>
      <c r="W458" s="523"/>
      <c r="X458" s="457"/>
      <c r="Y458" s="298"/>
      <c r="Z458" s="523"/>
      <c r="AA458" s="457"/>
      <c r="AB458" s="298"/>
      <c r="AC458" s="523"/>
      <c r="AD458" s="457"/>
      <c r="AE458" s="320"/>
      <c r="AF458" s="300"/>
      <c r="AG458" s="13"/>
      <c r="AH458" s="24"/>
      <c r="AI458" s="300"/>
      <c r="AJ458" s="13"/>
      <c r="AK458" s="24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</row>
    <row r="459" spans="1:49" ht="15" hidden="1">
      <c r="A459" s="13"/>
      <c r="B459" s="701"/>
      <c r="C459" s="640"/>
      <c r="D459" s="640"/>
      <c r="E459" s="704"/>
      <c r="F459" s="642"/>
      <c r="G459" s="741"/>
      <c r="H459" s="704"/>
      <c r="I459" s="642"/>
      <c r="J459" s="298"/>
      <c r="K459" s="524"/>
      <c r="L459" s="457"/>
      <c r="M459" s="298"/>
      <c r="N459" s="524"/>
      <c r="O459" s="457"/>
      <c r="P459" s="298"/>
      <c r="Q459" s="524"/>
      <c r="R459" s="457"/>
      <c r="S459" s="298"/>
      <c r="T459" s="524"/>
      <c r="U459" s="457"/>
      <c r="V459" s="298"/>
      <c r="W459" s="524"/>
      <c r="X459" s="457"/>
      <c r="Y459" s="298"/>
      <c r="Z459" s="524"/>
      <c r="AA459" s="457"/>
      <c r="AB459" s="298"/>
      <c r="AC459" s="524"/>
      <c r="AD459" s="457"/>
      <c r="AE459" s="320"/>
      <c r="AF459" s="300"/>
      <c r="AG459" s="13"/>
      <c r="AH459" s="24"/>
      <c r="AI459" s="300"/>
      <c r="AJ459" s="13"/>
      <c r="AK459" s="24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</row>
    <row r="460" spans="1:49" hidden="1">
      <c r="A460" s="13"/>
      <c r="B460" s="643"/>
      <c r="C460" s="707"/>
      <c r="D460" s="674" t="s">
        <v>148</v>
      </c>
      <c r="E460" s="708">
        <f>SUM(E452:E457)</f>
        <v>169281.94534882423</v>
      </c>
      <c r="F460" s="647"/>
      <c r="G460" s="749"/>
      <c r="H460" s="708">
        <f>SUM(H452:H457)</f>
        <v>159897.55021612</v>
      </c>
      <c r="I460" s="647"/>
      <c r="J460" s="526"/>
      <c r="K460" s="525">
        <f>SUM(K452:K457)</f>
        <v>150015.85075489603</v>
      </c>
      <c r="L460" s="458"/>
      <c r="M460" s="526"/>
      <c r="N460" s="525">
        <f>SUM(N452:N457)</f>
        <v>139470.97292120001</v>
      </c>
      <c r="O460" s="458"/>
      <c r="P460" s="526"/>
      <c r="Q460" s="525">
        <f>SUM(Q452:Q457)</f>
        <v>127526.09508750397</v>
      </c>
      <c r="R460" s="458"/>
      <c r="S460" s="526"/>
      <c r="T460" s="525">
        <f>SUM(T452:T457)</f>
        <v>120144.68060391682</v>
      </c>
      <c r="U460" s="458"/>
      <c r="V460" s="526"/>
      <c r="W460" s="525">
        <f>SUM(W452:W457)</f>
        <v>111708.77833696001</v>
      </c>
      <c r="X460" s="458"/>
      <c r="Y460" s="526"/>
      <c r="Z460" s="525">
        <f>SUM(Z452:Z457)</f>
        <v>110708.77833696001</v>
      </c>
      <c r="AA460" s="458"/>
      <c r="AB460" s="526"/>
      <c r="AC460" s="525">
        <f>SUM(AC452:AC457)</f>
        <v>92302.148910400007</v>
      </c>
      <c r="AD460" s="458"/>
      <c r="AE460" s="527"/>
      <c r="AF460" s="293"/>
      <c r="AG460" s="13"/>
      <c r="AH460" s="24"/>
      <c r="AI460" s="293"/>
      <c r="AJ460" s="13"/>
      <c r="AK460" s="24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</row>
    <row r="461" spans="1:49" hidden="1">
      <c r="A461" s="13"/>
      <c r="B461" s="638">
        <v>440</v>
      </c>
      <c r="C461" s="709"/>
      <c r="D461" s="640" t="s">
        <v>102</v>
      </c>
      <c r="E461" s="703">
        <f>E403</f>
        <v>0</v>
      </c>
      <c r="F461" s="670">
        <f>-E461</f>
        <v>0</v>
      </c>
      <c r="G461" s="741"/>
      <c r="H461" s="703">
        <f>H403</f>
        <v>0</v>
      </c>
      <c r="I461" s="670">
        <f>-H461</f>
        <v>0</v>
      </c>
      <c r="J461" s="260"/>
      <c r="K461" s="322"/>
      <c r="L461" s="528">
        <f>-K461</f>
        <v>0</v>
      </c>
      <c r="M461" s="260"/>
      <c r="N461" s="322"/>
      <c r="O461" s="528">
        <f>-N461</f>
        <v>0</v>
      </c>
      <c r="P461" s="260"/>
      <c r="Q461" s="322"/>
      <c r="R461" s="528">
        <f>-Q461</f>
        <v>0</v>
      </c>
      <c r="S461" s="260"/>
      <c r="T461" s="322"/>
      <c r="U461" s="528">
        <f>-T461</f>
        <v>0</v>
      </c>
      <c r="V461" s="260"/>
      <c r="W461" s="322"/>
      <c r="X461" s="528">
        <f>-W461</f>
        <v>0</v>
      </c>
      <c r="Y461" s="260"/>
      <c r="Z461" s="322"/>
      <c r="AA461" s="528">
        <f>-Z461</f>
        <v>0</v>
      </c>
      <c r="AB461" s="260"/>
      <c r="AC461" s="322"/>
      <c r="AD461" s="528">
        <f>-AC461</f>
        <v>0</v>
      </c>
      <c r="AE461" s="459"/>
      <c r="AF461" s="300"/>
      <c r="AG461" s="64"/>
      <c r="AH461" s="24"/>
      <c r="AI461" s="300"/>
      <c r="AJ461" s="64"/>
      <c r="AK461" s="24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</row>
    <row r="462" spans="1:49" ht="12.75" hidden="1">
      <c r="A462" s="13"/>
      <c r="B462" s="643">
        <v>502</v>
      </c>
      <c r="C462" s="643" t="s">
        <v>30</v>
      </c>
      <c r="D462" s="672" t="s">
        <v>149</v>
      </c>
      <c r="E462" s="646"/>
      <c r="F462" s="664">
        <f>-(E444+E445+E448+E446+E447+F461+E449+E451)*porjub</f>
        <v>-25459.511255811878</v>
      </c>
      <c r="G462" s="748"/>
      <c r="H462" s="646"/>
      <c r="I462" s="664">
        <f>-(H444+H445+H448+H446+H447+I461+H449+H451)*porjub</f>
        <v>-23958.008034579201</v>
      </c>
      <c r="J462" s="312"/>
      <c r="K462" s="529"/>
      <c r="L462" s="468">
        <f>-(K444+K445+K448+K446+K447+L461+K449+K451)*porjub</f>
        <v>-22776.936120783372</v>
      </c>
      <c r="M462" s="312"/>
      <c r="N462" s="529"/>
      <c r="O462" s="468">
        <f>-(N444+N445+N448+N446+N447+O461+N449+N451)*porjub</f>
        <v>-21089.755667392001</v>
      </c>
      <c r="P462" s="312"/>
      <c r="Q462" s="529"/>
      <c r="R462" s="468">
        <f>-(Q444+Q445+Q448+Q446+Q447+R461+Q449+Q451)*porjub</f>
        <v>-19402.575214000637</v>
      </c>
      <c r="S462" s="312"/>
      <c r="T462" s="529"/>
      <c r="U462" s="468">
        <f>-(T444+T445+T448+T446+T447+U461+T449+T451)*porjub</f>
        <v>-18221.548896626689</v>
      </c>
      <c r="V462" s="312"/>
      <c r="W462" s="529"/>
      <c r="X462" s="468">
        <f>-(W444+W445+W448+W446+W447+X461+W449+W451)*porjub</f>
        <v>-16871.804533913601</v>
      </c>
      <c r="Y462" s="312"/>
      <c r="Z462" s="529"/>
      <c r="AA462" s="468">
        <f>-(Z444+Z445+Z448+Z446+Z447+AA461+Z449+Z451)*porjub</f>
        <v>-16871.804533913601</v>
      </c>
      <c r="AB462" s="312"/>
      <c r="AC462" s="529"/>
      <c r="AD462" s="468">
        <f>-(AC444+AC445+AC448+AC446+AC447+AD461+AC449+AC451)*porjub</f>
        <v>-13926.743825664002</v>
      </c>
      <c r="AE462" s="16"/>
      <c r="AF462" s="243"/>
      <c r="AG462" s="13"/>
      <c r="AH462" s="24"/>
      <c r="AI462" s="243"/>
      <c r="AJ462" s="13"/>
      <c r="AK462" s="24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</row>
    <row r="463" spans="1:49" ht="12.75" hidden="1">
      <c r="A463" s="13"/>
      <c r="B463" s="638">
        <v>504</v>
      </c>
      <c r="C463" s="638" t="s">
        <v>105</v>
      </c>
      <c r="D463" s="640" t="s">
        <v>106</v>
      </c>
      <c r="E463" s="642"/>
      <c r="F463" s="670"/>
      <c r="G463" s="741"/>
      <c r="H463" s="642"/>
      <c r="I463" s="670">
        <f>-(H444+H445+H448+H446+H447+I461+H449+H451)*porley</f>
        <v>-898.42530129672002</v>
      </c>
      <c r="J463" s="298"/>
      <c r="K463" s="530"/>
      <c r="L463" s="472">
        <f>-(K444+K445+K448+K446+K447+L461+K449+K451)*porley</f>
        <v>-854.13510452937635</v>
      </c>
      <c r="M463" s="298"/>
      <c r="N463" s="530"/>
      <c r="O463" s="472">
        <f>-(N444+N445+N448+N446+N447+O461+N449+N451)*porley</f>
        <v>-790.86583752720003</v>
      </c>
      <c r="P463" s="298"/>
      <c r="Q463" s="530"/>
      <c r="R463" s="472">
        <f>-(Q444+Q445+Q448+Q446+Q447+R461+Q449+Q451)*porley</f>
        <v>-727.59657052502394</v>
      </c>
      <c r="S463" s="298"/>
      <c r="T463" s="530"/>
      <c r="U463" s="472">
        <f>-(T444+T445+T448+T446+T447+U461+T449+T451)*porley</f>
        <v>-683.30808362350092</v>
      </c>
      <c r="V463" s="298"/>
      <c r="W463" s="530"/>
      <c r="X463" s="472">
        <f>-(W444+W445+W448+W446+W447+X461+W449+W451)*porley</f>
        <v>-632.69267002176002</v>
      </c>
      <c r="Y463" s="298"/>
      <c r="Z463" s="530"/>
      <c r="AA463" s="472">
        <f>-(Z444+Z445+Z448+Z446+Z447+AA461+Z449+Z451)*porley</f>
        <v>-632.69267002176002</v>
      </c>
      <c r="AB463" s="298"/>
      <c r="AC463" s="530"/>
      <c r="AD463" s="472">
        <f>-(AC444+AC445+AC448+AC446+AC447+AD461+AC449+AC451)*porley</f>
        <v>-522.25289346240004</v>
      </c>
      <c r="AE463" s="320"/>
      <c r="AF463" s="13"/>
      <c r="AG463" s="13"/>
      <c r="AH463" s="24"/>
      <c r="AI463" s="13"/>
      <c r="AJ463" s="13"/>
      <c r="AK463" s="24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</row>
    <row r="464" spans="1:49" ht="12.75" hidden="1">
      <c r="A464" s="13"/>
      <c r="B464" s="643">
        <v>505</v>
      </c>
      <c r="C464" s="644">
        <v>0.03</v>
      </c>
      <c r="D464" s="672" t="s">
        <v>150</v>
      </c>
      <c r="E464" s="646"/>
      <c r="F464" s="664">
        <f>-(E444+E445+E448+E446+E447+F461+E449+E451)*poros</f>
        <v>-4773.6583604647267</v>
      </c>
      <c r="G464" s="748"/>
      <c r="H464" s="646"/>
      <c r="I464" s="664">
        <f>-(H444+H445+H448+H446+H447+I461+H449+H451)*poros</f>
        <v>-4492.1265064835998</v>
      </c>
      <c r="J464" s="312"/>
      <c r="K464" s="529"/>
      <c r="L464" s="468">
        <f>-(K444+K445+K448+K446+K447+L461+K449+K451)*poros</f>
        <v>-4270.6755226468813</v>
      </c>
      <c r="M464" s="312"/>
      <c r="N464" s="529"/>
      <c r="O464" s="468">
        <f>-(N444+N445+N448+N446+N447+O461+N449+N451)*poros</f>
        <v>-3954.3291876359999</v>
      </c>
      <c r="P464" s="312"/>
      <c r="Q464" s="529"/>
      <c r="R464" s="468">
        <f>-(Q444+Q445+Q448+Q446+Q447+R461+Q449+Q451)*poros</f>
        <v>-3637.9828526251194</v>
      </c>
      <c r="S464" s="312"/>
      <c r="T464" s="529"/>
      <c r="U464" s="468">
        <f>-(T444+T445+T448+T446+T447+U461+T449+T451)*poros</f>
        <v>-3416.5404181175045</v>
      </c>
      <c r="V464" s="312"/>
      <c r="W464" s="529"/>
      <c r="X464" s="468">
        <f>-(W444+W445+W448+W446+W447+X461+W449+W451)*poros</f>
        <v>-3163.4633501088001</v>
      </c>
      <c r="Y464" s="312"/>
      <c r="Z464" s="529"/>
      <c r="AA464" s="468">
        <f>-(Z444+Z445+Z448+Z446+Z447+AA461+Z449+Z451)*poros</f>
        <v>-3163.4633501088001</v>
      </c>
      <c r="AB464" s="312"/>
      <c r="AC464" s="529"/>
      <c r="AD464" s="468">
        <f>-(AC444+AC445+AC448+AC446+AC447+AD461+AC449+AC451)*poros</f>
        <v>-2611.2644673120003</v>
      </c>
      <c r="AE464" s="16"/>
      <c r="AF464" s="243"/>
      <c r="AG464" s="13"/>
      <c r="AH464" s="24"/>
      <c r="AI464" s="243"/>
      <c r="AJ464" s="13"/>
      <c r="AK464" s="24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</row>
    <row r="465" spans="1:49" hidden="1">
      <c r="A465" s="13"/>
      <c r="B465" s="673">
        <v>332</v>
      </c>
      <c r="C465" s="710">
        <f t="shared" ref="C465:C466" si="223">C407</f>
        <v>0</v>
      </c>
      <c r="D465" s="649" t="s">
        <v>110</v>
      </c>
      <c r="E465" s="641"/>
      <c r="F465" s="670">
        <f>-(E444+E445+E448+E446+E447+F461+E449)*poragmer-E455*poragmer</f>
        <v>0</v>
      </c>
      <c r="G465" s="743"/>
      <c r="H465" s="641"/>
      <c r="I465" s="670">
        <f>-(H444+H445+H448+H446+H447+I461+H449)*poragmer-H455*poragmer</f>
        <v>0</v>
      </c>
      <c r="J465" s="323"/>
      <c r="K465" s="531"/>
      <c r="L465" s="472">
        <f>-(K444+K445+K448+K446+K447+L461+K449)*poragmer-K455*poragmer</f>
        <v>0</v>
      </c>
      <c r="M465" s="323"/>
      <c r="N465" s="531"/>
      <c r="O465" s="472">
        <f>-(N444+N445+N448+N446+N447+O461+N449)*poragmer-N455*poragmer</f>
        <v>0</v>
      </c>
      <c r="P465" s="323"/>
      <c r="Q465" s="531"/>
      <c r="R465" s="472">
        <f>-(Q444+Q445+Q448+Q446+Q447+R461+Q449)*poragmer-Q455*poragmer</f>
        <v>0</v>
      </c>
      <c r="S465" s="323"/>
      <c r="T465" s="531"/>
      <c r="U465" s="472">
        <f>-(T444+T445+T448+T446+T447+U461+T449)*poragmer-T455*poragmer</f>
        <v>0</v>
      </c>
      <c r="V465" s="323"/>
      <c r="W465" s="531"/>
      <c r="X465" s="472">
        <f>-(W444+W445+W448+W446+W447+X461+W449)*poragmer-W455*poragmer</f>
        <v>0</v>
      </c>
      <c r="Y465" s="323"/>
      <c r="Z465" s="531"/>
      <c r="AA465" s="472">
        <f>-(Z444+Z445+Z448+Z446+Z447+AA461+Z449)*poragmer-Z455*poragmer</f>
        <v>0</v>
      </c>
      <c r="AB465" s="323"/>
      <c r="AC465" s="531"/>
      <c r="AD465" s="472">
        <f>-(AC444+AC445+AC448+AC446+AC447+AD461+AC449)*poragmer-AC455*poragmer</f>
        <v>0</v>
      </c>
      <c r="AE465" s="324"/>
      <c r="AF465" s="243"/>
      <c r="AG465" s="13"/>
      <c r="AH465" s="24"/>
      <c r="AI465" s="243"/>
      <c r="AJ465" s="13"/>
      <c r="AK465" s="24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</row>
    <row r="466" spans="1:49" hidden="1">
      <c r="A466" s="13"/>
      <c r="B466" s="671" t="s">
        <v>111</v>
      </c>
      <c r="C466" s="711">
        <f t="shared" si="223"/>
        <v>0</v>
      </c>
      <c r="D466" s="645"/>
      <c r="E466" s="647"/>
      <c r="F466" s="664">
        <f>-(E445+E444+E448+E446+E447+F461+E449+E451)*C466</f>
        <v>0</v>
      </c>
      <c r="G466" s="742"/>
      <c r="H466" s="647"/>
      <c r="I466" s="664">
        <f>-(H445+H444+H448+H446+H447+I461+H449+H451)*C466</f>
        <v>0</v>
      </c>
      <c r="J466" s="298"/>
      <c r="K466" s="532"/>
      <c r="L466" s="468">
        <f>-(K445+K444+K448+K446+K447+L461+K449+K451)*I466</f>
        <v>0</v>
      </c>
      <c r="M466" s="298"/>
      <c r="N466" s="532"/>
      <c r="O466" s="468">
        <f>-(N445+N444+N448+N446+N447+O461+N449+N451)*L466</f>
        <v>0</v>
      </c>
      <c r="P466" s="298"/>
      <c r="Q466" s="532"/>
      <c r="R466" s="468">
        <f>-(Q445+Q444+Q448+Q446+Q447+R461+Q449+Q451)*O466</f>
        <v>0</v>
      </c>
      <c r="S466" s="298"/>
      <c r="T466" s="532"/>
      <c r="U466" s="468">
        <f>-(T445+T444+T448+T446+T447+U461+T449+T451)*R466</f>
        <v>0</v>
      </c>
      <c r="V466" s="298"/>
      <c r="W466" s="532"/>
      <c r="X466" s="468">
        <f>-(W445+W444+W448+W446+W447+X461+W449+W451)*U466</f>
        <v>0</v>
      </c>
      <c r="Y466" s="298"/>
      <c r="Z466" s="532"/>
      <c r="AA466" s="468">
        <f>-(Z445+Z444+Z448+Z446+Z447+AA461+Z449+Z451)*X466</f>
        <v>0</v>
      </c>
      <c r="AB466" s="298"/>
      <c r="AC466" s="532"/>
      <c r="AD466" s="468">
        <f>-(AC445+AC444+AC448+AC446+AC447+AD461+AC449+AC451)*AA466</f>
        <v>0</v>
      </c>
      <c r="AE466" s="320"/>
      <c r="AF466" s="13"/>
      <c r="AG466" s="13"/>
      <c r="AH466" s="24"/>
      <c r="AI466" s="13"/>
      <c r="AJ466" s="13"/>
      <c r="AK466" s="24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</row>
    <row r="467" spans="1:49" hidden="1">
      <c r="A467" s="13"/>
      <c r="B467" s="709"/>
      <c r="C467" s="709"/>
      <c r="D467" s="653" t="s">
        <v>112</v>
      </c>
      <c r="E467" s="712"/>
      <c r="F467" s="713">
        <f>SUM(F462:F466)</f>
        <v>-30233.169616276606</v>
      </c>
      <c r="G467" s="747"/>
      <c r="H467" s="712"/>
      <c r="I467" s="713">
        <f>SUM(I462:I466)</f>
        <v>-29348.559842359522</v>
      </c>
      <c r="J467" s="302"/>
      <c r="K467" s="534"/>
      <c r="L467" s="533">
        <f>SUM(L462:L466)</f>
        <v>-27901.746747959631</v>
      </c>
      <c r="M467" s="302"/>
      <c r="N467" s="534"/>
      <c r="O467" s="533">
        <f>SUM(O462:O466)</f>
        <v>-25834.950692555198</v>
      </c>
      <c r="P467" s="302"/>
      <c r="Q467" s="534"/>
      <c r="R467" s="533">
        <f>SUM(R462:R466)</f>
        <v>-23768.154637150779</v>
      </c>
      <c r="S467" s="302"/>
      <c r="T467" s="534"/>
      <c r="U467" s="533">
        <f>SUM(U462:U466)</f>
        <v>-22321.397398367695</v>
      </c>
      <c r="V467" s="302"/>
      <c r="W467" s="534"/>
      <c r="X467" s="533">
        <f>SUM(X462:X466)</f>
        <v>-20667.960554044159</v>
      </c>
      <c r="Y467" s="302"/>
      <c r="Z467" s="534"/>
      <c r="AA467" s="533">
        <f>SUM(AA462:AA466)</f>
        <v>-20667.960554044159</v>
      </c>
      <c r="AB467" s="302"/>
      <c r="AC467" s="534"/>
      <c r="AD467" s="533">
        <f>SUM(AD462:AD466)</f>
        <v>-17060.261186438402</v>
      </c>
      <c r="AE467" s="329"/>
      <c r="AF467" s="32"/>
      <c r="AG467" s="32"/>
      <c r="AH467" s="24"/>
      <c r="AI467" s="32"/>
      <c r="AJ467" s="32"/>
      <c r="AK467" s="24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</row>
    <row r="468" spans="1:49" ht="12.75" hidden="1">
      <c r="A468" s="13"/>
      <c r="B468" s="645"/>
      <c r="C468" s="645"/>
      <c r="D468" s="645"/>
      <c r="E468" s="647"/>
      <c r="F468" s="647"/>
      <c r="G468" s="742"/>
      <c r="H468" s="647"/>
      <c r="I468" s="647"/>
      <c r="J468" s="535"/>
      <c r="K468" s="369"/>
      <c r="L468" s="369"/>
      <c r="M468" s="535"/>
      <c r="N468" s="369"/>
      <c r="O468" s="369"/>
      <c r="P468" s="535"/>
      <c r="Q468" s="369"/>
      <c r="R468" s="369"/>
      <c r="S468" s="535"/>
      <c r="T468" s="369"/>
      <c r="U468" s="369"/>
      <c r="V468" s="535"/>
      <c r="W468" s="369"/>
      <c r="X468" s="369"/>
      <c r="Y468" s="535"/>
      <c r="Z468" s="369"/>
      <c r="AA468" s="369"/>
      <c r="AB468" s="535"/>
      <c r="AC468" s="369"/>
      <c r="AD468" s="369"/>
      <c r="AE468" s="131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</row>
    <row r="469" spans="1:49" ht="23.25" hidden="1">
      <c r="A469" s="13"/>
      <c r="B469" s="672"/>
      <c r="C469" s="645"/>
      <c r="D469" s="674"/>
      <c r="E469" s="677" t="s">
        <v>115</v>
      </c>
      <c r="F469" s="720">
        <f>E460+F467</f>
        <v>139048.77573254763</v>
      </c>
      <c r="G469" s="749"/>
      <c r="H469" s="677" t="s">
        <v>115</v>
      </c>
      <c r="I469" s="720">
        <f>H460+I467</f>
        <v>130548.99037376048</v>
      </c>
      <c r="J469" s="355"/>
      <c r="K469" s="479" t="s">
        <v>115</v>
      </c>
      <c r="L469" s="721">
        <f>K460+L467</f>
        <v>122114.1040069364</v>
      </c>
      <c r="M469" s="355"/>
      <c r="N469" s="479" t="s">
        <v>115</v>
      </c>
      <c r="O469" s="721">
        <f>N460+O467</f>
        <v>113636.02222864481</v>
      </c>
      <c r="P469" s="355"/>
      <c r="Q469" s="479" t="s">
        <v>115</v>
      </c>
      <c r="R469" s="721">
        <f>Q460+R467</f>
        <v>103757.9404503532</v>
      </c>
      <c r="S469" s="355"/>
      <c r="T469" s="479" t="s">
        <v>115</v>
      </c>
      <c r="U469" s="721">
        <f>T460+U467</f>
        <v>97823.283205549116</v>
      </c>
      <c r="V469" s="355"/>
      <c r="W469" s="479" t="s">
        <v>115</v>
      </c>
      <c r="X469" s="721">
        <f>W460+X467</f>
        <v>91040.817782915852</v>
      </c>
      <c r="Y469" s="355"/>
      <c r="Z469" s="479" t="s">
        <v>115</v>
      </c>
      <c r="AA469" s="721">
        <f>Z460+AA467</f>
        <v>90040.817782915852</v>
      </c>
      <c r="AB469" s="355"/>
      <c r="AC469" s="479" t="s">
        <v>115</v>
      </c>
      <c r="AD469" s="721">
        <f>AC460+AD467</f>
        <v>75241.887723961612</v>
      </c>
      <c r="AE469" s="337"/>
      <c r="AF469" s="31"/>
      <c r="AG469" s="480"/>
      <c r="AH469" s="13"/>
      <c r="AI469" s="31"/>
      <c r="AJ469" s="480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</row>
    <row r="470" spans="1:49" ht="23.25" hidden="1">
      <c r="A470" s="13"/>
      <c r="B470" s="672"/>
      <c r="C470" s="645">
        <f>2250/12</f>
        <v>187.5</v>
      </c>
      <c r="D470" s="674"/>
      <c r="E470" s="674"/>
      <c r="F470" s="678"/>
      <c r="G470" s="749"/>
      <c r="H470" s="674"/>
      <c r="I470" s="678"/>
      <c r="J470" s="337"/>
      <c r="K470" s="31"/>
      <c r="L470" s="480"/>
      <c r="M470" s="337"/>
      <c r="N470" s="31"/>
      <c r="O470" s="480"/>
      <c r="P470" s="337"/>
      <c r="Q470" s="31"/>
      <c r="R470" s="480"/>
      <c r="S470" s="337"/>
      <c r="T470" s="31"/>
      <c r="U470" s="480"/>
      <c r="V470" s="337"/>
      <c r="W470" s="31"/>
      <c r="X470" s="480"/>
      <c r="Y470" s="337"/>
      <c r="Z470" s="31"/>
      <c r="AA470" s="480"/>
      <c r="AB470" s="337"/>
      <c r="AC470" s="31"/>
      <c r="AD470" s="480"/>
      <c r="AE470" s="337"/>
      <c r="AF470" s="31"/>
      <c r="AG470" s="480"/>
      <c r="AH470" s="13"/>
      <c r="AI470" s="31"/>
      <c r="AJ470" s="480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</row>
    <row r="471" spans="1:49" ht="23.25" hidden="1">
      <c r="A471" s="13"/>
      <c r="B471" s="672"/>
      <c r="C471" s="645"/>
      <c r="D471" s="674"/>
      <c r="E471" s="680" t="s">
        <v>120</v>
      </c>
      <c r="F471" s="681">
        <f>F469-I469</f>
        <v>8499.7853587871505</v>
      </c>
      <c r="G471" s="749"/>
      <c r="H471" s="680" t="s">
        <v>120</v>
      </c>
      <c r="I471" s="681">
        <f>I469-L469</f>
        <v>8434.8863668240811</v>
      </c>
      <c r="J471" s="452"/>
      <c r="K471" s="340" t="s">
        <v>120</v>
      </c>
      <c r="L471" s="341">
        <f>L469-O469</f>
        <v>8478.0817782915838</v>
      </c>
      <c r="M471" s="452"/>
      <c r="N471" s="340" t="s">
        <v>120</v>
      </c>
      <c r="O471" s="341">
        <f>O469-R469</f>
        <v>9878.0817782916129</v>
      </c>
      <c r="P471" s="337"/>
      <c r="Q471" s="340" t="s">
        <v>120</v>
      </c>
      <c r="R471" s="341">
        <f>R469-U469</f>
        <v>5934.6572448040824</v>
      </c>
      <c r="S471" s="337"/>
      <c r="T471" s="340" t="s">
        <v>120</v>
      </c>
      <c r="U471" s="341">
        <f>U469-X469</f>
        <v>6782.4654226332641</v>
      </c>
      <c r="V471" s="452"/>
      <c r="W471" s="340" t="s">
        <v>120</v>
      </c>
      <c r="X471" s="341">
        <f>X469-AA469</f>
        <v>1000</v>
      </c>
      <c r="Y471" s="337"/>
      <c r="Z471" s="340" t="s">
        <v>120</v>
      </c>
      <c r="AA471" s="341">
        <f>AA469-AD469</f>
        <v>14798.93005895424</v>
      </c>
      <c r="AB471" s="337"/>
      <c r="AC471" s="993"/>
      <c r="AD471" s="956"/>
      <c r="AE471" s="337"/>
      <c r="AF471" s="293"/>
      <c r="AG471" s="480"/>
      <c r="AH471" s="13"/>
      <c r="AI471" s="293"/>
      <c r="AJ471" s="480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</row>
    <row r="472" spans="1:49" ht="18" hidden="1">
      <c r="A472" s="13"/>
      <c r="B472" s="672"/>
      <c r="C472" s="645"/>
      <c r="D472" s="674"/>
      <c r="E472" s="680" t="s">
        <v>121</v>
      </c>
      <c r="F472" s="682">
        <f>F471/I469</f>
        <v>6.5108012972389509E-2</v>
      </c>
      <c r="G472" s="749"/>
      <c r="H472" s="680" t="s">
        <v>121</v>
      </c>
      <c r="I472" s="682">
        <f>I471/L469</f>
        <v>6.9073809576860656E-2</v>
      </c>
      <c r="J472" s="452"/>
      <c r="K472" s="340" t="s">
        <v>121</v>
      </c>
      <c r="L472" s="346">
        <f>L471/O469</f>
        <v>7.4607343798368808E-2</v>
      </c>
      <c r="M472" s="452"/>
      <c r="N472" s="340" t="s">
        <v>121</v>
      </c>
      <c r="O472" s="346">
        <f>O471/R469</f>
        <v>9.5203140457651478E-2</v>
      </c>
      <c r="P472" s="131"/>
      <c r="Q472" s="340" t="s">
        <v>121</v>
      </c>
      <c r="R472" s="346">
        <f>R471/U469</f>
        <v>6.0667123923187169E-2</v>
      </c>
      <c r="S472" s="131"/>
      <c r="T472" s="340" t="s">
        <v>121</v>
      </c>
      <c r="U472" s="346">
        <f>U471/X469</f>
        <v>7.4499170677550949E-2</v>
      </c>
      <c r="V472" s="452"/>
      <c r="W472" s="340" t="s">
        <v>121</v>
      </c>
      <c r="X472" s="346">
        <f>X471/AA469</f>
        <v>1.1106074163064052E-2</v>
      </c>
      <c r="Y472" s="131"/>
      <c r="Z472" s="340" t="s">
        <v>121</v>
      </c>
      <c r="AA472" s="346">
        <f>AA471/AD469</f>
        <v>0.1966847258437584</v>
      </c>
      <c r="AB472" s="337"/>
      <c r="AC472" s="342"/>
      <c r="AD472" s="343"/>
      <c r="AE472" s="337"/>
      <c r="AF472" s="344"/>
      <c r="AG472" s="345"/>
      <c r="AH472" s="13"/>
      <c r="AI472" s="344"/>
      <c r="AJ472" s="345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</row>
    <row r="473" spans="1:49" ht="18" hidden="1">
      <c r="A473" s="13"/>
      <c r="B473" s="645"/>
      <c r="C473" s="645"/>
      <c r="D473" s="645"/>
      <c r="E473" s="645"/>
      <c r="F473" s="645"/>
      <c r="G473" s="742"/>
      <c r="H473" s="645"/>
      <c r="I473" s="645"/>
      <c r="J473" s="452"/>
      <c r="K473" s="13"/>
      <c r="L473" s="13"/>
      <c r="M473" s="452"/>
      <c r="N473" s="13"/>
      <c r="O473" s="13"/>
      <c r="P473" s="337"/>
      <c r="Q473" s="13"/>
      <c r="R473" s="13"/>
      <c r="S473" s="337"/>
      <c r="T473" s="13"/>
      <c r="U473" s="13"/>
      <c r="V473" s="452"/>
      <c r="W473" s="35"/>
      <c r="X473" s="349"/>
      <c r="Y473" s="337"/>
      <c r="Z473" s="35"/>
      <c r="AA473" s="349"/>
      <c r="AB473" s="131"/>
      <c r="AC473" s="347"/>
      <c r="AD473" s="348"/>
      <c r="AE473" s="131"/>
      <c r="AF473" s="344"/>
      <c r="AG473" s="349"/>
      <c r="AH473" s="35"/>
      <c r="AI473" s="344"/>
      <c r="AJ473" s="349"/>
      <c r="AK473" s="35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</row>
    <row r="474" spans="1:49" ht="18" hidden="1">
      <c r="A474" s="13"/>
      <c r="B474" s="671"/>
      <c r="C474" s="674"/>
      <c r="D474" s="679"/>
      <c r="E474" s="905" t="s">
        <v>555</v>
      </c>
      <c r="F474" s="684">
        <f>F469-AA469</f>
        <v>49007.957949631775</v>
      </c>
      <c r="G474" s="750"/>
      <c r="H474" s="905" t="s">
        <v>555</v>
      </c>
      <c r="I474" s="684">
        <f>I469-AA469</f>
        <v>40508.172590844624</v>
      </c>
      <c r="J474" s="452"/>
      <c r="K474" s="905" t="s">
        <v>555</v>
      </c>
      <c r="L474" s="351">
        <f>L469-AA469</f>
        <v>32073.286224020543</v>
      </c>
      <c r="M474" s="452"/>
      <c r="N474" s="905" t="s">
        <v>555</v>
      </c>
      <c r="O474" s="351">
        <f>O469-AA469</f>
        <v>23595.204445728959</v>
      </c>
      <c r="P474" s="337"/>
      <c r="Q474" s="905" t="s">
        <v>555</v>
      </c>
      <c r="R474" s="351">
        <f>R469-AA469</f>
        <v>13717.122667437347</v>
      </c>
      <c r="S474" s="337"/>
      <c r="T474" s="905" t="s">
        <v>555</v>
      </c>
      <c r="U474" s="351">
        <f>U469-AA469</f>
        <v>7782.4654226332641</v>
      </c>
      <c r="V474" s="452"/>
      <c r="W474" s="905" t="s">
        <v>555</v>
      </c>
      <c r="X474" s="351">
        <f>X469-AA469</f>
        <v>1000</v>
      </c>
      <c r="Y474" s="337"/>
      <c r="Z474" s="905" t="s">
        <v>555</v>
      </c>
      <c r="AA474" s="351">
        <f>AA469-AA469</f>
        <v>0</v>
      </c>
      <c r="AB474" s="452"/>
      <c r="AC474" s="991"/>
      <c r="AD474" s="956"/>
      <c r="AE474" s="452"/>
      <c r="AF474" s="24"/>
      <c r="AG474" s="13"/>
      <c r="AH474" s="481"/>
      <c r="AI474" s="24"/>
      <c r="AJ474" s="13"/>
      <c r="AK474" s="481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</row>
    <row r="475" spans="1:49" ht="18" hidden="1">
      <c r="A475" s="13"/>
      <c r="B475" s="671"/>
      <c r="C475" s="674"/>
      <c r="D475" s="679"/>
      <c r="E475" s="905" t="s">
        <v>556</v>
      </c>
      <c r="F475" s="685">
        <f>F474/AA469</f>
        <v>0.54428601556893497</v>
      </c>
      <c r="G475" s="750"/>
      <c r="H475" s="905" t="s">
        <v>556</v>
      </c>
      <c r="I475" s="685">
        <f>I474/AA469</f>
        <v>0.44988676900411889</v>
      </c>
      <c r="J475" s="452"/>
      <c r="K475" s="905" t="s">
        <v>556</v>
      </c>
      <c r="L475" s="352">
        <f>L474/AA469</f>
        <v>0.35620829545715277</v>
      </c>
      <c r="M475" s="452"/>
      <c r="N475" s="905" t="s">
        <v>556</v>
      </c>
      <c r="O475" s="352">
        <f>O474/AA469</f>
        <v>0.26205009046692446</v>
      </c>
      <c r="P475" s="337"/>
      <c r="Q475" s="905" t="s">
        <v>556</v>
      </c>
      <c r="R475" s="352">
        <f>R474/AA469</f>
        <v>0.15234338164840616</v>
      </c>
      <c r="S475" s="337"/>
      <c r="T475" s="905" t="s">
        <v>556</v>
      </c>
      <c r="U475" s="352">
        <f>U474/AA469</f>
        <v>8.6432638155246655E-2</v>
      </c>
      <c r="V475" s="452"/>
      <c r="W475" s="905" t="s">
        <v>556</v>
      </c>
      <c r="X475" s="352">
        <f>X474/AA469</f>
        <v>1.1106074163064052E-2</v>
      </c>
      <c r="Y475" s="337"/>
      <c r="Z475" s="905" t="s">
        <v>556</v>
      </c>
      <c r="AA475" s="352">
        <f>AA474/AA469</f>
        <v>0</v>
      </c>
      <c r="AB475" s="452"/>
      <c r="AC475" s="536"/>
      <c r="AD475" s="537"/>
      <c r="AE475" s="452"/>
      <c r="AF475" s="35"/>
      <c r="AG475" s="345"/>
      <c r="AH475" s="481"/>
      <c r="AI475" s="35"/>
      <c r="AJ475" s="345"/>
      <c r="AK475" s="481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</row>
    <row r="476" spans="1:49" ht="18" hidden="1">
      <c r="A476" s="13"/>
      <c r="B476" s="671"/>
      <c r="C476" s="674"/>
      <c r="D476" s="679"/>
      <c r="E476" s="645"/>
      <c r="F476" s="645"/>
      <c r="G476" s="750"/>
      <c r="H476" s="645"/>
      <c r="I476" s="645"/>
      <c r="J476" s="452"/>
      <c r="K476" s="13"/>
      <c r="L476" s="13"/>
      <c r="M476" s="452"/>
      <c r="N476" s="13"/>
      <c r="O476" s="13"/>
      <c r="P476" s="337"/>
      <c r="Q476" s="13"/>
      <c r="R476" s="13"/>
      <c r="S476" s="337"/>
      <c r="T476" s="13"/>
      <c r="U476" s="13"/>
      <c r="V476" s="452"/>
      <c r="W476" s="35"/>
      <c r="X476" s="349"/>
      <c r="Y476" s="337"/>
      <c r="Z476" s="35"/>
      <c r="AA476" s="349"/>
      <c r="AB476" s="452"/>
      <c r="AC476" s="536"/>
      <c r="AD476" s="538"/>
      <c r="AE476" s="452"/>
      <c r="AF476" s="35"/>
      <c r="AG476" s="349"/>
      <c r="AH476" s="95"/>
      <c r="AI476" s="35"/>
      <c r="AJ476" s="349"/>
      <c r="AK476" s="95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</row>
    <row r="477" spans="1:49" ht="18" hidden="1">
      <c r="A477" s="13"/>
      <c r="B477" s="645"/>
      <c r="C477" s="645"/>
      <c r="D477" s="645"/>
      <c r="E477" s="683" t="s">
        <v>122</v>
      </c>
      <c r="F477" s="684">
        <f>F469-AD469</f>
        <v>63806.888008586015</v>
      </c>
      <c r="G477" s="742"/>
      <c r="H477" s="683" t="s">
        <v>122</v>
      </c>
      <c r="I477" s="684">
        <f>I469-AD469</f>
        <v>55307.102649798864</v>
      </c>
      <c r="J477" s="452"/>
      <c r="K477" s="350" t="s">
        <v>122</v>
      </c>
      <c r="L477" s="351">
        <f>L469-AD469</f>
        <v>46872.216282974783</v>
      </c>
      <c r="M477" s="452"/>
      <c r="N477" s="350" t="s">
        <v>122</v>
      </c>
      <c r="O477" s="351">
        <f>O469-AD469</f>
        <v>38394.134504683199</v>
      </c>
      <c r="P477" s="337"/>
      <c r="Q477" s="350" t="s">
        <v>122</v>
      </c>
      <c r="R477" s="351">
        <f>R469-AD469</f>
        <v>28516.052726391586</v>
      </c>
      <c r="S477" s="337"/>
      <c r="T477" s="350" t="s">
        <v>122</v>
      </c>
      <c r="U477" s="351">
        <f>U469-AD469</f>
        <v>22581.395481587504</v>
      </c>
      <c r="V477" s="452"/>
      <c r="W477" s="350" t="s">
        <v>122</v>
      </c>
      <c r="X477" s="351">
        <f>X469-AD469</f>
        <v>15798.93005895424</v>
      </c>
      <c r="Y477" s="337"/>
      <c r="Z477" s="350" t="s">
        <v>122</v>
      </c>
      <c r="AA477" s="351">
        <f>AA469-AD469</f>
        <v>14798.93005895424</v>
      </c>
      <c r="AB477" s="131"/>
      <c r="AC477" s="13"/>
      <c r="AD477" s="13"/>
      <c r="AE477" s="131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</row>
    <row r="478" spans="1:49" ht="18" hidden="1">
      <c r="A478" s="13"/>
      <c r="B478" s="645"/>
      <c r="C478" s="645"/>
      <c r="D478" s="645"/>
      <c r="E478" s="683" t="s">
        <v>123</v>
      </c>
      <c r="F478" s="685">
        <f>F477/AD469</f>
        <v>0.84802348716546094</v>
      </c>
      <c r="G478" s="742"/>
      <c r="H478" s="683" t="s">
        <v>123</v>
      </c>
      <c r="I478" s="685">
        <f>I477/AD469</f>
        <v>0.73505735067018663</v>
      </c>
      <c r="J478" s="452"/>
      <c r="K478" s="350" t="s">
        <v>123</v>
      </c>
      <c r="L478" s="352">
        <f>L477/AD469</f>
        <v>0.62295375223617377</v>
      </c>
      <c r="M478" s="452"/>
      <c r="N478" s="350" t="s">
        <v>123</v>
      </c>
      <c r="O478" s="352">
        <f>O477/AD469</f>
        <v>0.51027606651150192</v>
      </c>
      <c r="P478" s="337"/>
      <c r="Q478" s="350" t="s">
        <v>123</v>
      </c>
      <c r="R478" s="352">
        <f>R477/AD469</f>
        <v>0.37899172374579237</v>
      </c>
      <c r="S478" s="337"/>
      <c r="T478" s="350" t="s">
        <v>123</v>
      </c>
      <c r="U478" s="352">
        <f>U477/AD469</f>
        <v>0.3001173437385225</v>
      </c>
      <c r="V478" s="452"/>
      <c r="W478" s="350" t="s">
        <v>123</v>
      </c>
      <c r="X478" s="352">
        <f>X477/AD469</f>
        <v>0.20997519515878516</v>
      </c>
      <c r="Y478" s="337"/>
      <c r="Z478" s="350" t="s">
        <v>123</v>
      </c>
      <c r="AA478" s="352">
        <f>AA477/AD469</f>
        <v>0.1966847258437584</v>
      </c>
      <c r="AB478" s="131"/>
      <c r="AC478" s="13"/>
      <c r="AD478" s="13"/>
      <c r="AE478" s="131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</row>
    <row r="479" spans="1:49" hidden="1">
      <c r="A479" s="13"/>
      <c r="B479" s="645"/>
      <c r="C479" s="645"/>
      <c r="D479" s="645"/>
      <c r="E479" s="674"/>
      <c r="F479" s="687"/>
      <c r="G479" s="742"/>
      <c r="H479" s="674"/>
      <c r="I479" s="687"/>
      <c r="J479" s="131"/>
      <c r="K479" s="335"/>
      <c r="L479" s="293"/>
      <c r="M479" s="131"/>
      <c r="N479" s="335"/>
      <c r="O479" s="293"/>
      <c r="P479" s="131"/>
      <c r="Q479" s="335"/>
      <c r="R479" s="293"/>
      <c r="S479" s="131"/>
      <c r="T479" s="335"/>
      <c r="U479" s="293"/>
      <c r="V479" s="131"/>
      <c r="W479" s="335"/>
      <c r="X479" s="293"/>
      <c r="Y479" s="131"/>
      <c r="Z479" s="335"/>
      <c r="AA479" s="293"/>
      <c r="AB479" s="131"/>
      <c r="AC479" s="335"/>
      <c r="AD479" s="335"/>
      <c r="AE479" s="131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</row>
    <row r="480" spans="1:49" hidden="1">
      <c r="A480" s="13"/>
      <c r="B480" s="645"/>
      <c r="C480" s="645"/>
      <c r="D480" s="645"/>
      <c r="E480" s="674" t="s">
        <v>125</v>
      </c>
      <c r="F480" s="687"/>
      <c r="G480" s="742"/>
      <c r="H480" s="674" t="s">
        <v>125</v>
      </c>
      <c r="I480" s="687"/>
      <c r="J480" s="131"/>
      <c r="K480" s="335" t="s">
        <v>125</v>
      </c>
      <c r="L480" s="293"/>
      <c r="M480" s="131"/>
      <c r="N480" s="335" t="s">
        <v>125</v>
      </c>
      <c r="O480" s="293"/>
      <c r="P480" s="131"/>
      <c r="Q480" s="335" t="s">
        <v>125</v>
      </c>
      <c r="R480" s="293"/>
      <c r="S480" s="131"/>
      <c r="T480" s="335" t="s">
        <v>125</v>
      </c>
      <c r="U480" s="293"/>
      <c r="V480" s="131"/>
      <c r="W480" s="335" t="s">
        <v>125</v>
      </c>
      <c r="X480" s="293"/>
      <c r="Y480" s="131"/>
      <c r="Z480" s="335" t="s">
        <v>125</v>
      </c>
      <c r="AA480" s="293"/>
      <c r="AB480" s="131"/>
      <c r="AC480" s="992" t="s">
        <v>125</v>
      </c>
      <c r="AD480" s="956"/>
      <c r="AE480" s="131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</row>
    <row r="481" spans="1:49" hidden="1">
      <c r="A481" s="332"/>
      <c r="B481" s="645"/>
      <c r="C481" s="645"/>
      <c r="D481" s="645"/>
      <c r="E481" s="669" t="s">
        <v>126</v>
      </c>
      <c r="F481" s="688">
        <f>(E444+E445+E446+E447+E448+E449+E451)*0.5</f>
        <v>79560.972674412114</v>
      </c>
      <c r="G481" s="742"/>
      <c r="H481" s="669" t="s">
        <v>126</v>
      </c>
      <c r="I481" s="688">
        <f>(H444+H445+H446+H447+H448+H449+H451)*0.5</f>
        <v>74868.775108059999</v>
      </c>
      <c r="J481" s="131"/>
      <c r="K481" s="139" t="s">
        <v>126</v>
      </c>
      <c r="L481" s="354">
        <f>(K444+K445+K446+K447+K448+K449+K451)*0.5</f>
        <v>71177.925377448017</v>
      </c>
      <c r="M481" s="131"/>
      <c r="N481" s="139" t="s">
        <v>126</v>
      </c>
      <c r="O481" s="354">
        <f>(N444+N445+N446+N447+N448+N449+N451)*0.5</f>
        <v>65905.486460600005</v>
      </c>
      <c r="P481" s="131"/>
      <c r="Q481" s="139" t="s">
        <v>126</v>
      </c>
      <c r="R481" s="354">
        <f>(Q444+Q445+Q446+Q447+Q448+Q449+Q451)*0.5</f>
        <v>60633.047543751985</v>
      </c>
      <c r="S481" s="131"/>
      <c r="T481" s="139" t="s">
        <v>126</v>
      </c>
      <c r="U481" s="354">
        <f>(T444+T445+T446+T447+T448+T449+T451)*0.5</f>
        <v>56942.340301958408</v>
      </c>
      <c r="V481" s="131"/>
      <c r="W481" s="139" t="s">
        <v>126</v>
      </c>
      <c r="X481" s="354">
        <f>(W444+W445+W446+W447+W448+W449+W451)*0.5</f>
        <v>52724.389168480004</v>
      </c>
      <c r="Y481" s="131"/>
      <c r="Z481" s="139" t="s">
        <v>126</v>
      </c>
      <c r="AA481" s="354">
        <f>(Z444+Z445+Z446+Z447+Z448+Z449+Z451)*0.5</f>
        <v>52724.389168480004</v>
      </c>
      <c r="AB481" s="131"/>
      <c r="AC481" s="139" t="s">
        <v>126</v>
      </c>
      <c r="AD481" s="354">
        <f>(AC444+AC445+AC446+AC447+AC448+AC449+AC451)*0.5</f>
        <v>43521.074455200003</v>
      </c>
      <c r="AE481" s="131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</row>
    <row r="482" spans="1:49" hidden="1">
      <c r="A482" s="332"/>
      <c r="B482" s="645"/>
      <c r="C482" s="645"/>
      <c r="D482" s="645"/>
      <c r="E482" s="669" t="s">
        <v>127</v>
      </c>
      <c r="F482" s="689"/>
      <c r="G482" s="742"/>
      <c r="H482" s="669" t="s">
        <v>127</v>
      </c>
      <c r="I482" s="689"/>
      <c r="J482" s="131"/>
      <c r="K482" s="483" t="s">
        <v>127</v>
      </c>
      <c r="L482" s="357"/>
      <c r="M482" s="131"/>
      <c r="N482" s="483" t="s">
        <v>127</v>
      </c>
      <c r="O482" s="357"/>
      <c r="P482" s="131"/>
      <c r="Q482" s="483" t="s">
        <v>127</v>
      </c>
      <c r="R482" s="357"/>
      <c r="S482" s="131"/>
      <c r="T482" s="483" t="s">
        <v>127</v>
      </c>
      <c r="U482" s="357"/>
      <c r="V482" s="131"/>
      <c r="W482" s="483" t="s">
        <v>127</v>
      </c>
      <c r="X482" s="357"/>
      <c r="Y482" s="131"/>
      <c r="Z482" s="483" t="s">
        <v>127</v>
      </c>
      <c r="AA482" s="357"/>
      <c r="AB482" s="131"/>
      <c r="AC482" s="483" t="s">
        <v>127</v>
      </c>
      <c r="AD482" s="357"/>
      <c r="AE482" s="131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</row>
    <row r="483" spans="1:49" ht="12.75" hidden="1">
      <c r="A483" s="332"/>
      <c r="B483" s="645"/>
      <c r="C483" s="645"/>
      <c r="D483" s="645"/>
      <c r="E483" s="645" t="s">
        <v>128</v>
      </c>
      <c r="F483" s="647">
        <f>F481*0.804</f>
        <v>63967.022030227345</v>
      </c>
      <c r="G483" s="742"/>
      <c r="H483" s="645" t="s">
        <v>128</v>
      </c>
      <c r="I483" s="647">
        <f>I481*0.804</f>
        <v>60194.495186880245</v>
      </c>
      <c r="J483" s="131"/>
      <c r="K483" s="115" t="s">
        <v>128</v>
      </c>
      <c r="L483" s="359">
        <f>L481*0.804</f>
        <v>57227.052003468212</v>
      </c>
      <c r="M483" s="131"/>
      <c r="N483" s="115" t="s">
        <v>128</v>
      </c>
      <c r="O483" s="359">
        <f>O481*0.804</f>
        <v>52988.011114322406</v>
      </c>
      <c r="P483" s="131"/>
      <c r="Q483" s="115" t="s">
        <v>128</v>
      </c>
      <c r="R483" s="359">
        <f>R481*0.804</f>
        <v>48748.970225176599</v>
      </c>
      <c r="S483" s="131"/>
      <c r="T483" s="115" t="s">
        <v>128</v>
      </c>
      <c r="U483" s="359">
        <f>U481*0.804</f>
        <v>45781.641602774565</v>
      </c>
      <c r="V483" s="131"/>
      <c r="W483" s="115" t="s">
        <v>128</v>
      </c>
      <c r="X483" s="359">
        <f>X481*0.804</f>
        <v>42390.408891457926</v>
      </c>
      <c r="Y483" s="131"/>
      <c r="Z483" s="115" t="s">
        <v>128</v>
      </c>
      <c r="AA483" s="359">
        <f>AA481*0.804</f>
        <v>42390.408891457926</v>
      </c>
      <c r="AB483" s="131"/>
      <c r="AC483" s="115" t="s">
        <v>128</v>
      </c>
      <c r="AD483" s="359">
        <f>AD481*0.804</f>
        <v>34990.943861980806</v>
      </c>
      <c r="AE483" s="131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</row>
    <row r="484" spans="1:49" ht="12.75" hidden="1">
      <c r="A484" s="332"/>
      <c r="B484" s="645"/>
      <c r="C484" s="645"/>
      <c r="D484" s="645"/>
      <c r="E484" s="669" t="s">
        <v>129</v>
      </c>
      <c r="F484" s="675"/>
      <c r="G484" s="742"/>
      <c r="H484" s="669" t="s">
        <v>129</v>
      </c>
      <c r="I484" s="675"/>
      <c r="J484" s="131"/>
      <c r="K484" s="484" t="s">
        <v>129</v>
      </c>
      <c r="L484" s="360"/>
      <c r="M484" s="131"/>
      <c r="N484" s="484" t="s">
        <v>129</v>
      </c>
      <c r="O484" s="360"/>
      <c r="P484" s="131"/>
      <c r="Q484" s="484" t="s">
        <v>129</v>
      </c>
      <c r="R484" s="360"/>
      <c r="S484" s="131"/>
      <c r="T484" s="484" t="s">
        <v>129</v>
      </c>
      <c r="U484" s="360"/>
      <c r="V484" s="131"/>
      <c r="W484" s="484" t="s">
        <v>129</v>
      </c>
      <c r="X484" s="360"/>
      <c r="Y484" s="131"/>
      <c r="Z484" s="484" t="s">
        <v>129</v>
      </c>
      <c r="AA484" s="360"/>
      <c r="AB484" s="131"/>
      <c r="AC484" s="484" t="s">
        <v>129</v>
      </c>
      <c r="AD484" s="360"/>
      <c r="AE484" s="131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</row>
    <row r="485" spans="1:49" hidden="1">
      <c r="A485" s="332"/>
      <c r="B485" s="645"/>
      <c r="C485" s="645"/>
      <c r="D485" s="645"/>
      <c r="E485" s="661">
        <v>502</v>
      </c>
      <c r="F485" s="690">
        <f>-(E444+E445+E448+E446+E447+F461+E449+E451+F481)*0.16</f>
        <v>-38189.266883717813</v>
      </c>
      <c r="G485" s="742"/>
      <c r="H485" s="661">
        <v>502</v>
      </c>
      <c r="I485" s="690">
        <f>-(H444+H445+H448+H446+H447+I461+H449+H451+I481)*0.16</f>
        <v>-35937.012051868805</v>
      </c>
      <c r="J485" s="131"/>
      <c r="K485" s="143">
        <v>502</v>
      </c>
      <c r="L485" s="362">
        <f>-(K444+K445+K448+K446+K447+L461+K449+K451+L481)*0.16</f>
        <v>-34165.404181175058</v>
      </c>
      <c r="M485" s="131"/>
      <c r="N485" s="143">
        <v>502</v>
      </c>
      <c r="O485" s="362">
        <f>-(N444+N445+N448+N446+N447+O461+N449+N451+O481)*0.16</f>
        <v>-31634.633501088007</v>
      </c>
      <c r="P485" s="131"/>
      <c r="Q485" s="143">
        <v>502</v>
      </c>
      <c r="R485" s="362">
        <f>-(Q444+Q445+Q448+Q446+Q447+R461+Q449+Q451+R481)*0.16</f>
        <v>-29103.862821000956</v>
      </c>
      <c r="S485" s="131"/>
      <c r="T485" s="143">
        <v>502</v>
      </c>
      <c r="U485" s="362">
        <f>-(T444+T445+T448+T446+T447+U461+T449+T451+U481)*0.16</f>
        <v>-27332.323344940036</v>
      </c>
      <c r="V485" s="131"/>
      <c r="W485" s="143">
        <v>502</v>
      </c>
      <c r="X485" s="362">
        <f>-(W444+W445+W448+W446+W447+X461+W449+W451+X481)*0.16</f>
        <v>-25307.706800870401</v>
      </c>
      <c r="Y485" s="131"/>
      <c r="Z485" s="143">
        <v>502</v>
      </c>
      <c r="AA485" s="362">
        <f>-(Z444+Z445+Z448+Z446+Z447+AA461+Z449+Z451+AA481)*0.16</f>
        <v>-25307.706800870401</v>
      </c>
      <c r="AB485" s="131"/>
      <c r="AC485" s="143">
        <v>502</v>
      </c>
      <c r="AD485" s="362">
        <f>-(AC444+AC445+AC448+AC446+AC447+AD461+AC449+AC451+AD481)*0.16</f>
        <v>-20890.115738496002</v>
      </c>
      <c r="AE485" s="131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</row>
    <row r="486" spans="1:49" hidden="1">
      <c r="A486" s="332"/>
      <c r="B486" s="645"/>
      <c r="C486" s="645"/>
      <c r="D486" s="645"/>
      <c r="E486" s="661">
        <v>504</v>
      </c>
      <c r="F486" s="690"/>
      <c r="G486" s="742"/>
      <c r="H486" s="661">
        <v>504</v>
      </c>
      <c r="I486" s="690">
        <f>-(H444+H445+H448+H446+H447+I461+H449+H451+I481)*0.006</f>
        <v>-1347.6379519450802</v>
      </c>
      <c r="J486" s="131"/>
      <c r="K486" s="143">
        <v>504</v>
      </c>
      <c r="L486" s="362">
        <f>-(K444+K445+K448+K446+K447+L461+K449+K451+L481)*0.006</f>
        <v>-1281.2026567940645</v>
      </c>
      <c r="M486" s="131"/>
      <c r="N486" s="143">
        <v>504</v>
      </c>
      <c r="O486" s="362">
        <f>-(N444+N445+N448+N446+N447+O461+N449+N451+O481)*0.006</f>
        <v>-1186.2987562908002</v>
      </c>
      <c r="P486" s="131"/>
      <c r="Q486" s="143">
        <v>504</v>
      </c>
      <c r="R486" s="362">
        <f>-(Q444+Q445+Q448+Q446+Q447+R461+Q449+Q451+R481)*0.006</f>
        <v>-1091.3948557875358</v>
      </c>
      <c r="S486" s="131"/>
      <c r="T486" s="143">
        <v>504</v>
      </c>
      <c r="U486" s="362">
        <f>-(T444+T445+T448+T446+T447+U461+T449+T451+U481)*0.006</f>
        <v>-1024.9621254352514</v>
      </c>
      <c r="V486" s="131"/>
      <c r="W486" s="143">
        <v>504</v>
      </c>
      <c r="X486" s="362">
        <f>-(W444+W445+W448+W446+W447+X461+W449+W451+X481)*0.006</f>
        <v>-949.03900503264003</v>
      </c>
      <c r="Y486" s="131"/>
      <c r="Z486" s="143">
        <v>504</v>
      </c>
      <c r="AA486" s="362">
        <f>-(Z444+Z445+Z448+Z446+Z447+AA461+Z449+Z451+AA481)*0.006</f>
        <v>-949.03900503264003</v>
      </c>
      <c r="AB486" s="131"/>
      <c r="AC486" s="143">
        <v>504</v>
      </c>
      <c r="AD486" s="362">
        <f>-(AC444+AC445+AC448+AC446+AC447+AD461+AC449+AC451+AD481)*0.006</f>
        <v>-783.37934019360011</v>
      </c>
      <c r="AE486" s="131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</row>
    <row r="487" spans="1:49" hidden="1">
      <c r="A487" s="332"/>
      <c r="B487" s="645"/>
      <c r="C487" s="645"/>
      <c r="D487" s="645"/>
      <c r="E487" s="661">
        <v>505</v>
      </c>
      <c r="F487" s="690">
        <f>-(E444+E445+E448+E446+E447+F461+E449+E451+F481)*0.03</f>
        <v>-7160.4875406970896</v>
      </c>
      <c r="G487" s="742"/>
      <c r="H487" s="661">
        <v>505</v>
      </c>
      <c r="I487" s="690">
        <f>-(H444+H445+H448+H446+H447+I461+H449+H451+I481)*0.03</f>
        <v>-6738.1897597254001</v>
      </c>
      <c r="J487" s="131"/>
      <c r="K487" s="143">
        <v>505</v>
      </c>
      <c r="L487" s="362">
        <f>-(K444+K445+K448+K446+K447+L461+K449+K451+L481)*0.03</f>
        <v>-6406.0132839703228</v>
      </c>
      <c r="M487" s="131"/>
      <c r="N487" s="143">
        <v>505</v>
      </c>
      <c r="O487" s="362">
        <f>-(N444+N445+N448+N446+N447+O461+N449+N451+O481)*0.03</f>
        <v>-5931.4937814540008</v>
      </c>
      <c r="P487" s="131"/>
      <c r="Q487" s="143">
        <v>505</v>
      </c>
      <c r="R487" s="362">
        <f>-(Q444+Q445+Q448+Q446+Q447+R461+Q449+Q451+R481)*0.03</f>
        <v>-5456.9742789376787</v>
      </c>
      <c r="S487" s="131"/>
      <c r="T487" s="143">
        <v>505</v>
      </c>
      <c r="U487" s="362">
        <f>-(T444+T445+T448+T446+T447+U461+T449+T451+U481)*0.03</f>
        <v>-5124.8106271762563</v>
      </c>
      <c r="V487" s="131"/>
      <c r="W487" s="143">
        <v>505</v>
      </c>
      <c r="X487" s="362">
        <f>-(W444+W445+W448+W446+W447+X461+W449+W451+X481)*0.03</f>
        <v>-4745.1950251631997</v>
      </c>
      <c r="Y487" s="131"/>
      <c r="Z487" s="143">
        <v>505</v>
      </c>
      <c r="AA487" s="362">
        <f>-(Z444+Z445+Z448+Z446+Z447+AA461+Z449+Z451+AA481)*0.03</f>
        <v>-4745.1950251631997</v>
      </c>
      <c r="AB487" s="131"/>
      <c r="AC487" s="143">
        <v>505</v>
      </c>
      <c r="AD487" s="362">
        <f>-(AC444+AC445+AC448+AC446+AC447+AD461+AC449+AC451+AD481)*0.03</f>
        <v>-3916.8967009680005</v>
      </c>
      <c r="AE487" s="131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</row>
    <row r="488" spans="1:49" hidden="1">
      <c r="A488" s="332"/>
      <c r="B488" s="645"/>
      <c r="C488" s="645"/>
      <c r="D488" s="645"/>
      <c r="E488" s="687"/>
      <c r="F488" s="691"/>
      <c r="G488" s="742"/>
      <c r="H488" s="687"/>
      <c r="I488" s="691"/>
      <c r="J488" s="131"/>
      <c r="K488" s="293"/>
      <c r="L488" s="363"/>
      <c r="M488" s="131"/>
      <c r="N488" s="293"/>
      <c r="O488" s="363"/>
      <c r="P488" s="131"/>
      <c r="Q488" s="293"/>
      <c r="R488" s="363"/>
      <c r="S488" s="131"/>
      <c r="T488" s="293"/>
      <c r="U488" s="363"/>
      <c r="V488" s="131"/>
      <c r="W488" s="293"/>
      <c r="X488" s="363"/>
      <c r="Y488" s="131"/>
      <c r="Z488" s="293"/>
      <c r="AA488" s="363"/>
      <c r="AB488" s="131"/>
      <c r="AC488" s="293"/>
      <c r="AD488" s="363"/>
      <c r="AE488" s="131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</row>
    <row r="489" spans="1:49" ht="15" hidden="1">
      <c r="A489" s="332"/>
      <c r="B489" s="645"/>
      <c r="C489" s="645"/>
      <c r="D489" s="645"/>
      <c r="E489" s="659" t="s">
        <v>130</v>
      </c>
      <c r="F489" s="692"/>
      <c r="G489" s="742"/>
      <c r="H489" s="659" t="s">
        <v>130</v>
      </c>
      <c r="I489" s="692"/>
      <c r="J489" s="131"/>
      <c r="K489" s="393" t="s">
        <v>130</v>
      </c>
      <c r="L489" s="364"/>
      <c r="M489" s="131"/>
      <c r="N489" s="393" t="s">
        <v>130</v>
      </c>
      <c r="O489" s="364"/>
      <c r="P489" s="131"/>
      <c r="Q489" s="393" t="s">
        <v>130</v>
      </c>
      <c r="R489" s="364"/>
      <c r="S489" s="131"/>
      <c r="T489" s="393" t="s">
        <v>130</v>
      </c>
      <c r="U489" s="364"/>
      <c r="V489" s="131"/>
      <c r="W489" s="393" t="s">
        <v>130</v>
      </c>
      <c r="X489" s="364"/>
      <c r="Y489" s="131"/>
      <c r="Z489" s="393" t="s">
        <v>130</v>
      </c>
      <c r="AA489" s="364"/>
      <c r="AB489" s="131"/>
      <c r="AC489" s="393" t="s">
        <v>130</v>
      </c>
      <c r="AD489" s="364"/>
      <c r="AE489" s="131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</row>
    <row r="490" spans="1:49" hidden="1">
      <c r="A490" s="332"/>
      <c r="B490" s="645"/>
      <c r="C490" s="645"/>
      <c r="D490" s="645"/>
      <c r="E490" s="659"/>
      <c r="F490" s="693">
        <f>E460+F481+F482+F485+F486+F487</f>
        <v>203493.16359882141</v>
      </c>
      <c r="G490" s="742"/>
      <c r="H490" s="659"/>
      <c r="I490" s="693">
        <f>H460+I481+I482+I485+I486+I487</f>
        <v>190743.48556064072</v>
      </c>
      <c r="J490" s="131"/>
      <c r="K490" s="35"/>
      <c r="L490" s="367">
        <f>K460+L481+L482+L485+L486+L487</f>
        <v>179341.15601040458</v>
      </c>
      <c r="M490" s="131"/>
      <c r="N490" s="35"/>
      <c r="O490" s="367">
        <f>N460+O481+O482+O485+O486+O487</f>
        <v>166624.03334296722</v>
      </c>
      <c r="P490" s="131"/>
      <c r="Q490" s="35"/>
      <c r="R490" s="367">
        <f>Q460+R481+R482+R485+R486+R487</f>
        <v>152506.9106755298</v>
      </c>
      <c r="S490" s="131"/>
      <c r="T490" s="35"/>
      <c r="U490" s="367">
        <f>T460+U481+U482+U485+U486+U487</f>
        <v>143604.9248083237</v>
      </c>
      <c r="V490" s="131"/>
      <c r="W490" s="35"/>
      <c r="X490" s="367">
        <f>W460+X481+X482+X485+X486+X487</f>
        <v>133431.22667437376</v>
      </c>
      <c r="Y490" s="131"/>
      <c r="Z490" s="35"/>
      <c r="AA490" s="367">
        <f>Z460+AA481+AA482+AA485+AA486+AA487</f>
        <v>132431.22667437376</v>
      </c>
      <c r="AB490" s="131"/>
      <c r="AC490" s="35"/>
      <c r="AD490" s="367">
        <f>AC460+AD481+AD482+AD485+AD486+AD487</f>
        <v>110232.8315859424</v>
      </c>
      <c r="AE490" s="131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</row>
    <row r="491" spans="1:49" hidden="1">
      <c r="A491" s="332"/>
      <c r="B491" s="645"/>
      <c r="C491" s="645"/>
      <c r="D491" s="645"/>
      <c r="E491" s="694" t="s">
        <v>131</v>
      </c>
      <c r="F491" s="695"/>
      <c r="G491" s="742"/>
      <c r="H491" s="694" t="s">
        <v>131</v>
      </c>
      <c r="I491" s="695"/>
      <c r="J491" s="131"/>
      <c r="K491" s="485" t="s">
        <v>131</v>
      </c>
      <c r="L491" s="486"/>
      <c r="M491" s="131"/>
      <c r="N491" s="485" t="s">
        <v>131</v>
      </c>
      <c r="O491" s="486"/>
      <c r="P491" s="131"/>
      <c r="Q491" s="485" t="s">
        <v>131</v>
      </c>
      <c r="R491" s="486"/>
      <c r="S491" s="131"/>
      <c r="T491" s="485" t="s">
        <v>131</v>
      </c>
      <c r="U491" s="486"/>
      <c r="V491" s="131"/>
      <c r="W491" s="485" t="s">
        <v>131</v>
      </c>
      <c r="X491" s="486"/>
      <c r="Y491" s="131"/>
      <c r="Z491" s="539" t="s">
        <v>131</v>
      </c>
      <c r="AA491" s="486"/>
      <c r="AB491" s="131"/>
      <c r="AC491" s="485" t="s">
        <v>131</v>
      </c>
      <c r="AD491" s="486"/>
      <c r="AE491" s="131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</row>
    <row r="492" spans="1:49" ht="20.25" hidden="1">
      <c r="A492" s="332"/>
      <c r="B492" s="645"/>
      <c r="C492" s="645"/>
      <c r="D492" s="645"/>
      <c r="E492" s="645"/>
      <c r="F492" s="696">
        <f>F490-F469+F465</f>
        <v>64444.387866273784</v>
      </c>
      <c r="G492" s="742"/>
      <c r="H492" s="645"/>
      <c r="I492" s="696">
        <f>I490-I469+I465</f>
        <v>60194.495186880245</v>
      </c>
      <c r="J492" s="131"/>
      <c r="K492" s="13"/>
      <c r="L492" s="488">
        <f>L490-L469+L465</f>
        <v>57227.052003468183</v>
      </c>
      <c r="M492" s="131"/>
      <c r="N492" s="13"/>
      <c r="O492" s="488">
        <f>O490-O469+O465</f>
        <v>52988.011114322406</v>
      </c>
      <c r="P492" s="131"/>
      <c r="Q492" s="13"/>
      <c r="R492" s="488">
        <f>R490-R469+R465</f>
        <v>48748.970225176599</v>
      </c>
      <c r="S492" s="131"/>
      <c r="T492" s="13"/>
      <c r="U492" s="488">
        <f>U490-U469+U465</f>
        <v>45781.641602774587</v>
      </c>
      <c r="V492" s="131"/>
      <c r="W492" s="13"/>
      <c r="X492" s="488">
        <f>X490-X469+X465</f>
        <v>42390.408891457904</v>
      </c>
      <c r="Y492" s="131"/>
      <c r="Z492" s="13"/>
      <c r="AA492" s="488">
        <f>AA490-AA469+AA465</f>
        <v>42390.408891457904</v>
      </c>
      <c r="AB492" s="131"/>
      <c r="AC492" s="13"/>
      <c r="AD492" s="488">
        <f>AD490-AD469+AD465</f>
        <v>34990.943861980792</v>
      </c>
      <c r="AE492" s="131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</row>
    <row r="493" spans="1:49" ht="12.75" hidden="1">
      <c r="A493" s="332"/>
      <c r="B493" s="13"/>
      <c r="C493" s="13"/>
      <c r="D493" s="13"/>
      <c r="E493" s="203"/>
      <c r="F493" s="203"/>
      <c r="G493" s="724"/>
      <c r="H493" s="13"/>
      <c r="I493" s="13"/>
      <c r="J493" s="131"/>
      <c r="K493" s="13"/>
      <c r="L493" s="13"/>
      <c r="M493" s="131"/>
      <c r="N493" s="13"/>
      <c r="O493" s="13"/>
      <c r="P493" s="131"/>
      <c r="Q493" s="13"/>
      <c r="R493" s="13"/>
      <c r="S493" s="131"/>
      <c r="T493" s="13"/>
      <c r="U493" s="13"/>
      <c r="V493" s="131"/>
      <c r="W493" s="13"/>
      <c r="X493" s="13"/>
      <c r="Y493" s="131"/>
      <c r="Z493" s="13"/>
      <c r="AA493" s="13"/>
      <c r="AB493" s="131"/>
      <c r="AC493" s="13"/>
      <c r="AD493" s="13"/>
      <c r="AE493" s="131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</row>
    <row r="494" spans="1:49">
      <c r="A494" s="540" t="s">
        <v>159</v>
      </c>
      <c r="B494" s="13"/>
      <c r="C494" s="13"/>
      <c r="D494" s="13"/>
      <c r="E494" s="203"/>
      <c r="F494" s="203"/>
      <c r="G494" s="20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</row>
    <row r="495" spans="1:49" ht="15">
      <c r="A495" s="965" t="s">
        <v>160</v>
      </c>
      <c r="B495" s="966"/>
      <c r="C495" s="541"/>
      <c r="D495" s="542"/>
      <c r="E495" s="719"/>
      <c r="F495" s="719"/>
      <c r="G495" s="719"/>
      <c r="H495" s="132"/>
      <c r="I495" s="132"/>
      <c r="J495" s="132"/>
      <c r="K495" s="132"/>
      <c r="L495" s="132"/>
      <c r="M495" s="132"/>
      <c r="N495" s="132"/>
      <c r="O495" s="132"/>
      <c r="P495" s="132"/>
      <c r="Q495" s="132"/>
      <c r="R495" s="132"/>
      <c r="S495" s="132"/>
      <c r="T495" s="132"/>
      <c r="U495" s="132"/>
      <c r="V495" s="132"/>
      <c r="W495" s="132"/>
      <c r="X495" s="132"/>
      <c r="Y495" s="132"/>
      <c r="Z495" s="132"/>
      <c r="AA495" s="132"/>
      <c r="AB495" s="132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</row>
    <row r="496" spans="1:49" ht="15">
      <c r="A496" s="967" t="s">
        <v>161</v>
      </c>
      <c r="B496" s="956"/>
      <c r="C496" s="956"/>
      <c r="D496" s="132"/>
      <c r="E496" s="132"/>
      <c r="F496" s="132"/>
      <c r="G496" s="132"/>
      <c r="H496" s="132"/>
      <c r="I496" s="132"/>
      <c r="J496" s="132"/>
      <c r="K496" s="132"/>
      <c r="L496" s="132"/>
      <c r="M496" s="132"/>
      <c r="N496" s="132"/>
      <c r="O496" s="132"/>
      <c r="P496" s="132"/>
      <c r="Q496" s="132"/>
      <c r="R496" s="132"/>
      <c r="S496" s="132"/>
      <c r="T496" s="132"/>
      <c r="U496" s="132"/>
      <c r="V496" s="132"/>
      <c r="W496" s="132"/>
      <c r="X496" s="132"/>
      <c r="Y496" s="132"/>
      <c r="Z496" s="132"/>
      <c r="AA496" s="132"/>
      <c r="AB496" s="132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</row>
    <row r="497" spans="1:49" ht="18">
      <c r="A497" s="972" t="s">
        <v>557</v>
      </c>
      <c r="B497" s="973"/>
      <c r="C497" s="973"/>
      <c r="D497" s="132"/>
      <c r="E497" s="132"/>
      <c r="F497" s="132"/>
      <c r="G497" s="132"/>
      <c r="H497" s="132"/>
      <c r="I497" s="132"/>
      <c r="J497" s="132"/>
      <c r="K497" s="132"/>
      <c r="L497" s="132"/>
      <c r="M497" s="132"/>
      <c r="N497" s="132"/>
      <c r="O497" s="132"/>
      <c r="P497" s="132"/>
      <c r="Q497" s="132"/>
      <c r="R497" s="132"/>
      <c r="S497" s="132"/>
      <c r="T497" s="132"/>
      <c r="U497" s="132"/>
      <c r="V497" s="132"/>
      <c r="W497" s="132"/>
      <c r="X497" s="132"/>
      <c r="Y497" s="132"/>
      <c r="Z497" s="132"/>
      <c r="AA497" s="132"/>
      <c r="AB497" s="132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</row>
    <row r="498" spans="1:49" ht="15">
      <c r="A498" s="953" t="s">
        <v>162</v>
      </c>
      <c r="B498" s="954"/>
      <c r="C498" s="954"/>
      <c r="D498" s="543"/>
      <c r="E498" s="719"/>
      <c r="F498" s="719"/>
      <c r="G498" s="719"/>
      <c r="H498" s="132"/>
      <c r="I498" s="132"/>
      <c r="J498" s="132"/>
      <c r="K498" s="132"/>
      <c r="L498" s="132"/>
      <c r="M498" s="132"/>
      <c r="N498" s="132"/>
      <c r="O498" s="132"/>
      <c r="P498" s="132"/>
      <c r="Q498" s="132"/>
      <c r="R498" s="132"/>
      <c r="S498" s="132"/>
      <c r="T498" s="132"/>
      <c r="U498" s="132"/>
      <c r="V498" s="132"/>
      <c r="W498" s="132"/>
      <c r="X498" s="132"/>
      <c r="Y498" s="132"/>
      <c r="Z498" s="132"/>
      <c r="AA498" s="132"/>
      <c r="AB498" s="132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</row>
    <row r="499" spans="1:49" ht="15">
      <c r="A499" s="955" t="s">
        <v>163</v>
      </c>
      <c r="B499" s="956"/>
      <c r="C499" s="956"/>
      <c r="D499" s="132"/>
      <c r="E499" s="132"/>
      <c r="F499" s="132"/>
      <c r="G499" s="132"/>
      <c r="H499" s="132"/>
      <c r="I499" s="132"/>
      <c r="J499" s="132"/>
      <c r="K499" s="132"/>
      <c r="L499" s="132"/>
      <c r="M499" s="132"/>
      <c r="N499" s="132"/>
      <c r="O499" s="132"/>
      <c r="P499" s="132"/>
      <c r="Q499" s="132"/>
      <c r="R499" s="132"/>
      <c r="S499" s="132"/>
      <c r="T499" s="132"/>
      <c r="U499" s="132"/>
      <c r="V499" s="132"/>
      <c r="W499" s="132"/>
      <c r="X499" s="132"/>
      <c r="Y499" s="132"/>
      <c r="Z499" s="132"/>
      <c r="AA499" s="132"/>
      <c r="AB499" s="132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</row>
    <row r="500" spans="1:49" ht="12.7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</row>
    <row r="501" spans="1:49" ht="12.7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</row>
    <row r="502" spans="1:49">
      <c r="A502" s="13"/>
      <c r="B502" s="13"/>
      <c r="C502" s="332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</row>
    <row r="503" spans="1:49" ht="12.7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</row>
    <row r="504" spans="1:49">
      <c r="A504" s="13"/>
      <c r="B504" s="13"/>
      <c r="C504" s="332"/>
      <c r="D504" s="31"/>
      <c r="E504" s="31"/>
      <c r="F504" s="31"/>
      <c r="G504" s="31"/>
      <c r="H504" s="31"/>
      <c r="I504" s="31"/>
      <c r="J504" s="31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</row>
    <row r="505" spans="1:49" ht="18">
      <c r="A505" s="13"/>
      <c r="B505" s="544"/>
      <c r="C505" s="13"/>
      <c r="D505" s="13"/>
      <c r="E505" s="13"/>
      <c r="F505" s="13"/>
      <c r="G505" s="161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</row>
    <row r="506" spans="1:49" ht="12.7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</row>
    <row r="507" spans="1:49" ht="12.7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</row>
    <row r="508" spans="1:49" ht="12.7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</row>
    <row r="509" spans="1:49" ht="12.7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</row>
    <row r="510" spans="1:49" ht="12.75">
      <c r="A510" s="13"/>
      <c r="B510" s="13"/>
      <c r="C510" s="13"/>
      <c r="D510" s="13"/>
      <c r="E510" s="13"/>
      <c r="F510" s="13"/>
      <c r="G510" s="13"/>
      <c r="H510" s="13"/>
      <c r="I510" s="32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</row>
    <row r="511" spans="1:49" ht="12.75">
      <c r="A511" s="13"/>
      <c r="B511" s="13"/>
      <c r="C511" s="13"/>
      <c r="D511" s="13"/>
      <c r="E511" s="13"/>
      <c r="F511" s="13"/>
      <c r="G511" s="13"/>
      <c r="H511" s="13"/>
      <c r="I511" s="32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</row>
    <row r="512" spans="1:49" ht="12.75">
      <c r="A512" s="13"/>
      <c r="B512" s="13"/>
      <c r="C512" s="13"/>
      <c r="D512" s="13"/>
      <c r="E512" s="13"/>
      <c r="F512" s="13"/>
      <c r="G512" s="13"/>
      <c r="H512" s="13"/>
      <c r="I512" s="32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</row>
    <row r="513" spans="1:46" ht="12.75">
      <c r="A513" s="545"/>
      <c r="B513" s="32"/>
      <c r="C513" s="13"/>
      <c r="D513" s="13"/>
      <c r="E513" s="13"/>
      <c r="F513" s="545"/>
      <c r="G513" s="32"/>
      <c r="H513" s="13"/>
      <c r="I513" s="32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</row>
    <row r="514" spans="1:46" ht="12.75">
      <c r="A514" s="13"/>
      <c r="B514" s="13"/>
      <c r="C514" s="13"/>
      <c r="D514" s="13"/>
      <c r="E514" s="13"/>
      <c r="F514" s="32"/>
      <c r="G514" s="32"/>
      <c r="H514" s="545"/>
      <c r="I514" s="32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</row>
    <row r="515" spans="1:46" ht="12.75">
      <c r="A515" s="13"/>
      <c r="B515" s="13"/>
      <c r="C515" s="13"/>
      <c r="D515" s="13"/>
      <c r="E515" s="13"/>
      <c r="F515" s="32"/>
      <c r="G515" s="32"/>
      <c r="H515" s="32"/>
      <c r="I515" s="32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</row>
    <row r="516" spans="1:46" ht="12.75">
      <c r="A516" s="13"/>
      <c r="B516" s="13"/>
      <c r="C516" s="13"/>
      <c r="D516" s="13"/>
      <c r="E516" s="13"/>
      <c r="F516" s="32"/>
      <c r="G516" s="32"/>
      <c r="H516" s="545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</row>
    <row r="517" spans="1:46" ht="12.75">
      <c r="A517" s="13"/>
      <c r="B517" s="13"/>
      <c r="C517" s="545"/>
      <c r="D517" s="32"/>
      <c r="E517" s="13"/>
      <c r="F517" s="32"/>
      <c r="G517" s="32"/>
      <c r="H517" s="32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</row>
    <row r="518" spans="1:46" ht="12.75">
      <c r="A518" s="13"/>
      <c r="B518" s="13"/>
      <c r="C518" s="13"/>
      <c r="D518" s="13"/>
      <c r="E518" s="13"/>
      <c r="F518" s="32"/>
      <c r="G518" s="32"/>
      <c r="H518" s="32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</row>
    <row r="519" spans="1:46" ht="12.75">
      <c r="A519" s="13"/>
      <c r="B519" s="13"/>
      <c r="C519" s="545"/>
      <c r="D519" s="32"/>
      <c r="E519" s="13"/>
      <c r="F519" s="13"/>
      <c r="G519" s="13"/>
      <c r="H519" s="32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</row>
    <row r="520" spans="1:46" ht="12.7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</row>
    <row r="521" spans="1:46" ht="12.75">
      <c r="A521" s="13"/>
      <c r="B521" s="32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</row>
    <row r="522" spans="1:46" ht="12.7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</row>
    <row r="523" spans="1:46" ht="12.7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</row>
    <row r="524" spans="1:46" ht="12.7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</row>
    <row r="525" spans="1:46" ht="12.7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</row>
    <row r="526" spans="1:46" ht="12.7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</row>
    <row r="527" spans="1:46" ht="12.7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</row>
    <row r="528" spans="1:46" ht="12.75">
      <c r="A528" s="545"/>
      <c r="B528" s="13"/>
      <c r="C528" s="13"/>
      <c r="D528" s="13"/>
      <c r="E528" s="13"/>
      <c r="F528" s="545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</row>
    <row r="529" spans="1:46" ht="12.75">
      <c r="A529" s="13"/>
      <c r="B529" s="13"/>
      <c r="C529" s="13"/>
      <c r="D529" s="13"/>
      <c r="E529" s="13"/>
      <c r="F529" s="32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</row>
    <row r="530" spans="1:46" ht="12.75">
      <c r="A530" s="13"/>
      <c r="B530" s="13"/>
      <c r="C530" s="13"/>
      <c r="D530" s="13"/>
      <c r="E530" s="13"/>
      <c r="F530" s="32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</row>
    <row r="531" spans="1:46" ht="12.75">
      <c r="A531" s="13"/>
      <c r="B531" s="13"/>
      <c r="C531" s="13"/>
      <c r="D531" s="13"/>
      <c r="E531" s="13"/>
      <c r="F531" s="32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</row>
    <row r="532" spans="1:46" ht="12.75">
      <c r="A532" s="13"/>
      <c r="B532" s="13"/>
      <c r="C532" s="545"/>
      <c r="D532" s="13"/>
      <c r="E532" s="13"/>
      <c r="F532" s="32"/>
      <c r="G532" s="13"/>
      <c r="H532" s="32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</row>
    <row r="533" spans="1:46" ht="12.75">
      <c r="A533" s="13"/>
      <c r="B533" s="13"/>
      <c r="C533" s="13"/>
      <c r="D533" s="13"/>
      <c r="E533" s="13"/>
      <c r="F533" s="32"/>
      <c r="G533" s="32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</row>
    <row r="534" spans="1:46" ht="12.75">
      <c r="A534" s="13"/>
      <c r="B534" s="13"/>
      <c r="C534" s="545"/>
      <c r="D534" s="13"/>
      <c r="E534" s="13"/>
      <c r="F534" s="32"/>
      <c r="G534" s="32"/>
      <c r="H534" s="32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</row>
    <row r="535" spans="1:46" ht="12.75">
      <c r="A535" s="13"/>
      <c r="B535" s="13"/>
      <c r="C535" s="13"/>
      <c r="D535" s="13"/>
      <c r="E535" s="13"/>
      <c r="F535" s="32"/>
      <c r="G535" s="32"/>
      <c r="H535" s="32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</row>
    <row r="536" spans="1:46" ht="12.75">
      <c r="A536" s="13"/>
      <c r="B536" s="32"/>
      <c r="C536" s="13"/>
      <c r="D536" s="13"/>
      <c r="E536" s="13"/>
      <c r="F536" s="13"/>
      <c r="G536" s="13"/>
      <c r="H536" s="32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</row>
    <row r="537" spans="1:46" ht="12.7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</row>
    <row r="538" spans="1:46" ht="12.7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</row>
    <row r="539" spans="1:46" ht="12.7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</row>
    <row r="540" spans="1:46" ht="12.7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</row>
    <row r="541" spans="1:46" ht="12.7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</row>
    <row r="542" spans="1:46" ht="12.7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</row>
    <row r="543" spans="1:46" ht="12.7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</row>
    <row r="544" spans="1:46" ht="12.75">
      <c r="A544" s="545"/>
      <c r="B544" s="13"/>
      <c r="C544" s="13"/>
      <c r="D544" s="13"/>
      <c r="E544" s="13"/>
      <c r="F544" s="545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</row>
    <row r="545" spans="1:46" ht="12.75">
      <c r="A545" s="13"/>
      <c r="B545" s="13"/>
      <c r="C545" s="13"/>
      <c r="D545" s="13"/>
      <c r="E545" s="13"/>
      <c r="F545" s="32"/>
      <c r="G545" s="13"/>
      <c r="H545" s="545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</row>
    <row r="546" spans="1:46" ht="12.75">
      <c r="A546" s="13"/>
      <c r="B546" s="13"/>
      <c r="C546" s="13"/>
      <c r="D546" s="13"/>
      <c r="E546" s="13"/>
      <c r="F546" s="32"/>
      <c r="G546" s="13"/>
      <c r="H546" s="32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</row>
    <row r="547" spans="1:46" ht="12.75">
      <c r="A547" s="13"/>
      <c r="B547" s="13"/>
      <c r="C547" s="13"/>
      <c r="D547" s="13"/>
      <c r="E547" s="13"/>
      <c r="F547" s="32"/>
      <c r="G547" s="13"/>
      <c r="H547" s="545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</row>
    <row r="548" spans="1:46" ht="12.75">
      <c r="A548" s="13"/>
      <c r="B548" s="13"/>
      <c r="C548" s="545"/>
      <c r="D548" s="13"/>
      <c r="E548" s="13"/>
      <c r="F548" s="32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</row>
    <row r="549" spans="1:46" ht="12.75">
      <c r="A549" s="13"/>
      <c r="B549" s="13"/>
      <c r="C549" s="13"/>
      <c r="D549" s="13"/>
      <c r="E549" s="13"/>
      <c r="F549" s="32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</row>
    <row r="550" spans="1:46" ht="12.75">
      <c r="A550" s="13"/>
      <c r="B550" s="13"/>
      <c r="C550" s="545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</row>
    <row r="551" spans="1:46" ht="12.7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</row>
    <row r="552" spans="1:46" ht="12.7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</row>
    <row r="553" spans="1:46" ht="12.7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</row>
    <row r="554" spans="1:46" ht="12.7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</row>
    <row r="555" spans="1:46" ht="12.7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</row>
    <row r="556" spans="1:46" ht="12.7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</row>
    <row r="557" spans="1:46" ht="12.7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</row>
    <row r="558" spans="1:46" ht="12.7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</row>
    <row r="559" spans="1:46" ht="12.7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</row>
  </sheetData>
  <sheetProtection password="DFB3" sheet="1" objects="1" scenarios="1" selectLockedCells="1"/>
  <mergeCells count="60">
    <mergeCell ref="E232:F232"/>
    <mergeCell ref="E237:F237"/>
    <mergeCell ref="E239:F239"/>
    <mergeCell ref="AC474:AD474"/>
    <mergeCell ref="AC480:AD480"/>
    <mergeCell ref="Q232:R232"/>
    <mergeCell ref="T232:U232"/>
    <mergeCell ref="W232:X232"/>
    <mergeCell ref="Z232:AA232"/>
    <mergeCell ref="AC232:AD232"/>
    <mergeCell ref="AC357:AD357"/>
    <mergeCell ref="AC471:AD471"/>
    <mergeCell ref="Z239:AA239"/>
    <mergeCell ref="AC239:AD239"/>
    <mergeCell ref="AU255:AW255"/>
    <mergeCell ref="H237:I237"/>
    <mergeCell ref="H239:I239"/>
    <mergeCell ref="K239:L239"/>
    <mergeCell ref="N239:O239"/>
    <mergeCell ref="Q239:R239"/>
    <mergeCell ref="T239:U239"/>
    <mergeCell ref="W239:X239"/>
    <mergeCell ref="Q237:R237"/>
    <mergeCell ref="T237:U237"/>
    <mergeCell ref="W237:X237"/>
    <mergeCell ref="Z237:AA237"/>
    <mergeCell ref="AC237:AD237"/>
    <mergeCell ref="H232:I232"/>
    <mergeCell ref="K232:L232"/>
    <mergeCell ref="N232:O232"/>
    <mergeCell ref="K237:L237"/>
    <mergeCell ref="N237:O237"/>
    <mergeCell ref="A8:C8"/>
    <mergeCell ref="F84:H84"/>
    <mergeCell ref="F85:G85"/>
    <mergeCell ref="F86:G86"/>
    <mergeCell ref="A497:C497"/>
    <mergeCell ref="B251:C251"/>
    <mergeCell ref="B252:C252"/>
    <mergeCell ref="B246:C246"/>
    <mergeCell ref="B247:C247"/>
    <mergeCell ref="B250:C250"/>
    <mergeCell ref="A104:D104"/>
    <mergeCell ref="B110:C110"/>
    <mergeCell ref="B111:C111"/>
    <mergeCell ref="B113:C113"/>
    <mergeCell ref="B114:C114"/>
    <mergeCell ref="B115:C115"/>
    <mergeCell ref="A498:C498"/>
    <mergeCell ref="A499:C499"/>
    <mergeCell ref="B253:C253"/>
    <mergeCell ref="B256:C256"/>
    <mergeCell ref="B375:C375"/>
    <mergeCell ref="B376:C376"/>
    <mergeCell ref="B379:C379"/>
    <mergeCell ref="B380:C380"/>
    <mergeCell ref="B381:C381"/>
    <mergeCell ref="B382:C382"/>
    <mergeCell ref="A495:B495"/>
    <mergeCell ref="A496:C496"/>
  </mergeCells>
  <hyperlinks>
    <hyperlink ref="A6" r:id="rId1" location="Cargos!A1"/>
    <hyperlink ref="A497" r:id="rId2"/>
    <hyperlink ref="A498" r:id="rId3"/>
    <hyperlink ref="A499" r:id="rId4"/>
  </hyperlinks>
  <pageMargins left="0.7" right="0.7" top="0.75" bottom="0.75" header="0.3" footer="0.3"/>
  <pageSetup orientation="portrait" r:id="rId5"/>
  <ignoredErrors>
    <ignoredError sqref="E278" calculatedColumn="1"/>
  </ignoredErrors>
  <legacyDrawing r:id="rId6"/>
  <tableParts count="35"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340"/>
  <sheetViews>
    <sheetView workbookViewId="0">
      <selection activeCell="I3" sqref="I3:I336"/>
    </sheetView>
  </sheetViews>
  <sheetFormatPr baseColWidth="10" defaultColWidth="14.42578125" defaultRowHeight="15.75" customHeight="1"/>
  <cols>
    <col min="2" max="2" width="63.28515625" customWidth="1"/>
    <col min="4" max="4" width="11.28515625" customWidth="1"/>
  </cols>
  <sheetData>
    <row r="1" spans="1:15">
      <c r="A1" s="32"/>
      <c r="B1" s="546" t="s">
        <v>164</v>
      </c>
      <c r="C1" s="547"/>
      <c r="D1" s="548"/>
      <c r="E1" s="548"/>
      <c r="F1" s="549"/>
      <c r="G1" s="401" t="s">
        <v>165</v>
      </c>
      <c r="H1" s="550" t="s">
        <v>166</v>
      </c>
      <c r="I1" s="550" t="s">
        <v>167</v>
      </c>
      <c r="J1" s="401" t="s">
        <v>168</v>
      </c>
      <c r="K1" s="13"/>
      <c r="L1" s="13"/>
      <c r="M1" s="13"/>
      <c r="N1" s="13"/>
      <c r="O1" s="13"/>
    </row>
    <row r="2" spans="1:15">
      <c r="A2" s="484" t="s">
        <v>55</v>
      </c>
      <c r="B2" s="551" t="s">
        <v>169</v>
      </c>
      <c r="C2" s="484" t="s">
        <v>170</v>
      </c>
      <c r="D2" s="552" t="s">
        <v>171</v>
      </c>
      <c r="E2" s="553" t="s">
        <v>172</v>
      </c>
      <c r="F2" s="484" t="s">
        <v>173</v>
      </c>
      <c r="G2" s="554" t="s">
        <v>174</v>
      </c>
      <c r="H2" s="483" t="s">
        <v>175</v>
      </c>
      <c r="I2" s="483" t="s">
        <v>176</v>
      </c>
      <c r="J2" s="483" t="s">
        <v>177</v>
      </c>
      <c r="K2" s="13"/>
      <c r="L2" s="13"/>
      <c r="M2" s="13"/>
      <c r="N2" s="13"/>
      <c r="O2" s="13"/>
    </row>
    <row r="3" spans="1:15">
      <c r="A3" s="555">
        <v>461</v>
      </c>
      <c r="B3" s="556" t="s">
        <v>178</v>
      </c>
      <c r="C3" s="557">
        <v>2220</v>
      </c>
      <c r="D3" s="558">
        <v>7</v>
      </c>
      <c r="E3" s="558" t="s">
        <v>179</v>
      </c>
      <c r="F3" s="559" t="s">
        <v>180</v>
      </c>
      <c r="G3" s="145">
        <v>0</v>
      </c>
      <c r="H3" s="473">
        <v>0</v>
      </c>
      <c r="I3" s="473">
        <v>0</v>
      </c>
      <c r="J3" s="466"/>
      <c r="K3" s="13"/>
      <c r="L3" s="13"/>
      <c r="M3" s="13"/>
      <c r="N3" s="13"/>
      <c r="O3" s="13"/>
    </row>
    <row r="4" spans="1:15">
      <c r="A4" s="145">
        <v>462</v>
      </c>
      <c r="B4" s="560" t="s">
        <v>178</v>
      </c>
      <c r="C4" s="473">
        <v>2220</v>
      </c>
      <c r="D4" s="558">
        <v>7</v>
      </c>
      <c r="E4" s="558" t="s">
        <v>179</v>
      </c>
      <c r="F4" s="317" t="s">
        <v>180</v>
      </c>
      <c r="G4" s="145">
        <v>0</v>
      </c>
      <c r="H4" s="473">
        <v>0</v>
      </c>
      <c r="I4" s="473">
        <v>0</v>
      </c>
      <c r="J4" s="466"/>
      <c r="K4" s="13"/>
      <c r="L4" s="13"/>
      <c r="M4" s="13"/>
      <c r="N4" s="13"/>
      <c r="O4" s="13"/>
    </row>
    <row r="5" spans="1:15">
      <c r="A5" s="145">
        <v>470</v>
      </c>
      <c r="B5" s="560" t="s">
        <v>181</v>
      </c>
      <c r="C5" s="473">
        <v>1580</v>
      </c>
      <c r="D5" s="558">
        <v>90</v>
      </c>
      <c r="E5" s="558" t="s">
        <v>182</v>
      </c>
      <c r="F5" s="317" t="s">
        <v>183</v>
      </c>
      <c r="G5" s="145">
        <v>0</v>
      </c>
      <c r="H5" s="473">
        <v>0</v>
      </c>
      <c r="I5" s="473">
        <v>0</v>
      </c>
      <c r="J5" s="466"/>
      <c r="K5" s="13"/>
      <c r="L5" s="13"/>
      <c r="M5" s="13"/>
      <c r="N5" s="13"/>
      <c r="O5" s="13"/>
    </row>
    <row r="6" spans="1:15">
      <c r="A6" s="145">
        <v>600</v>
      </c>
      <c r="B6" s="560" t="s">
        <v>184</v>
      </c>
      <c r="C6" s="473">
        <v>1300</v>
      </c>
      <c r="D6" s="558">
        <v>127</v>
      </c>
      <c r="E6" s="558" t="s">
        <v>185</v>
      </c>
      <c r="F6" s="317">
        <v>1427</v>
      </c>
      <c r="G6" s="145">
        <v>0</v>
      </c>
      <c r="H6" s="473">
        <v>0</v>
      </c>
      <c r="I6" s="473">
        <v>0</v>
      </c>
      <c r="J6" s="466"/>
      <c r="K6" s="13"/>
      <c r="L6" s="13"/>
      <c r="M6" s="13"/>
      <c r="N6" s="13"/>
      <c r="O6" s="13"/>
    </row>
    <row r="7" spans="1:15">
      <c r="A7" s="145">
        <v>603</v>
      </c>
      <c r="B7" s="560" t="s">
        <v>186</v>
      </c>
      <c r="C7" s="473">
        <v>3146</v>
      </c>
      <c r="D7" s="558">
        <v>0</v>
      </c>
      <c r="E7" s="558" t="s">
        <v>185</v>
      </c>
      <c r="F7" s="317">
        <v>3146</v>
      </c>
      <c r="G7" s="145">
        <v>0</v>
      </c>
      <c r="H7" s="473">
        <v>0</v>
      </c>
      <c r="I7" s="473">
        <v>0</v>
      </c>
      <c r="J7" s="466"/>
      <c r="K7" s="13"/>
      <c r="L7" s="13"/>
      <c r="M7" s="13"/>
      <c r="N7" s="13"/>
      <c r="O7" s="13"/>
    </row>
    <row r="8" spans="1:15">
      <c r="A8" s="145">
        <v>604</v>
      </c>
      <c r="B8" s="560" t="s">
        <v>187</v>
      </c>
      <c r="C8" s="473">
        <v>1610</v>
      </c>
      <c r="D8" s="558">
        <v>87</v>
      </c>
      <c r="E8" s="558" t="s">
        <v>188</v>
      </c>
      <c r="F8" s="317" t="s">
        <v>189</v>
      </c>
      <c r="G8" s="145">
        <v>0</v>
      </c>
      <c r="H8" s="473">
        <v>0</v>
      </c>
      <c r="I8" s="473">
        <v>0</v>
      </c>
      <c r="J8" s="466"/>
      <c r="K8" s="13"/>
      <c r="L8" s="13"/>
      <c r="M8" s="13"/>
      <c r="N8" s="13"/>
      <c r="O8" s="13"/>
    </row>
    <row r="9" spans="1:15">
      <c r="A9" s="145">
        <v>605</v>
      </c>
      <c r="B9" s="560" t="s">
        <v>190</v>
      </c>
      <c r="C9" s="473">
        <v>2913</v>
      </c>
      <c r="D9" s="558">
        <v>0</v>
      </c>
      <c r="E9" s="558" t="s">
        <v>191</v>
      </c>
      <c r="F9" s="317">
        <v>3689</v>
      </c>
      <c r="G9" s="145">
        <v>0</v>
      </c>
      <c r="H9" s="473">
        <v>0</v>
      </c>
      <c r="I9" s="473">
        <v>0</v>
      </c>
      <c r="J9" s="466"/>
      <c r="K9" s="13"/>
      <c r="L9" s="61">
        <v>233</v>
      </c>
      <c r="M9" s="13"/>
      <c r="N9" s="13"/>
      <c r="O9" s="13"/>
    </row>
    <row r="10" spans="1:15">
      <c r="A10" s="145">
        <v>606</v>
      </c>
      <c r="B10" s="560" t="s">
        <v>192</v>
      </c>
      <c r="C10" s="473">
        <v>2913</v>
      </c>
      <c r="D10" s="558">
        <v>0</v>
      </c>
      <c r="E10" s="558" t="s">
        <v>185</v>
      </c>
      <c r="F10" s="317">
        <v>2913</v>
      </c>
      <c r="G10" s="145">
        <v>0</v>
      </c>
      <c r="H10" s="473">
        <v>0</v>
      </c>
      <c r="I10" s="473">
        <v>0</v>
      </c>
      <c r="J10" s="466"/>
      <c r="K10" s="13"/>
      <c r="L10" s="13"/>
      <c r="M10" s="13"/>
      <c r="N10" s="13"/>
      <c r="O10" s="13"/>
    </row>
    <row r="11" spans="1:15">
      <c r="A11" s="145">
        <v>608</v>
      </c>
      <c r="B11" s="560" t="s">
        <v>193</v>
      </c>
      <c r="C11" s="473">
        <v>2913</v>
      </c>
      <c r="D11" s="558">
        <v>0</v>
      </c>
      <c r="E11" s="558" t="s">
        <v>185</v>
      </c>
      <c r="F11" s="317">
        <v>2913</v>
      </c>
      <c r="G11" s="145">
        <v>0</v>
      </c>
      <c r="H11" s="473">
        <v>0</v>
      </c>
      <c r="I11" s="473">
        <v>0</v>
      </c>
      <c r="J11" s="466"/>
      <c r="K11" s="13"/>
      <c r="L11" s="13"/>
      <c r="M11" s="13"/>
      <c r="N11" s="13"/>
      <c r="O11" s="13"/>
    </row>
    <row r="12" spans="1:15">
      <c r="A12" s="145">
        <v>609</v>
      </c>
      <c r="B12" s="560" t="s">
        <v>194</v>
      </c>
      <c r="C12" s="473">
        <v>2000</v>
      </c>
      <c r="D12" s="558">
        <v>36</v>
      </c>
      <c r="E12" s="558" t="s">
        <v>195</v>
      </c>
      <c r="F12" s="317">
        <v>2683</v>
      </c>
      <c r="G12" s="145">
        <v>0</v>
      </c>
      <c r="H12" s="473">
        <v>0</v>
      </c>
      <c r="I12" s="473">
        <v>0</v>
      </c>
      <c r="J12" s="466"/>
      <c r="K12" s="13"/>
      <c r="L12" s="61" t="s">
        <v>196</v>
      </c>
      <c r="M12" s="13"/>
      <c r="N12" s="13"/>
      <c r="O12" s="13"/>
    </row>
    <row r="13" spans="1:15">
      <c r="A13" s="145">
        <v>611</v>
      </c>
      <c r="B13" s="560" t="s">
        <v>197</v>
      </c>
      <c r="C13" s="473">
        <v>1840</v>
      </c>
      <c r="D13" s="558">
        <v>57</v>
      </c>
      <c r="E13" s="558" t="s">
        <v>198</v>
      </c>
      <c r="F13" s="317" t="s">
        <v>199</v>
      </c>
      <c r="G13" s="145">
        <v>0</v>
      </c>
      <c r="H13" s="473">
        <v>0</v>
      </c>
      <c r="I13" s="473">
        <v>0</v>
      </c>
      <c r="J13" s="466"/>
      <c r="K13" s="13"/>
      <c r="L13" s="61">
        <v>136</v>
      </c>
      <c r="M13" s="13"/>
      <c r="N13" s="13"/>
      <c r="O13" s="13"/>
    </row>
    <row r="14" spans="1:15">
      <c r="A14" s="145">
        <v>612</v>
      </c>
      <c r="B14" s="560" t="s">
        <v>200</v>
      </c>
      <c r="C14" s="473">
        <v>1690</v>
      </c>
      <c r="D14" s="558">
        <v>76</v>
      </c>
      <c r="E14" s="558" t="s">
        <v>201</v>
      </c>
      <c r="F14" s="317" t="s">
        <v>202</v>
      </c>
      <c r="G14" s="145">
        <v>0</v>
      </c>
      <c r="H14" s="473">
        <v>0</v>
      </c>
      <c r="I14" s="473">
        <v>0</v>
      </c>
      <c r="J14" s="466"/>
      <c r="K14" s="13"/>
      <c r="L14" s="13"/>
      <c r="M14" s="13"/>
      <c r="N14" s="13"/>
      <c r="O14" s="13"/>
    </row>
    <row r="15" spans="1:15">
      <c r="A15" s="145">
        <v>613</v>
      </c>
      <c r="B15" s="560" t="s">
        <v>203</v>
      </c>
      <c r="C15" s="473">
        <v>1680</v>
      </c>
      <c r="D15" s="558">
        <v>77</v>
      </c>
      <c r="E15" s="558" t="s">
        <v>201</v>
      </c>
      <c r="F15" s="317" t="s">
        <v>204</v>
      </c>
      <c r="G15" s="145">
        <v>0</v>
      </c>
      <c r="H15" s="473">
        <v>0</v>
      </c>
      <c r="I15" s="473">
        <v>0</v>
      </c>
      <c r="J15" s="466"/>
      <c r="K15" s="13"/>
      <c r="L15" s="13"/>
      <c r="M15" s="13"/>
      <c r="N15" s="13"/>
      <c r="O15" s="13"/>
    </row>
    <row r="16" spans="1:15">
      <c r="A16" s="145">
        <v>614</v>
      </c>
      <c r="B16" s="560" t="s">
        <v>205</v>
      </c>
      <c r="C16" s="473">
        <v>1740</v>
      </c>
      <c r="D16" s="558">
        <v>70</v>
      </c>
      <c r="E16" s="558" t="s">
        <v>206</v>
      </c>
      <c r="F16" s="317" t="s">
        <v>207</v>
      </c>
      <c r="G16" s="145">
        <v>0</v>
      </c>
      <c r="H16" s="473">
        <v>0</v>
      </c>
      <c r="I16" s="473">
        <v>0</v>
      </c>
      <c r="J16" s="466"/>
      <c r="K16" s="13"/>
      <c r="L16" s="121" t="s">
        <v>208</v>
      </c>
      <c r="M16" s="61" t="s">
        <v>209</v>
      </c>
      <c r="N16" s="61" t="s">
        <v>210</v>
      </c>
      <c r="O16" s="61">
        <v>233</v>
      </c>
    </row>
    <row r="17" spans="1:15">
      <c r="A17" s="145">
        <v>615</v>
      </c>
      <c r="B17" s="560" t="s">
        <v>211</v>
      </c>
      <c r="C17" s="473">
        <v>1610</v>
      </c>
      <c r="D17" s="558">
        <v>87</v>
      </c>
      <c r="E17" s="558" t="s">
        <v>188</v>
      </c>
      <c r="F17" s="317" t="s">
        <v>189</v>
      </c>
      <c r="G17" s="145">
        <v>0</v>
      </c>
      <c r="H17" s="473">
        <v>0</v>
      </c>
      <c r="I17" s="473">
        <v>0</v>
      </c>
      <c r="J17" s="466"/>
      <c r="K17" s="13"/>
      <c r="L17" s="121" t="s">
        <v>212</v>
      </c>
      <c r="M17" s="61">
        <v>647</v>
      </c>
      <c r="N17" s="61" t="s">
        <v>213</v>
      </c>
      <c r="O17" s="61">
        <v>194</v>
      </c>
    </row>
    <row r="18" spans="1:15">
      <c r="A18" s="145">
        <v>616</v>
      </c>
      <c r="B18" s="560" t="s">
        <v>214</v>
      </c>
      <c r="C18" s="473">
        <v>1740</v>
      </c>
      <c r="D18" s="558">
        <v>70</v>
      </c>
      <c r="E18" s="558" t="s">
        <v>185</v>
      </c>
      <c r="F18" s="317">
        <v>1810</v>
      </c>
      <c r="G18" s="145">
        <v>0</v>
      </c>
      <c r="H18" s="473">
        <v>0</v>
      </c>
      <c r="I18" s="473">
        <v>0</v>
      </c>
      <c r="J18" s="466"/>
      <c r="K18" s="13"/>
      <c r="L18" s="121" t="s">
        <v>215</v>
      </c>
      <c r="M18" s="61" t="s">
        <v>198</v>
      </c>
      <c r="N18" s="61" t="s">
        <v>216</v>
      </c>
      <c r="O18" s="61">
        <v>175</v>
      </c>
    </row>
    <row r="19" spans="1:15">
      <c r="A19" s="145">
        <v>617</v>
      </c>
      <c r="B19" s="560" t="s">
        <v>217</v>
      </c>
      <c r="C19" s="473">
        <v>1610</v>
      </c>
      <c r="D19" s="558">
        <v>87</v>
      </c>
      <c r="E19" s="558" t="s">
        <v>185</v>
      </c>
      <c r="F19" s="317">
        <v>1697</v>
      </c>
      <c r="G19" s="145">
        <v>0</v>
      </c>
      <c r="H19" s="473">
        <v>0</v>
      </c>
      <c r="I19" s="473">
        <v>0</v>
      </c>
      <c r="J19" s="466"/>
      <c r="K19" s="13"/>
      <c r="L19" s="121" t="s">
        <v>218</v>
      </c>
      <c r="M19" s="61" t="s">
        <v>201</v>
      </c>
      <c r="N19" s="61" t="s">
        <v>196</v>
      </c>
      <c r="O19" s="61">
        <v>136</v>
      </c>
    </row>
    <row r="20" spans="1:15">
      <c r="A20" s="145">
        <v>618</v>
      </c>
      <c r="B20" s="560" t="s">
        <v>219</v>
      </c>
      <c r="C20" s="473">
        <v>1500</v>
      </c>
      <c r="D20" s="558">
        <v>101</v>
      </c>
      <c r="E20" s="558" t="s">
        <v>185</v>
      </c>
      <c r="F20" s="317">
        <v>1601</v>
      </c>
      <c r="G20" s="145">
        <v>0</v>
      </c>
      <c r="H20" s="473">
        <v>0</v>
      </c>
      <c r="I20" s="473">
        <v>0</v>
      </c>
      <c r="J20" s="466"/>
      <c r="K20" s="13"/>
      <c r="L20" s="121" t="s">
        <v>220</v>
      </c>
      <c r="M20" s="13"/>
      <c r="N20" s="61">
        <v>0</v>
      </c>
      <c r="O20" s="13"/>
    </row>
    <row r="21" spans="1:15">
      <c r="A21" s="145">
        <v>619</v>
      </c>
      <c r="B21" s="560" t="s">
        <v>221</v>
      </c>
      <c r="C21" s="473">
        <v>1320</v>
      </c>
      <c r="D21" s="558">
        <v>124</v>
      </c>
      <c r="E21" s="558" t="s">
        <v>185</v>
      </c>
      <c r="F21" s="317">
        <v>1444</v>
      </c>
      <c r="G21" s="145">
        <v>0</v>
      </c>
      <c r="H21" s="473">
        <v>0</v>
      </c>
      <c r="I21" s="473">
        <v>0</v>
      </c>
      <c r="J21" s="466"/>
      <c r="K21" s="13"/>
      <c r="L21" s="121" t="s">
        <v>222</v>
      </c>
      <c r="M21" s="61" t="s">
        <v>206</v>
      </c>
      <c r="N21" s="61" t="s">
        <v>223</v>
      </c>
      <c r="O21" s="61">
        <v>155</v>
      </c>
    </row>
    <row r="22" spans="1:15">
      <c r="A22" s="145">
        <v>620</v>
      </c>
      <c r="B22" s="560" t="s">
        <v>224</v>
      </c>
      <c r="C22" s="473">
        <v>1550</v>
      </c>
      <c r="D22" s="558">
        <v>94</v>
      </c>
      <c r="E22" s="558" t="s">
        <v>185</v>
      </c>
      <c r="F22" s="317">
        <v>1644</v>
      </c>
      <c r="G22" s="145">
        <v>0</v>
      </c>
      <c r="H22" s="473">
        <v>0</v>
      </c>
      <c r="I22" s="473">
        <v>0</v>
      </c>
      <c r="J22" s="466"/>
      <c r="K22" s="13"/>
      <c r="L22" s="121" t="s">
        <v>225</v>
      </c>
      <c r="M22" s="61" t="s">
        <v>188</v>
      </c>
      <c r="N22" s="61" t="s">
        <v>226</v>
      </c>
      <c r="O22" s="61">
        <v>116</v>
      </c>
    </row>
    <row r="23" spans="1:15">
      <c r="A23" s="145">
        <v>621</v>
      </c>
      <c r="B23" s="560" t="s">
        <v>227</v>
      </c>
      <c r="C23" s="473">
        <v>1340</v>
      </c>
      <c r="D23" s="558">
        <v>122</v>
      </c>
      <c r="E23" s="558" t="s">
        <v>185</v>
      </c>
      <c r="F23" s="317">
        <v>1462</v>
      </c>
      <c r="G23" s="145">
        <v>0</v>
      </c>
      <c r="H23" s="473">
        <v>0</v>
      </c>
      <c r="I23" s="473">
        <v>0</v>
      </c>
      <c r="J23" s="466"/>
      <c r="K23" s="13"/>
      <c r="L23" s="121" t="s">
        <v>228</v>
      </c>
      <c r="M23" s="61" t="s">
        <v>188</v>
      </c>
      <c r="N23" s="61" t="s">
        <v>226</v>
      </c>
      <c r="O23" s="61">
        <v>116</v>
      </c>
    </row>
    <row r="24" spans="1:15">
      <c r="A24" s="145">
        <v>622</v>
      </c>
      <c r="B24" s="560" t="s">
        <v>229</v>
      </c>
      <c r="C24" s="144">
        <v>971</v>
      </c>
      <c r="D24" s="558" t="s">
        <v>230</v>
      </c>
      <c r="E24" s="558" t="s">
        <v>185</v>
      </c>
      <c r="F24" s="317">
        <v>1298</v>
      </c>
      <c r="G24" s="145">
        <v>0</v>
      </c>
      <c r="H24" s="473">
        <v>0</v>
      </c>
      <c r="I24" s="473">
        <v>0</v>
      </c>
      <c r="J24" s="466"/>
      <c r="K24" s="13"/>
      <c r="L24" s="121" t="s">
        <v>231</v>
      </c>
      <c r="M24" s="61" t="s">
        <v>188</v>
      </c>
      <c r="N24" s="61" t="s">
        <v>226</v>
      </c>
      <c r="O24" s="61">
        <v>116</v>
      </c>
    </row>
    <row r="25" spans="1:15">
      <c r="A25" s="145">
        <v>623</v>
      </c>
      <c r="B25" s="560" t="s">
        <v>232</v>
      </c>
      <c r="C25" s="473">
        <v>1690</v>
      </c>
      <c r="D25" s="558">
        <v>76</v>
      </c>
      <c r="E25" s="558" t="s">
        <v>185</v>
      </c>
      <c r="F25" s="317">
        <v>1766</v>
      </c>
      <c r="G25" s="145">
        <v>0</v>
      </c>
      <c r="H25" s="473">
        <v>0</v>
      </c>
      <c r="I25" s="473">
        <v>0</v>
      </c>
      <c r="J25" s="466"/>
      <c r="K25" s="13"/>
      <c r="L25" s="121" t="s">
        <v>233</v>
      </c>
      <c r="M25" s="61" t="s">
        <v>188</v>
      </c>
      <c r="N25" s="61" t="s">
        <v>226</v>
      </c>
      <c r="O25" s="61">
        <v>116</v>
      </c>
    </row>
    <row r="26" spans="1:15">
      <c r="A26" s="145">
        <v>624</v>
      </c>
      <c r="B26" s="560" t="s">
        <v>234</v>
      </c>
      <c r="C26" s="473">
        <v>1400</v>
      </c>
      <c r="D26" s="558">
        <v>114</v>
      </c>
      <c r="E26" s="558" t="s">
        <v>185</v>
      </c>
      <c r="F26" s="317">
        <v>1514</v>
      </c>
      <c r="G26" s="145">
        <v>0</v>
      </c>
      <c r="H26" s="473">
        <v>0</v>
      </c>
      <c r="I26" s="473">
        <v>0</v>
      </c>
      <c r="J26" s="466"/>
      <c r="K26" s="13"/>
      <c r="L26" s="13"/>
      <c r="M26" s="13"/>
      <c r="N26" s="13"/>
      <c r="O26" s="13"/>
    </row>
    <row r="27" spans="1:15">
      <c r="A27" s="145">
        <v>625</v>
      </c>
      <c r="B27" s="560" t="s">
        <v>235</v>
      </c>
      <c r="C27" s="473">
        <v>1370</v>
      </c>
      <c r="D27" s="558">
        <v>118</v>
      </c>
      <c r="E27" s="558" t="s">
        <v>188</v>
      </c>
      <c r="F27" s="317" t="s">
        <v>236</v>
      </c>
      <c r="G27" s="145">
        <v>0</v>
      </c>
      <c r="H27" s="473">
        <v>0</v>
      </c>
      <c r="I27" s="473">
        <v>0</v>
      </c>
      <c r="J27" s="466"/>
      <c r="K27" s="13"/>
      <c r="L27" s="13"/>
      <c r="M27" s="13"/>
      <c r="N27" s="13"/>
      <c r="O27" s="13"/>
    </row>
    <row r="28" spans="1:15">
      <c r="A28" s="145">
        <v>626</v>
      </c>
      <c r="B28" s="560" t="s">
        <v>237</v>
      </c>
      <c r="C28" s="473">
        <v>1340</v>
      </c>
      <c r="D28" s="558">
        <v>122</v>
      </c>
      <c r="E28" s="558" t="s">
        <v>188</v>
      </c>
      <c r="F28" s="317" t="s">
        <v>238</v>
      </c>
      <c r="G28" s="145">
        <v>0</v>
      </c>
      <c r="H28" s="473">
        <v>0</v>
      </c>
      <c r="I28" s="473">
        <v>0</v>
      </c>
      <c r="J28" s="466"/>
      <c r="K28" s="13"/>
      <c r="L28" s="13"/>
      <c r="M28" s="13"/>
      <c r="N28" s="13"/>
      <c r="O28" s="13"/>
    </row>
    <row r="29" spans="1:15">
      <c r="A29" s="145">
        <v>627</v>
      </c>
      <c r="B29" s="560" t="s">
        <v>239</v>
      </c>
      <c r="C29" s="473">
        <v>1300</v>
      </c>
      <c r="D29" s="558">
        <v>127</v>
      </c>
      <c r="E29" s="558" t="s">
        <v>188</v>
      </c>
      <c r="F29" s="317" t="s">
        <v>240</v>
      </c>
      <c r="G29" s="145">
        <v>0</v>
      </c>
      <c r="H29" s="473">
        <v>0</v>
      </c>
      <c r="I29" s="473">
        <v>0</v>
      </c>
      <c r="J29" s="466"/>
      <c r="K29" s="13"/>
      <c r="L29" s="13"/>
      <c r="M29" s="13"/>
      <c r="N29" s="13"/>
      <c r="O29" s="13"/>
    </row>
    <row r="30" spans="1:15">
      <c r="A30" s="145">
        <v>628</v>
      </c>
      <c r="B30" s="560" t="s">
        <v>241</v>
      </c>
      <c r="C30" s="473">
        <v>980</v>
      </c>
      <c r="D30" s="558">
        <v>169</v>
      </c>
      <c r="E30" s="558" t="s">
        <v>185</v>
      </c>
      <c r="F30" s="317">
        <v>1149</v>
      </c>
      <c r="G30" s="145">
        <v>0</v>
      </c>
      <c r="H30" s="473">
        <v>0</v>
      </c>
      <c r="I30" s="473">
        <v>0</v>
      </c>
      <c r="J30" s="466"/>
      <c r="K30" s="13"/>
      <c r="L30" s="13"/>
      <c r="M30" s="13"/>
      <c r="N30" s="13"/>
      <c r="O30" s="13"/>
    </row>
    <row r="31" spans="1:15">
      <c r="A31" s="145">
        <v>629</v>
      </c>
      <c r="B31" s="560" t="s">
        <v>242</v>
      </c>
      <c r="C31" s="473">
        <v>941</v>
      </c>
      <c r="D31" s="558" t="s">
        <v>230</v>
      </c>
      <c r="E31" s="558" t="s">
        <v>185</v>
      </c>
      <c r="F31" s="317">
        <v>1268</v>
      </c>
      <c r="G31" s="145">
        <v>0</v>
      </c>
      <c r="H31" s="473">
        <v>0</v>
      </c>
      <c r="I31" s="473">
        <v>0</v>
      </c>
      <c r="J31" s="466"/>
      <c r="K31" s="13"/>
      <c r="L31" s="13"/>
      <c r="M31" s="13"/>
      <c r="N31" s="13"/>
      <c r="O31" s="13"/>
    </row>
    <row r="32" spans="1:15">
      <c r="A32" s="145">
        <v>630</v>
      </c>
      <c r="B32" s="560" t="s">
        <v>243</v>
      </c>
      <c r="C32" s="473">
        <v>1170</v>
      </c>
      <c r="D32" s="558">
        <v>144</v>
      </c>
      <c r="E32" s="558" t="s">
        <v>185</v>
      </c>
      <c r="F32" s="317">
        <v>1314</v>
      </c>
      <c r="G32" s="145">
        <v>0</v>
      </c>
      <c r="H32" s="473">
        <v>0</v>
      </c>
      <c r="I32" s="473">
        <v>0</v>
      </c>
      <c r="J32" s="466"/>
      <c r="K32" s="13"/>
      <c r="L32" s="13"/>
      <c r="M32" s="13"/>
      <c r="N32" s="13"/>
      <c r="O32" s="13"/>
    </row>
    <row r="33" spans="1:15">
      <c r="A33" s="145">
        <v>631</v>
      </c>
      <c r="B33" s="560" t="s">
        <v>244</v>
      </c>
      <c r="C33" s="473">
        <v>1170</v>
      </c>
      <c r="D33" s="558">
        <v>144</v>
      </c>
      <c r="E33" s="558" t="s">
        <v>185</v>
      </c>
      <c r="F33" s="317">
        <v>1314</v>
      </c>
      <c r="G33" s="145">
        <v>0</v>
      </c>
      <c r="H33" s="473">
        <v>0</v>
      </c>
      <c r="I33" s="473">
        <v>0</v>
      </c>
      <c r="J33" s="466"/>
      <c r="K33" s="13"/>
      <c r="L33" s="13"/>
      <c r="M33" s="13"/>
      <c r="N33" s="13"/>
      <c r="O33" s="13"/>
    </row>
    <row r="34" spans="1:15">
      <c r="A34" s="145">
        <v>632</v>
      </c>
      <c r="B34" s="560" t="s">
        <v>245</v>
      </c>
      <c r="C34" s="473">
        <v>941</v>
      </c>
      <c r="D34" s="558" t="s">
        <v>230</v>
      </c>
      <c r="E34" s="558" t="s">
        <v>185</v>
      </c>
      <c r="F34" s="317">
        <v>1268</v>
      </c>
      <c r="G34" s="145">
        <v>0</v>
      </c>
      <c r="H34" s="473">
        <v>0</v>
      </c>
      <c r="I34" s="473">
        <v>0</v>
      </c>
      <c r="J34" s="466"/>
      <c r="K34" s="13"/>
      <c r="L34" s="13"/>
      <c r="M34" s="13"/>
      <c r="N34" s="13"/>
      <c r="O34" s="13"/>
    </row>
    <row r="35" spans="1:15">
      <c r="A35" s="145">
        <v>633</v>
      </c>
      <c r="B35" s="560" t="s">
        <v>246</v>
      </c>
      <c r="C35" s="473">
        <v>941</v>
      </c>
      <c r="D35" s="558" t="s">
        <v>230</v>
      </c>
      <c r="E35" s="558" t="s">
        <v>185</v>
      </c>
      <c r="F35" s="317">
        <v>1268</v>
      </c>
      <c r="G35" s="145">
        <v>0</v>
      </c>
      <c r="H35" s="473">
        <v>0</v>
      </c>
      <c r="I35" s="473">
        <v>0</v>
      </c>
      <c r="J35" s="466"/>
      <c r="K35" s="13"/>
      <c r="L35" s="13"/>
      <c r="M35" s="13"/>
      <c r="N35" s="13"/>
      <c r="O35" s="13"/>
    </row>
    <row r="36" spans="1:15">
      <c r="A36" s="145">
        <v>634</v>
      </c>
      <c r="B36" s="560" t="s">
        <v>247</v>
      </c>
      <c r="C36" s="473">
        <v>971</v>
      </c>
      <c r="D36" s="558" t="s">
        <v>230</v>
      </c>
      <c r="E36" s="558" t="s">
        <v>185</v>
      </c>
      <c r="F36" s="317">
        <v>1298</v>
      </c>
      <c r="G36" s="145">
        <v>0</v>
      </c>
      <c r="H36" s="473">
        <v>0</v>
      </c>
      <c r="I36" s="473">
        <v>0</v>
      </c>
      <c r="J36" s="466"/>
      <c r="K36" s="13"/>
      <c r="L36" s="13"/>
      <c r="M36" s="13"/>
      <c r="N36" s="13"/>
      <c r="O36" s="13"/>
    </row>
    <row r="37" spans="1:15">
      <c r="A37" s="145">
        <v>635</v>
      </c>
      <c r="B37" s="560" t="s">
        <v>248</v>
      </c>
      <c r="C37" s="473">
        <v>1610</v>
      </c>
      <c r="D37" s="558">
        <v>87</v>
      </c>
      <c r="E37" s="558" t="s">
        <v>188</v>
      </c>
      <c r="F37" s="317" t="s">
        <v>189</v>
      </c>
      <c r="G37" s="145">
        <v>0</v>
      </c>
      <c r="H37" s="473">
        <v>0</v>
      </c>
      <c r="I37" s="473">
        <v>0</v>
      </c>
      <c r="J37" s="466"/>
      <c r="K37" s="13"/>
      <c r="L37" s="13"/>
      <c r="M37" s="13"/>
      <c r="N37" s="13"/>
      <c r="O37" s="13"/>
    </row>
    <row r="38" spans="1:15">
      <c r="A38" s="145">
        <v>636</v>
      </c>
      <c r="B38" s="560" t="s">
        <v>249</v>
      </c>
      <c r="C38" s="473">
        <v>971</v>
      </c>
      <c r="D38" s="558" t="s">
        <v>230</v>
      </c>
      <c r="E38" s="558" t="s">
        <v>185</v>
      </c>
      <c r="F38" s="317">
        <v>1298</v>
      </c>
      <c r="G38" s="145">
        <v>0</v>
      </c>
      <c r="H38" s="473">
        <v>0</v>
      </c>
      <c r="I38" s="473">
        <v>0</v>
      </c>
      <c r="J38" s="466"/>
      <c r="K38" s="13"/>
      <c r="L38" s="13"/>
      <c r="M38" s="13"/>
      <c r="N38" s="13"/>
      <c r="O38" s="13"/>
    </row>
    <row r="39" spans="1:15">
      <c r="A39" s="145">
        <v>637</v>
      </c>
      <c r="B39" s="560" t="s">
        <v>250</v>
      </c>
      <c r="C39" s="473">
        <v>971</v>
      </c>
      <c r="D39" s="558" t="s">
        <v>230</v>
      </c>
      <c r="E39" s="558" t="s">
        <v>185</v>
      </c>
      <c r="F39" s="317">
        <v>1298</v>
      </c>
      <c r="G39" s="145">
        <v>0</v>
      </c>
      <c r="H39" s="473">
        <v>0</v>
      </c>
      <c r="I39" s="473">
        <v>0</v>
      </c>
      <c r="J39" s="466"/>
      <c r="K39" s="13"/>
      <c r="L39" s="13"/>
      <c r="M39" s="13"/>
      <c r="N39" s="13"/>
      <c r="O39" s="13"/>
    </row>
    <row r="40" spans="1:15">
      <c r="A40" s="145">
        <v>638</v>
      </c>
      <c r="B40" s="560" t="s">
        <v>251</v>
      </c>
      <c r="C40" s="473">
        <v>906</v>
      </c>
      <c r="D40" s="558" t="s">
        <v>230</v>
      </c>
      <c r="E40" s="558" t="s">
        <v>185</v>
      </c>
      <c r="F40" s="317">
        <v>1233</v>
      </c>
      <c r="G40" s="145">
        <v>0</v>
      </c>
      <c r="H40" s="473">
        <v>0</v>
      </c>
      <c r="I40" s="473">
        <v>0</v>
      </c>
      <c r="J40" s="466"/>
      <c r="K40" s="13"/>
      <c r="L40" s="13"/>
      <c r="M40" s="13"/>
      <c r="N40" s="13"/>
      <c r="O40" s="13"/>
    </row>
    <row r="41" spans="1:15">
      <c r="A41" s="145">
        <v>639</v>
      </c>
      <c r="B41" s="560" t="s">
        <v>252</v>
      </c>
      <c r="C41" s="473">
        <v>1300</v>
      </c>
      <c r="D41" s="558">
        <v>127</v>
      </c>
      <c r="E41" s="558" t="s">
        <v>185</v>
      </c>
      <c r="F41" s="317">
        <v>1427</v>
      </c>
      <c r="G41" s="145">
        <v>0</v>
      </c>
      <c r="H41" s="473">
        <v>0</v>
      </c>
      <c r="I41" s="473">
        <v>0</v>
      </c>
      <c r="J41" s="466"/>
      <c r="K41" s="13"/>
      <c r="L41" s="13"/>
      <c r="M41" s="13"/>
      <c r="N41" s="13"/>
      <c r="O41" s="13"/>
    </row>
    <row r="42" spans="1:15">
      <c r="A42" s="145">
        <v>640</v>
      </c>
      <c r="B42" s="560" t="s">
        <v>253</v>
      </c>
      <c r="C42" s="473">
        <v>1680</v>
      </c>
      <c r="D42" s="558">
        <v>77</v>
      </c>
      <c r="E42" s="558" t="s">
        <v>254</v>
      </c>
      <c r="F42" s="317">
        <v>1680</v>
      </c>
      <c r="G42" s="145">
        <v>0</v>
      </c>
      <c r="H42" s="473">
        <v>0</v>
      </c>
      <c r="I42" s="473">
        <v>0</v>
      </c>
      <c r="J42" s="466"/>
      <c r="K42" s="13"/>
      <c r="L42" s="13"/>
      <c r="M42" s="13"/>
      <c r="N42" s="13"/>
      <c r="O42" s="13"/>
    </row>
    <row r="43" spans="1:15">
      <c r="A43" s="145">
        <v>641</v>
      </c>
      <c r="B43" s="560" t="s">
        <v>255</v>
      </c>
      <c r="C43" s="473">
        <v>1300</v>
      </c>
      <c r="D43" s="558">
        <v>127</v>
      </c>
      <c r="E43" s="558" t="s">
        <v>256</v>
      </c>
      <c r="F43" s="317">
        <v>1394</v>
      </c>
      <c r="G43" s="145">
        <v>0</v>
      </c>
      <c r="H43" s="473">
        <v>0</v>
      </c>
      <c r="I43" s="473">
        <v>0</v>
      </c>
      <c r="J43" s="466"/>
      <c r="K43" s="13"/>
      <c r="L43" s="13"/>
      <c r="M43" s="13"/>
      <c r="N43" s="13"/>
      <c r="O43" s="13"/>
    </row>
    <row r="44" spans="1:15">
      <c r="A44" s="145">
        <v>642</v>
      </c>
      <c r="B44" s="560" t="s">
        <v>257</v>
      </c>
      <c r="C44" s="473">
        <v>2913</v>
      </c>
      <c r="D44" s="558">
        <v>0</v>
      </c>
      <c r="E44" s="558" t="s">
        <v>191</v>
      </c>
      <c r="F44" s="317">
        <v>3057</v>
      </c>
      <c r="G44" s="145">
        <v>0</v>
      </c>
      <c r="H44" s="473">
        <v>0</v>
      </c>
      <c r="I44" s="473">
        <v>0</v>
      </c>
      <c r="J44" s="466"/>
      <c r="K44" s="13"/>
      <c r="L44" s="13"/>
      <c r="M44" s="13"/>
      <c r="N44" s="13"/>
      <c r="O44" s="13"/>
    </row>
    <row r="45" spans="1:15">
      <c r="A45" s="145">
        <v>643</v>
      </c>
      <c r="B45" s="560" t="s">
        <v>258</v>
      </c>
      <c r="C45" s="473">
        <v>1500</v>
      </c>
      <c r="D45" s="558">
        <v>101</v>
      </c>
      <c r="E45" s="558" t="s">
        <v>188</v>
      </c>
      <c r="F45" s="317" t="s">
        <v>259</v>
      </c>
      <c r="G45" s="145">
        <v>0</v>
      </c>
      <c r="H45" s="473">
        <v>0</v>
      </c>
      <c r="I45" s="473">
        <v>0</v>
      </c>
      <c r="J45" s="466"/>
      <c r="K45" s="13"/>
      <c r="L45" s="13"/>
      <c r="M45" s="13"/>
      <c r="N45" s="13"/>
      <c r="O45" s="13"/>
    </row>
    <row r="46" spans="1:15">
      <c r="A46" s="145">
        <v>644</v>
      </c>
      <c r="B46" s="560" t="s">
        <v>260</v>
      </c>
      <c r="C46" s="473">
        <v>2490</v>
      </c>
      <c r="D46" s="558">
        <v>0</v>
      </c>
      <c r="E46" s="558" t="s">
        <v>185</v>
      </c>
      <c r="F46" s="317">
        <v>2490</v>
      </c>
      <c r="G46" s="145">
        <v>0</v>
      </c>
      <c r="H46" s="473">
        <v>0</v>
      </c>
      <c r="I46" s="473">
        <v>0</v>
      </c>
      <c r="J46" s="466"/>
      <c r="K46" s="13"/>
      <c r="L46" s="13"/>
      <c r="M46" s="13"/>
      <c r="N46" s="13"/>
      <c r="O46" s="13"/>
    </row>
    <row r="47" spans="1:15">
      <c r="A47" s="145">
        <v>645</v>
      </c>
      <c r="B47" s="560" t="s">
        <v>261</v>
      </c>
      <c r="C47" s="473">
        <v>2329</v>
      </c>
      <c r="D47" s="558">
        <v>0</v>
      </c>
      <c r="E47" s="558" t="s">
        <v>185</v>
      </c>
      <c r="F47" s="317">
        <v>2329</v>
      </c>
      <c r="G47" s="145">
        <v>0</v>
      </c>
      <c r="H47" s="473">
        <v>0</v>
      </c>
      <c r="I47" s="473">
        <v>0</v>
      </c>
      <c r="J47" s="466"/>
      <c r="K47" s="13"/>
      <c r="L47" s="13"/>
      <c r="M47" s="13"/>
      <c r="N47" s="13"/>
      <c r="O47" s="13"/>
    </row>
    <row r="48" spans="1:15">
      <c r="A48" s="145">
        <v>646</v>
      </c>
      <c r="B48" s="560" t="s">
        <v>262</v>
      </c>
      <c r="C48" s="473">
        <v>906</v>
      </c>
      <c r="D48" s="558" t="s">
        <v>230</v>
      </c>
      <c r="E48" s="558" t="s">
        <v>185</v>
      </c>
      <c r="F48" s="317">
        <v>1233</v>
      </c>
      <c r="G48" s="145">
        <v>0</v>
      </c>
      <c r="H48" s="473">
        <v>0</v>
      </c>
      <c r="I48" s="473">
        <v>0</v>
      </c>
      <c r="J48" s="466"/>
      <c r="K48" s="13"/>
      <c r="L48" s="13"/>
      <c r="M48" s="13"/>
      <c r="N48" s="13"/>
      <c r="O48" s="13"/>
    </row>
    <row r="49" spans="1:15">
      <c r="A49" s="145">
        <v>647</v>
      </c>
      <c r="B49" s="560" t="s">
        <v>263</v>
      </c>
      <c r="C49" s="473">
        <v>1830</v>
      </c>
      <c r="D49" s="558">
        <v>58</v>
      </c>
      <c r="E49" s="558" t="s">
        <v>185</v>
      </c>
      <c r="F49" s="317">
        <v>1888</v>
      </c>
      <c r="G49" s="145">
        <v>0</v>
      </c>
      <c r="H49" s="473">
        <v>0</v>
      </c>
      <c r="I49" s="473">
        <v>0</v>
      </c>
      <c r="J49" s="466"/>
      <c r="K49" s="13"/>
      <c r="L49" s="13"/>
      <c r="M49" s="13"/>
      <c r="N49" s="13"/>
      <c r="O49" s="13"/>
    </row>
    <row r="50" spans="1:15">
      <c r="A50" s="145">
        <v>648</v>
      </c>
      <c r="B50" s="560" t="s">
        <v>264</v>
      </c>
      <c r="C50" s="473">
        <v>1740</v>
      </c>
      <c r="D50" s="558">
        <v>70</v>
      </c>
      <c r="E50" s="558" t="s">
        <v>206</v>
      </c>
      <c r="F50" s="317" t="s">
        <v>207</v>
      </c>
      <c r="G50" s="145">
        <v>0</v>
      </c>
      <c r="H50" s="473">
        <v>0</v>
      </c>
      <c r="I50" s="473">
        <v>0</v>
      </c>
      <c r="J50" s="466"/>
      <c r="K50" s="13"/>
      <c r="L50" s="13"/>
      <c r="M50" s="13"/>
      <c r="N50" s="13"/>
      <c r="O50" s="13"/>
    </row>
    <row r="51" spans="1:15">
      <c r="A51" s="145">
        <v>649</v>
      </c>
      <c r="B51" s="560" t="s">
        <v>265</v>
      </c>
      <c r="C51" s="473">
        <v>971</v>
      </c>
      <c r="D51" s="558" t="s">
        <v>230</v>
      </c>
      <c r="E51" s="558" t="s">
        <v>185</v>
      </c>
      <c r="F51" s="317">
        <v>1298</v>
      </c>
      <c r="G51" s="145">
        <v>0</v>
      </c>
      <c r="H51" s="473">
        <v>0</v>
      </c>
      <c r="I51" s="473">
        <v>0</v>
      </c>
      <c r="J51" s="466"/>
      <c r="K51" s="13"/>
      <c r="L51" s="13"/>
      <c r="M51" s="13"/>
      <c r="N51" s="13"/>
      <c r="O51" s="13"/>
    </row>
    <row r="52" spans="1:15">
      <c r="A52" s="145">
        <v>650</v>
      </c>
      <c r="B52" s="560" t="s">
        <v>266</v>
      </c>
      <c r="C52" s="473">
        <v>1740</v>
      </c>
      <c r="D52" s="558">
        <v>70</v>
      </c>
      <c r="E52" s="558" t="s">
        <v>185</v>
      </c>
      <c r="F52" s="317">
        <v>1810</v>
      </c>
      <c r="G52" s="145">
        <v>0</v>
      </c>
      <c r="H52" s="473">
        <v>750</v>
      </c>
      <c r="I52" s="473">
        <v>0</v>
      </c>
      <c r="J52" s="466"/>
      <c r="K52" s="13"/>
      <c r="L52" s="13"/>
      <c r="M52" s="13"/>
      <c r="N52" s="13"/>
      <c r="O52" s="13"/>
    </row>
    <row r="53" spans="1:15">
      <c r="A53" s="145">
        <v>651</v>
      </c>
      <c r="B53" s="560" t="s">
        <v>267</v>
      </c>
      <c r="C53" s="473">
        <v>971</v>
      </c>
      <c r="D53" s="558" t="s">
        <v>230</v>
      </c>
      <c r="E53" s="558" t="s">
        <v>185</v>
      </c>
      <c r="F53" s="317">
        <v>1298</v>
      </c>
      <c r="G53" s="145">
        <v>0</v>
      </c>
      <c r="H53" s="473">
        <v>0</v>
      </c>
      <c r="I53" s="473">
        <v>0</v>
      </c>
      <c r="J53" s="466"/>
      <c r="K53" s="13"/>
      <c r="L53" s="13"/>
      <c r="M53" s="13"/>
      <c r="N53" s="13"/>
      <c r="O53" s="13"/>
    </row>
    <row r="54" spans="1:15">
      <c r="A54" s="145">
        <v>652</v>
      </c>
      <c r="B54" s="560" t="s">
        <v>268</v>
      </c>
      <c r="C54" s="473">
        <v>1250</v>
      </c>
      <c r="D54" s="558">
        <v>134</v>
      </c>
      <c r="E54" s="558" t="s">
        <v>185</v>
      </c>
      <c r="F54" s="317">
        <v>1384</v>
      </c>
      <c r="G54" s="145">
        <v>0</v>
      </c>
      <c r="H54" s="473">
        <v>0</v>
      </c>
      <c r="I54" s="473">
        <v>0</v>
      </c>
      <c r="J54" s="466"/>
      <c r="K54" s="13"/>
      <c r="L54" s="13"/>
      <c r="M54" s="13"/>
      <c r="N54" s="13"/>
      <c r="O54" s="13"/>
    </row>
    <row r="55" spans="1:15">
      <c r="A55" s="145">
        <v>653</v>
      </c>
      <c r="B55" s="560" t="s">
        <v>269</v>
      </c>
      <c r="C55" s="473">
        <v>1400</v>
      </c>
      <c r="D55" s="558">
        <v>114</v>
      </c>
      <c r="E55" s="558" t="s">
        <v>256</v>
      </c>
      <c r="F55" s="317">
        <v>1902</v>
      </c>
      <c r="G55" s="145">
        <v>0</v>
      </c>
      <c r="H55" s="473">
        <v>100</v>
      </c>
      <c r="I55" s="473">
        <v>0</v>
      </c>
      <c r="J55" s="466"/>
      <c r="K55" s="13"/>
      <c r="L55" s="13"/>
      <c r="M55" s="13"/>
      <c r="N55" s="13"/>
      <c r="O55" s="13"/>
    </row>
    <row r="56" spans="1:15">
      <c r="A56" s="145">
        <v>654</v>
      </c>
      <c r="B56" s="560" t="s">
        <v>270</v>
      </c>
      <c r="C56" s="473">
        <v>1690</v>
      </c>
      <c r="D56" s="558">
        <v>76</v>
      </c>
      <c r="E56" s="558" t="s">
        <v>254</v>
      </c>
      <c r="F56" s="317">
        <v>2219</v>
      </c>
      <c r="G56" s="145">
        <v>0</v>
      </c>
      <c r="H56" s="473">
        <v>300</v>
      </c>
      <c r="I56" s="473">
        <v>0</v>
      </c>
      <c r="J56" s="466"/>
      <c r="K56" s="13"/>
      <c r="L56" s="13"/>
      <c r="M56" s="13"/>
      <c r="N56" s="13"/>
      <c r="O56" s="13"/>
    </row>
    <row r="57" spans="1:15">
      <c r="A57" s="145">
        <v>655</v>
      </c>
      <c r="B57" s="560" t="s">
        <v>271</v>
      </c>
      <c r="C57" s="473">
        <v>1550</v>
      </c>
      <c r="D57" s="558">
        <v>94</v>
      </c>
      <c r="E57" s="558" t="s">
        <v>256</v>
      </c>
      <c r="F57" s="317">
        <v>2032</v>
      </c>
      <c r="G57" s="145">
        <v>0</v>
      </c>
      <c r="H57" s="473">
        <v>200</v>
      </c>
      <c r="I57" s="473">
        <v>0</v>
      </c>
      <c r="J57" s="466"/>
      <c r="K57" s="13"/>
      <c r="L57" s="13"/>
      <c r="M57" s="13"/>
      <c r="N57" s="13"/>
      <c r="O57" s="13"/>
    </row>
    <row r="58" spans="1:15">
      <c r="A58" s="145">
        <v>657</v>
      </c>
      <c r="B58" s="560" t="s">
        <v>272</v>
      </c>
      <c r="C58" s="473">
        <v>1340</v>
      </c>
      <c r="D58" s="558">
        <v>122</v>
      </c>
      <c r="E58" s="558" t="s">
        <v>185</v>
      </c>
      <c r="F58" s="317">
        <v>1462</v>
      </c>
      <c r="G58" s="145">
        <v>0</v>
      </c>
      <c r="H58" s="473">
        <v>0</v>
      </c>
      <c r="I58" s="473">
        <v>0</v>
      </c>
      <c r="J58" s="466"/>
      <c r="K58" s="13"/>
      <c r="L58" s="13"/>
      <c r="M58" s="13"/>
      <c r="N58" s="13"/>
      <c r="O58" s="13"/>
    </row>
    <row r="59" spans="1:15">
      <c r="A59" s="145">
        <v>658</v>
      </c>
      <c r="B59" s="560" t="s">
        <v>273</v>
      </c>
      <c r="C59" s="473">
        <v>1300</v>
      </c>
      <c r="D59" s="558">
        <v>127</v>
      </c>
      <c r="E59" s="558" t="s">
        <v>185</v>
      </c>
      <c r="F59" s="317">
        <v>1427</v>
      </c>
      <c r="G59" s="145">
        <v>0</v>
      </c>
      <c r="H59" s="473">
        <v>0</v>
      </c>
      <c r="I59" s="473">
        <v>0</v>
      </c>
      <c r="J59" s="466"/>
      <c r="K59" s="13"/>
      <c r="L59" s="13"/>
      <c r="M59" s="13"/>
      <c r="N59" s="13"/>
      <c r="O59" s="13"/>
    </row>
    <row r="60" spans="1:15">
      <c r="A60" s="145">
        <v>659</v>
      </c>
      <c r="B60" s="560" t="s">
        <v>274</v>
      </c>
      <c r="C60" s="473">
        <v>1340</v>
      </c>
      <c r="D60" s="558">
        <v>122</v>
      </c>
      <c r="E60" s="558" t="s">
        <v>185</v>
      </c>
      <c r="F60" s="317">
        <v>1462</v>
      </c>
      <c r="G60" s="145">
        <v>0</v>
      </c>
      <c r="H60" s="473">
        <v>0</v>
      </c>
      <c r="I60" s="473">
        <v>0</v>
      </c>
      <c r="J60" s="466"/>
      <c r="K60" s="13"/>
      <c r="L60" s="13"/>
      <c r="M60" s="13"/>
      <c r="N60" s="13"/>
      <c r="O60" s="13"/>
    </row>
    <row r="61" spans="1:15">
      <c r="A61" s="145">
        <v>660</v>
      </c>
      <c r="B61" s="560" t="s">
        <v>275</v>
      </c>
      <c r="C61" s="473">
        <v>1300</v>
      </c>
      <c r="D61" s="558">
        <v>127</v>
      </c>
      <c r="E61" s="558" t="s">
        <v>185</v>
      </c>
      <c r="F61" s="317">
        <v>1427</v>
      </c>
      <c r="G61" s="145">
        <v>0</v>
      </c>
      <c r="H61" s="473">
        <v>0</v>
      </c>
      <c r="I61" s="473">
        <v>0</v>
      </c>
      <c r="J61" s="466"/>
      <c r="K61" s="13"/>
      <c r="L61" s="13"/>
      <c r="M61" s="13"/>
      <c r="N61" s="13"/>
      <c r="O61" s="13"/>
    </row>
    <row r="62" spans="1:15">
      <c r="A62" s="145">
        <v>661</v>
      </c>
      <c r="B62" s="560" t="s">
        <v>276</v>
      </c>
      <c r="C62" s="473">
        <v>1300</v>
      </c>
      <c r="D62" s="558">
        <v>127</v>
      </c>
      <c r="E62" s="558" t="s">
        <v>185</v>
      </c>
      <c r="F62" s="317">
        <v>1427</v>
      </c>
      <c r="G62" s="145">
        <v>0</v>
      </c>
      <c r="H62" s="473">
        <v>0</v>
      </c>
      <c r="I62" s="473">
        <v>0</v>
      </c>
      <c r="J62" s="466"/>
      <c r="K62" s="13"/>
      <c r="L62" s="13"/>
      <c r="M62" s="13"/>
      <c r="N62" s="13"/>
      <c r="O62" s="13"/>
    </row>
    <row r="63" spans="1:15">
      <c r="A63" s="145">
        <v>662</v>
      </c>
      <c r="B63" s="560" t="s">
        <v>277</v>
      </c>
      <c r="C63" s="473">
        <v>1690</v>
      </c>
      <c r="D63" s="558">
        <v>76</v>
      </c>
      <c r="E63" s="558" t="s">
        <v>185</v>
      </c>
      <c r="F63" s="317">
        <v>1766</v>
      </c>
      <c r="G63" s="145">
        <v>0</v>
      </c>
      <c r="H63" s="473">
        <v>708</v>
      </c>
      <c r="I63" s="473">
        <v>0</v>
      </c>
      <c r="J63" s="466"/>
      <c r="K63" s="13"/>
      <c r="L63" s="13"/>
      <c r="M63" s="13"/>
      <c r="N63" s="13"/>
      <c r="O63" s="13"/>
    </row>
    <row r="64" spans="1:15">
      <c r="A64" s="145">
        <v>663</v>
      </c>
      <c r="B64" s="560" t="s">
        <v>278</v>
      </c>
      <c r="C64" s="473">
        <v>1500</v>
      </c>
      <c r="D64" s="558">
        <v>101</v>
      </c>
      <c r="E64" s="558" t="s">
        <v>256</v>
      </c>
      <c r="F64" s="317">
        <v>1989</v>
      </c>
      <c r="G64" s="145">
        <v>0</v>
      </c>
      <c r="H64" s="473">
        <v>0</v>
      </c>
      <c r="I64" s="473">
        <v>0</v>
      </c>
      <c r="J64" s="466"/>
      <c r="K64" s="13"/>
      <c r="L64" s="13"/>
      <c r="M64" s="13"/>
      <c r="N64" s="13"/>
      <c r="O64" s="13"/>
    </row>
    <row r="65" spans="1:15">
      <c r="A65" s="145">
        <v>664</v>
      </c>
      <c r="B65" s="560" t="s">
        <v>279</v>
      </c>
      <c r="C65" s="473">
        <v>971</v>
      </c>
      <c r="D65" s="558" t="s">
        <v>230</v>
      </c>
      <c r="E65" s="558" t="s">
        <v>185</v>
      </c>
      <c r="F65" s="317">
        <v>1298</v>
      </c>
      <c r="G65" s="145">
        <v>0</v>
      </c>
      <c r="H65" s="473">
        <v>620</v>
      </c>
      <c r="I65" s="473">
        <v>0</v>
      </c>
      <c r="J65" s="466"/>
      <c r="K65" s="13"/>
      <c r="L65" s="13"/>
      <c r="M65" s="13"/>
      <c r="N65" s="13"/>
      <c r="O65" s="13"/>
    </row>
    <row r="66" spans="1:15">
      <c r="A66" s="145">
        <v>667</v>
      </c>
      <c r="B66" s="560" t="s">
        <v>280</v>
      </c>
      <c r="C66" s="473">
        <v>2000</v>
      </c>
      <c r="D66" s="558">
        <v>36</v>
      </c>
      <c r="E66" s="558" t="s">
        <v>195</v>
      </c>
      <c r="F66" s="317">
        <v>2683</v>
      </c>
      <c r="G66" s="145">
        <v>0</v>
      </c>
      <c r="H66" s="473">
        <v>830</v>
      </c>
      <c r="I66" s="473">
        <v>0</v>
      </c>
      <c r="J66" s="466"/>
      <c r="K66" s="13"/>
      <c r="L66" s="13"/>
      <c r="M66" s="13"/>
      <c r="N66" s="13"/>
      <c r="O66" s="13"/>
    </row>
    <row r="67" spans="1:15">
      <c r="A67" s="145">
        <v>668</v>
      </c>
      <c r="B67" s="560" t="s">
        <v>281</v>
      </c>
      <c r="C67" s="473">
        <v>1840</v>
      </c>
      <c r="D67" s="558">
        <v>57</v>
      </c>
      <c r="E67" s="558" t="s">
        <v>198</v>
      </c>
      <c r="F67" s="317" t="s">
        <v>199</v>
      </c>
      <c r="G67" s="145">
        <v>0</v>
      </c>
      <c r="H67" s="473">
        <v>830</v>
      </c>
      <c r="I67" s="473">
        <v>0</v>
      </c>
      <c r="J67" s="466"/>
      <c r="K67" s="13"/>
      <c r="L67" s="13"/>
      <c r="M67" s="13"/>
      <c r="N67" s="13"/>
      <c r="O67" s="13"/>
    </row>
    <row r="68" spans="1:15">
      <c r="A68" s="145">
        <v>669</v>
      </c>
      <c r="B68" s="560" t="s">
        <v>282</v>
      </c>
      <c r="C68" s="473">
        <v>1680</v>
      </c>
      <c r="D68" s="558">
        <v>77</v>
      </c>
      <c r="E68" s="558" t="s">
        <v>201</v>
      </c>
      <c r="F68" s="317" t="s">
        <v>204</v>
      </c>
      <c r="G68" s="145">
        <v>0</v>
      </c>
      <c r="H68" s="473">
        <v>830</v>
      </c>
      <c r="I68" s="473">
        <v>0</v>
      </c>
      <c r="J68" s="466"/>
      <c r="K68" s="13"/>
      <c r="L68" s="13"/>
      <c r="M68" s="13"/>
      <c r="N68" s="13"/>
      <c r="O68" s="13"/>
    </row>
    <row r="69" spans="1:15">
      <c r="A69" s="145">
        <v>670</v>
      </c>
      <c r="B69" s="560" t="s">
        <v>283</v>
      </c>
      <c r="C69" s="473">
        <v>1740</v>
      </c>
      <c r="D69" s="558">
        <v>70</v>
      </c>
      <c r="E69" s="558" t="s">
        <v>206</v>
      </c>
      <c r="F69" s="317" t="s">
        <v>207</v>
      </c>
      <c r="G69" s="145">
        <v>0</v>
      </c>
      <c r="H69" s="473">
        <v>750</v>
      </c>
      <c r="I69" s="473">
        <v>0</v>
      </c>
      <c r="J69" s="466"/>
      <c r="K69" s="13"/>
      <c r="L69" s="13"/>
      <c r="M69" s="13"/>
      <c r="N69" s="13"/>
      <c r="O69" s="13"/>
    </row>
    <row r="70" spans="1:15">
      <c r="A70" s="145">
        <v>671</v>
      </c>
      <c r="B70" s="560" t="s">
        <v>284</v>
      </c>
      <c r="C70" s="473">
        <v>1610</v>
      </c>
      <c r="D70" s="558">
        <v>87</v>
      </c>
      <c r="E70" s="558" t="s">
        <v>185</v>
      </c>
      <c r="F70" s="317">
        <v>1697</v>
      </c>
      <c r="G70" s="145">
        <v>0</v>
      </c>
      <c r="H70" s="473">
        <v>750</v>
      </c>
      <c r="I70" s="473">
        <v>0</v>
      </c>
      <c r="J70" s="466"/>
      <c r="K70" s="13"/>
      <c r="L70" s="13"/>
      <c r="M70" s="13"/>
      <c r="N70" s="13"/>
      <c r="O70" s="13"/>
    </row>
    <row r="71" spans="1:15">
      <c r="A71" s="145">
        <v>672</v>
      </c>
      <c r="B71" s="560" t="s">
        <v>285</v>
      </c>
      <c r="C71" s="473">
        <v>2000</v>
      </c>
      <c r="D71" s="558">
        <v>36</v>
      </c>
      <c r="E71" s="558" t="s">
        <v>195</v>
      </c>
      <c r="F71" s="317">
        <v>2683</v>
      </c>
      <c r="G71" s="145">
        <v>0</v>
      </c>
      <c r="H71" s="473">
        <v>300</v>
      </c>
      <c r="I71" s="473">
        <v>0</v>
      </c>
      <c r="J71" s="466"/>
      <c r="K71" s="13"/>
      <c r="L71" s="13"/>
      <c r="M71" s="13"/>
      <c r="N71" s="13"/>
      <c r="O71" s="13"/>
    </row>
    <row r="72" spans="1:15">
      <c r="A72" s="145">
        <v>673</v>
      </c>
      <c r="B72" s="560" t="s">
        <v>286</v>
      </c>
      <c r="C72" s="473">
        <v>1840</v>
      </c>
      <c r="D72" s="558">
        <v>57</v>
      </c>
      <c r="E72" s="558" t="s">
        <v>198</v>
      </c>
      <c r="F72" s="317" t="s">
        <v>199</v>
      </c>
      <c r="G72" s="145">
        <v>0</v>
      </c>
      <c r="H72" s="473">
        <v>300</v>
      </c>
      <c r="I72" s="473">
        <v>0</v>
      </c>
      <c r="J72" s="466"/>
      <c r="K72" s="13"/>
      <c r="L72" s="13"/>
      <c r="M72" s="13"/>
      <c r="N72" s="13"/>
      <c r="O72" s="13"/>
    </row>
    <row r="73" spans="1:15">
      <c r="A73" s="145">
        <v>674</v>
      </c>
      <c r="B73" s="560" t="s">
        <v>287</v>
      </c>
      <c r="C73" s="473">
        <v>1680</v>
      </c>
      <c r="D73" s="558">
        <v>77</v>
      </c>
      <c r="E73" s="558" t="s">
        <v>201</v>
      </c>
      <c r="F73" s="317" t="s">
        <v>204</v>
      </c>
      <c r="G73" s="145">
        <v>0</v>
      </c>
      <c r="H73" s="473">
        <v>300</v>
      </c>
      <c r="I73" s="473">
        <v>0</v>
      </c>
      <c r="J73" s="466"/>
      <c r="K73" s="13"/>
      <c r="L73" s="13"/>
      <c r="M73" s="13"/>
      <c r="N73" s="13"/>
      <c r="O73" s="13"/>
    </row>
    <row r="74" spans="1:15">
      <c r="A74" s="145">
        <v>675</v>
      </c>
      <c r="B74" s="560" t="s">
        <v>288</v>
      </c>
      <c r="C74" s="473">
        <v>1740</v>
      </c>
      <c r="D74" s="558">
        <v>70</v>
      </c>
      <c r="E74" s="558" t="s">
        <v>289</v>
      </c>
      <c r="F74" s="317">
        <v>2327</v>
      </c>
      <c r="G74" s="145">
        <v>0</v>
      </c>
      <c r="H74" s="473">
        <v>725</v>
      </c>
      <c r="I74" s="473">
        <v>0</v>
      </c>
      <c r="J74" s="466"/>
      <c r="K74" s="13"/>
      <c r="L74" s="13"/>
      <c r="M74" s="13"/>
      <c r="N74" s="13"/>
      <c r="O74" s="13"/>
    </row>
    <row r="75" spans="1:15">
      <c r="A75" s="145">
        <v>676</v>
      </c>
      <c r="B75" s="560" t="s">
        <v>290</v>
      </c>
      <c r="C75" s="473">
        <v>1610</v>
      </c>
      <c r="D75" s="558">
        <v>87</v>
      </c>
      <c r="E75" s="558" t="s">
        <v>256</v>
      </c>
      <c r="F75" s="317">
        <v>2085</v>
      </c>
      <c r="G75" s="145">
        <v>0</v>
      </c>
      <c r="H75" s="473">
        <v>725</v>
      </c>
      <c r="I75" s="473">
        <v>0</v>
      </c>
      <c r="J75" s="466"/>
      <c r="K75" s="13"/>
      <c r="L75" s="13"/>
      <c r="M75" s="13"/>
      <c r="N75" s="13"/>
      <c r="O75" s="13"/>
    </row>
    <row r="76" spans="1:15">
      <c r="A76" s="145">
        <v>677</v>
      </c>
      <c r="B76" s="560" t="s">
        <v>291</v>
      </c>
      <c r="C76" s="473">
        <v>1500</v>
      </c>
      <c r="D76" s="558">
        <v>101</v>
      </c>
      <c r="E76" s="558" t="s">
        <v>256</v>
      </c>
      <c r="F76" s="317">
        <v>1989</v>
      </c>
      <c r="G76" s="145">
        <v>0</v>
      </c>
      <c r="H76" s="473">
        <v>725</v>
      </c>
      <c r="I76" s="473">
        <v>0</v>
      </c>
      <c r="J76" s="466"/>
      <c r="K76" s="13"/>
      <c r="L76" s="13"/>
      <c r="M76" s="13"/>
      <c r="N76" s="13"/>
      <c r="O76" s="13"/>
    </row>
    <row r="77" spans="1:15">
      <c r="A77" s="145">
        <v>678</v>
      </c>
      <c r="B77" s="560" t="s">
        <v>292</v>
      </c>
      <c r="C77" s="473">
        <v>1320</v>
      </c>
      <c r="D77" s="558">
        <v>124</v>
      </c>
      <c r="E77" s="558" t="s">
        <v>185</v>
      </c>
      <c r="F77" s="317">
        <v>1444</v>
      </c>
      <c r="G77" s="145">
        <v>0</v>
      </c>
      <c r="H77" s="473">
        <v>590</v>
      </c>
      <c r="I77" s="473">
        <v>0</v>
      </c>
      <c r="J77" s="466"/>
      <c r="K77" s="13"/>
      <c r="L77" s="13"/>
      <c r="M77" s="13"/>
      <c r="N77" s="13"/>
      <c r="O77" s="13"/>
    </row>
    <row r="78" spans="1:15">
      <c r="A78" s="145">
        <v>679</v>
      </c>
      <c r="B78" s="560" t="s">
        <v>293</v>
      </c>
      <c r="C78" s="473">
        <v>1690</v>
      </c>
      <c r="D78" s="558">
        <v>76</v>
      </c>
      <c r="E78" s="558" t="s">
        <v>185</v>
      </c>
      <c r="F78" s="317">
        <v>1766</v>
      </c>
      <c r="G78" s="145">
        <v>0</v>
      </c>
      <c r="H78" s="473">
        <v>708</v>
      </c>
      <c r="I78" s="473">
        <v>0</v>
      </c>
      <c r="J78" s="466"/>
      <c r="K78" s="13"/>
      <c r="L78" s="13"/>
      <c r="M78" s="13"/>
      <c r="N78" s="13"/>
      <c r="O78" s="13"/>
    </row>
    <row r="79" spans="1:15">
      <c r="A79" s="145">
        <v>680</v>
      </c>
      <c r="B79" s="560" t="s">
        <v>294</v>
      </c>
      <c r="C79" s="473">
        <v>1550</v>
      </c>
      <c r="D79" s="558">
        <v>94</v>
      </c>
      <c r="E79" s="558" t="s">
        <v>185</v>
      </c>
      <c r="F79" s="317">
        <v>1644</v>
      </c>
      <c r="G79" s="145">
        <v>0</v>
      </c>
      <c r="H79" s="473">
        <v>708</v>
      </c>
      <c r="I79" s="473">
        <v>0</v>
      </c>
      <c r="J79" s="466"/>
      <c r="K79" s="13"/>
      <c r="L79" s="13"/>
      <c r="M79" s="13"/>
      <c r="N79" s="13"/>
      <c r="O79" s="13"/>
    </row>
    <row r="80" spans="1:15">
      <c r="A80" s="145">
        <v>681</v>
      </c>
      <c r="B80" s="560" t="s">
        <v>295</v>
      </c>
      <c r="C80" s="473">
        <v>1400</v>
      </c>
      <c r="D80" s="558">
        <v>114</v>
      </c>
      <c r="E80" s="558" t="s">
        <v>185</v>
      </c>
      <c r="F80" s="317">
        <v>1514</v>
      </c>
      <c r="G80" s="145">
        <v>0</v>
      </c>
      <c r="H80" s="473">
        <v>708</v>
      </c>
      <c r="I80" s="473">
        <v>0</v>
      </c>
      <c r="J80" s="466"/>
      <c r="K80" s="13"/>
      <c r="L80" s="13"/>
      <c r="M80" s="13"/>
      <c r="N80" s="13"/>
      <c r="O80" s="13"/>
    </row>
    <row r="81" spans="1:15">
      <c r="A81" s="145">
        <v>682</v>
      </c>
      <c r="B81" s="561" t="s">
        <v>296</v>
      </c>
      <c r="C81" s="473">
        <v>1170</v>
      </c>
      <c r="D81" s="558">
        <v>144</v>
      </c>
      <c r="E81" s="558" t="s">
        <v>185</v>
      </c>
      <c r="F81" s="317">
        <v>1314</v>
      </c>
      <c r="G81" s="145">
        <v>0</v>
      </c>
      <c r="H81" s="473">
        <v>580</v>
      </c>
      <c r="I81" s="473">
        <v>0</v>
      </c>
      <c r="J81" s="466"/>
      <c r="K81" s="13"/>
      <c r="L81" s="13"/>
      <c r="M81" s="13"/>
      <c r="N81" s="13"/>
      <c r="O81" s="13"/>
    </row>
    <row r="82" spans="1:15">
      <c r="A82" s="145">
        <v>683</v>
      </c>
      <c r="B82" s="561" t="s">
        <v>297</v>
      </c>
      <c r="C82" s="473">
        <v>1170</v>
      </c>
      <c r="D82" s="558">
        <v>144</v>
      </c>
      <c r="E82" s="558" t="s">
        <v>185</v>
      </c>
      <c r="F82" s="317">
        <v>1314</v>
      </c>
      <c r="G82" s="145">
        <v>0</v>
      </c>
      <c r="H82" s="473">
        <v>580</v>
      </c>
      <c r="I82" s="473">
        <v>0</v>
      </c>
      <c r="J82" s="466"/>
      <c r="K82" s="13"/>
      <c r="L82" s="13"/>
      <c r="M82" s="13"/>
      <c r="N82" s="13"/>
      <c r="O82" s="13"/>
    </row>
    <row r="83" spans="1:15">
      <c r="A83" s="145">
        <v>684</v>
      </c>
      <c r="B83" s="560" t="s">
        <v>298</v>
      </c>
      <c r="C83" s="473">
        <v>1170</v>
      </c>
      <c r="D83" s="558">
        <v>144</v>
      </c>
      <c r="E83" s="558" t="s">
        <v>185</v>
      </c>
      <c r="F83" s="317">
        <v>1314</v>
      </c>
      <c r="G83" s="145">
        <v>0</v>
      </c>
      <c r="H83" s="473">
        <v>580</v>
      </c>
      <c r="I83" s="473">
        <v>0</v>
      </c>
      <c r="J83" s="466"/>
      <c r="K83" s="13"/>
      <c r="L83" s="13"/>
      <c r="M83" s="13"/>
      <c r="N83" s="13"/>
      <c r="O83" s="13"/>
    </row>
    <row r="84" spans="1:15">
      <c r="A84" s="145">
        <v>685</v>
      </c>
      <c r="B84" s="560" t="s">
        <v>299</v>
      </c>
      <c r="C84" s="473">
        <v>1500</v>
      </c>
      <c r="D84" s="558">
        <v>101</v>
      </c>
      <c r="E84" s="558" t="s">
        <v>188</v>
      </c>
      <c r="F84" s="317" t="s">
        <v>259</v>
      </c>
      <c r="G84" s="145">
        <v>0</v>
      </c>
      <c r="H84" s="473">
        <v>750</v>
      </c>
      <c r="I84" s="473">
        <v>0</v>
      </c>
      <c r="J84" s="466"/>
      <c r="K84" s="13"/>
      <c r="L84" s="13"/>
      <c r="M84" s="13"/>
      <c r="N84" s="13"/>
      <c r="O84" s="13"/>
    </row>
    <row r="85" spans="1:15">
      <c r="A85" s="145">
        <v>686</v>
      </c>
      <c r="B85" s="560" t="s">
        <v>300</v>
      </c>
      <c r="C85" s="473">
        <v>2000</v>
      </c>
      <c r="D85" s="558">
        <v>36</v>
      </c>
      <c r="E85" s="558" t="s">
        <v>195</v>
      </c>
      <c r="F85" s="317">
        <v>2683</v>
      </c>
      <c r="G85" s="145">
        <v>0</v>
      </c>
      <c r="H85" s="473">
        <v>600</v>
      </c>
      <c r="I85" s="473">
        <v>0</v>
      </c>
      <c r="J85" s="466"/>
      <c r="K85" s="13"/>
      <c r="L85" s="13"/>
      <c r="M85" s="13"/>
      <c r="N85" s="13"/>
      <c r="O85" s="13"/>
    </row>
    <row r="86" spans="1:15">
      <c r="A86" s="145">
        <v>687</v>
      </c>
      <c r="B86" s="560" t="s">
        <v>301</v>
      </c>
      <c r="C86" s="473">
        <v>1840</v>
      </c>
      <c r="D86" s="558">
        <v>57</v>
      </c>
      <c r="E86" s="558" t="s">
        <v>198</v>
      </c>
      <c r="F86" s="317" t="s">
        <v>199</v>
      </c>
      <c r="G86" s="145">
        <v>0</v>
      </c>
      <c r="H86" s="473">
        <v>600</v>
      </c>
      <c r="I86" s="473">
        <v>0</v>
      </c>
      <c r="J86" s="466"/>
      <c r="K86" s="13"/>
      <c r="L86" s="13"/>
      <c r="M86" s="13"/>
      <c r="N86" s="13"/>
      <c r="O86" s="13"/>
    </row>
    <row r="87" spans="1:15">
      <c r="A87" s="145">
        <v>688</v>
      </c>
      <c r="B87" s="560" t="s">
        <v>302</v>
      </c>
      <c r="C87" s="473">
        <v>1680</v>
      </c>
      <c r="D87" s="558">
        <v>77</v>
      </c>
      <c r="E87" s="558" t="s">
        <v>185</v>
      </c>
      <c r="F87" s="317">
        <v>1757</v>
      </c>
      <c r="G87" s="145">
        <v>0</v>
      </c>
      <c r="H87" s="473">
        <v>600</v>
      </c>
      <c r="I87" s="473">
        <v>0</v>
      </c>
      <c r="J87" s="466"/>
      <c r="K87" s="13"/>
      <c r="L87" s="13"/>
      <c r="M87" s="13"/>
      <c r="N87" s="13"/>
      <c r="O87" s="13"/>
    </row>
    <row r="88" spans="1:15">
      <c r="A88" s="145">
        <v>689</v>
      </c>
      <c r="B88" s="561" t="s">
        <v>303</v>
      </c>
      <c r="C88" s="473">
        <v>1170</v>
      </c>
      <c r="D88" s="558">
        <v>144</v>
      </c>
      <c r="E88" s="558" t="s">
        <v>185</v>
      </c>
      <c r="F88" s="317">
        <v>1314</v>
      </c>
      <c r="G88" s="145">
        <v>0</v>
      </c>
      <c r="H88" s="473">
        <v>580</v>
      </c>
      <c r="I88" s="473">
        <v>0</v>
      </c>
      <c r="J88" s="466"/>
      <c r="K88" s="13"/>
      <c r="L88" s="13"/>
      <c r="M88" s="13"/>
      <c r="N88" s="13"/>
      <c r="O88" s="13"/>
    </row>
    <row r="89" spans="1:15">
      <c r="A89" s="145">
        <v>691</v>
      </c>
      <c r="B89" s="560" t="s">
        <v>304</v>
      </c>
      <c r="C89" s="473">
        <v>1500</v>
      </c>
      <c r="D89" s="558">
        <v>101</v>
      </c>
      <c r="E89" s="558" t="s">
        <v>185</v>
      </c>
      <c r="F89" s="317">
        <v>1601</v>
      </c>
      <c r="G89" s="145">
        <v>0</v>
      </c>
      <c r="H89" s="473">
        <v>750</v>
      </c>
      <c r="I89" s="473">
        <v>0</v>
      </c>
      <c r="J89" s="466"/>
      <c r="K89" s="13"/>
      <c r="L89" s="13"/>
      <c r="M89" s="13"/>
      <c r="N89" s="13"/>
      <c r="O89" s="13"/>
    </row>
    <row r="90" spans="1:15">
      <c r="A90" s="145">
        <v>692</v>
      </c>
      <c r="B90" s="560" t="s">
        <v>305</v>
      </c>
      <c r="C90" s="473">
        <v>1690</v>
      </c>
      <c r="D90" s="558">
        <v>76</v>
      </c>
      <c r="E90" s="558" t="s">
        <v>185</v>
      </c>
      <c r="F90" s="317">
        <v>1766</v>
      </c>
      <c r="G90" s="145">
        <v>0</v>
      </c>
      <c r="H90" s="473">
        <v>620</v>
      </c>
      <c r="I90" s="473">
        <v>0</v>
      </c>
      <c r="J90" s="466"/>
      <c r="K90" s="13"/>
      <c r="L90" s="13"/>
      <c r="M90" s="13"/>
      <c r="N90" s="13"/>
      <c r="O90" s="13"/>
    </row>
    <row r="91" spans="1:15">
      <c r="A91" s="145">
        <v>693</v>
      </c>
      <c r="B91" s="560" t="s">
        <v>306</v>
      </c>
      <c r="C91" s="473">
        <v>1550</v>
      </c>
      <c r="D91" s="558">
        <v>94</v>
      </c>
      <c r="E91" s="558" t="s">
        <v>185</v>
      </c>
      <c r="F91" s="317">
        <v>1644</v>
      </c>
      <c r="G91" s="145">
        <v>0</v>
      </c>
      <c r="H91" s="473">
        <v>620</v>
      </c>
      <c r="I91" s="473">
        <v>0</v>
      </c>
      <c r="J91" s="466"/>
      <c r="K91" s="13"/>
      <c r="L91" s="13"/>
      <c r="M91" s="13"/>
      <c r="N91" s="13"/>
      <c r="O91" s="13"/>
    </row>
    <row r="92" spans="1:15">
      <c r="A92" s="145">
        <v>694</v>
      </c>
      <c r="B92" s="560" t="s">
        <v>307</v>
      </c>
      <c r="C92" s="473">
        <v>1400</v>
      </c>
      <c r="D92" s="558">
        <v>114</v>
      </c>
      <c r="E92" s="558" t="s">
        <v>185</v>
      </c>
      <c r="F92" s="317">
        <v>1514</v>
      </c>
      <c r="G92" s="145">
        <v>0</v>
      </c>
      <c r="H92" s="473">
        <v>620</v>
      </c>
      <c r="I92" s="473">
        <v>0</v>
      </c>
      <c r="J92" s="466"/>
      <c r="K92" s="13"/>
      <c r="L92" s="13"/>
      <c r="M92" s="13"/>
      <c r="N92" s="13"/>
      <c r="O92" s="13"/>
    </row>
    <row r="93" spans="1:15">
      <c r="A93" s="145">
        <v>695</v>
      </c>
      <c r="B93" s="560" t="s">
        <v>308</v>
      </c>
      <c r="C93" s="473">
        <v>906</v>
      </c>
      <c r="D93" s="558" t="s">
        <v>230</v>
      </c>
      <c r="E93" s="558" t="s">
        <v>185</v>
      </c>
      <c r="F93" s="317">
        <v>1233</v>
      </c>
      <c r="G93" s="145">
        <v>0</v>
      </c>
      <c r="H93" s="473">
        <v>0</v>
      </c>
      <c r="I93" s="473">
        <v>0</v>
      </c>
      <c r="J93" s="466"/>
      <c r="K93" s="13"/>
      <c r="L93" s="13"/>
      <c r="M93" s="13"/>
      <c r="N93" s="13"/>
      <c r="O93" s="13"/>
    </row>
    <row r="94" spans="1:15">
      <c r="A94" s="145">
        <v>696</v>
      </c>
      <c r="B94" s="560" t="s">
        <v>309</v>
      </c>
      <c r="C94" s="473">
        <v>1500</v>
      </c>
      <c r="D94" s="558">
        <v>101</v>
      </c>
      <c r="E94" s="558" t="s">
        <v>188</v>
      </c>
      <c r="F94" s="317" t="s">
        <v>259</v>
      </c>
      <c r="G94" s="145">
        <v>0</v>
      </c>
      <c r="H94" s="473">
        <v>0</v>
      </c>
      <c r="I94" s="473">
        <v>0</v>
      </c>
      <c r="J94" s="466"/>
      <c r="K94" s="13"/>
      <c r="L94" s="13"/>
      <c r="M94" s="13"/>
      <c r="N94" s="13"/>
      <c r="O94" s="13"/>
    </row>
    <row r="95" spans="1:15">
      <c r="A95" s="145">
        <v>697</v>
      </c>
      <c r="B95" s="560" t="s">
        <v>310</v>
      </c>
      <c r="C95" s="473">
        <v>1500</v>
      </c>
      <c r="D95" s="558">
        <v>101</v>
      </c>
      <c r="E95" s="558" t="s">
        <v>185</v>
      </c>
      <c r="F95" s="317">
        <v>1601</v>
      </c>
      <c r="G95" s="145">
        <v>0</v>
      </c>
      <c r="H95" s="473">
        <v>0</v>
      </c>
      <c r="I95" s="473">
        <v>0</v>
      </c>
      <c r="J95" s="466"/>
      <c r="K95" s="13"/>
      <c r="L95" s="13"/>
      <c r="M95" s="13"/>
      <c r="N95" s="13"/>
      <c r="O95" s="13"/>
    </row>
    <row r="96" spans="1:15">
      <c r="A96" s="145">
        <v>698</v>
      </c>
      <c r="B96" s="560" t="s">
        <v>311</v>
      </c>
      <c r="C96" s="473">
        <v>1690</v>
      </c>
      <c r="D96" s="558">
        <v>76</v>
      </c>
      <c r="E96" s="558" t="s">
        <v>185</v>
      </c>
      <c r="F96" s="317">
        <v>1766</v>
      </c>
      <c r="G96" s="145">
        <v>0</v>
      </c>
      <c r="H96" s="473">
        <v>0</v>
      </c>
      <c r="I96" s="473">
        <v>0</v>
      </c>
      <c r="J96" s="466"/>
      <c r="K96" s="13"/>
      <c r="L96" s="13"/>
      <c r="M96" s="13"/>
      <c r="N96" s="13"/>
      <c r="O96" s="13"/>
    </row>
    <row r="97" spans="1:15">
      <c r="A97" s="145">
        <v>699</v>
      </c>
      <c r="B97" s="560" t="s">
        <v>312</v>
      </c>
      <c r="C97" s="473">
        <v>1550</v>
      </c>
      <c r="D97" s="558">
        <v>94</v>
      </c>
      <c r="E97" s="558" t="s">
        <v>185</v>
      </c>
      <c r="F97" s="317">
        <v>1644</v>
      </c>
      <c r="G97" s="145">
        <v>0</v>
      </c>
      <c r="H97" s="473">
        <v>0</v>
      </c>
      <c r="I97" s="473">
        <v>0</v>
      </c>
      <c r="J97" s="466"/>
      <c r="K97" s="13"/>
      <c r="L97" s="13"/>
      <c r="M97" s="13"/>
      <c r="N97" s="13"/>
      <c r="O97" s="13"/>
    </row>
    <row r="98" spans="1:15">
      <c r="A98" s="562">
        <v>702</v>
      </c>
      <c r="B98" s="563" t="s">
        <v>313</v>
      </c>
      <c r="C98" s="564">
        <v>1400</v>
      </c>
      <c r="D98" s="558">
        <v>114</v>
      </c>
      <c r="E98" s="558" t="s">
        <v>314</v>
      </c>
      <c r="F98" s="317">
        <v>1727</v>
      </c>
      <c r="G98" s="562">
        <v>0</v>
      </c>
      <c r="H98" s="564">
        <v>0</v>
      </c>
      <c r="I98" s="564">
        <v>0</v>
      </c>
      <c r="J98" s="565"/>
      <c r="K98" s="566"/>
      <c r="L98" s="566"/>
      <c r="M98" s="566"/>
      <c r="N98" s="566"/>
      <c r="O98" s="566"/>
    </row>
    <row r="99" spans="1:15">
      <c r="A99" s="145">
        <v>703</v>
      </c>
      <c r="B99" s="563" t="s">
        <v>315</v>
      </c>
      <c r="C99" s="473">
        <v>1400</v>
      </c>
      <c r="D99" s="558">
        <v>114</v>
      </c>
      <c r="E99" s="558" t="s">
        <v>314</v>
      </c>
      <c r="F99" s="317">
        <v>1400</v>
      </c>
      <c r="G99" s="145">
        <v>0</v>
      </c>
      <c r="H99" s="473">
        <v>0</v>
      </c>
      <c r="I99" s="473">
        <v>0</v>
      </c>
      <c r="J99" s="466"/>
      <c r="K99" s="13"/>
      <c r="L99" s="13"/>
      <c r="M99" s="13"/>
      <c r="N99" s="13"/>
      <c r="O99" s="13"/>
    </row>
    <row r="100" spans="1:15">
      <c r="A100" s="145">
        <v>704</v>
      </c>
      <c r="B100" s="563" t="s">
        <v>316</v>
      </c>
      <c r="C100" s="473">
        <v>1300</v>
      </c>
      <c r="D100" s="558">
        <v>127</v>
      </c>
      <c r="E100" s="558" t="s">
        <v>314</v>
      </c>
      <c r="F100" s="317">
        <v>1673</v>
      </c>
      <c r="G100" s="145">
        <v>0</v>
      </c>
      <c r="H100" s="473">
        <v>0</v>
      </c>
      <c r="I100" s="473">
        <v>0</v>
      </c>
      <c r="J100" s="466"/>
      <c r="K100" s="13"/>
      <c r="L100" s="13"/>
      <c r="M100" s="13"/>
      <c r="N100" s="13"/>
      <c r="O100" s="13"/>
    </row>
    <row r="101" spans="1:15">
      <c r="A101" s="145">
        <v>705</v>
      </c>
      <c r="B101" s="563" t="s">
        <v>317</v>
      </c>
      <c r="C101" s="473">
        <v>1300</v>
      </c>
      <c r="D101" s="558">
        <v>127</v>
      </c>
      <c r="E101" s="558" t="s">
        <v>314</v>
      </c>
      <c r="F101" s="317">
        <v>1739</v>
      </c>
      <c r="G101" s="145">
        <v>0</v>
      </c>
      <c r="H101" s="473">
        <v>0</v>
      </c>
      <c r="I101" s="473">
        <v>0</v>
      </c>
      <c r="J101" s="466"/>
      <c r="K101" s="13"/>
      <c r="L101" s="13"/>
      <c r="M101" s="13"/>
      <c r="N101" s="13"/>
      <c r="O101" s="13"/>
    </row>
    <row r="102" spans="1:15">
      <c r="A102" s="145">
        <v>706</v>
      </c>
      <c r="B102" s="563" t="s">
        <v>318</v>
      </c>
      <c r="C102" s="473">
        <v>1250</v>
      </c>
      <c r="D102" s="558">
        <v>134</v>
      </c>
      <c r="E102" s="558" t="s">
        <v>314</v>
      </c>
      <c r="F102" s="317">
        <v>1250</v>
      </c>
      <c r="G102" s="145">
        <v>0</v>
      </c>
      <c r="H102" s="473">
        <v>0</v>
      </c>
      <c r="I102" s="473">
        <v>0</v>
      </c>
      <c r="J102" s="466"/>
      <c r="K102" s="13"/>
      <c r="L102" s="13"/>
      <c r="M102" s="13"/>
      <c r="N102" s="13"/>
      <c r="O102" s="13"/>
    </row>
    <row r="103" spans="1:15">
      <c r="A103" s="145">
        <v>707</v>
      </c>
      <c r="B103" s="560" t="s">
        <v>319</v>
      </c>
      <c r="C103" s="473">
        <v>2913</v>
      </c>
      <c r="D103" s="558">
        <v>0</v>
      </c>
      <c r="E103" s="558" t="s">
        <v>191</v>
      </c>
      <c r="F103" s="317">
        <v>3379</v>
      </c>
      <c r="G103" s="145">
        <v>0</v>
      </c>
      <c r="H103" s="473">
        <v>0</v>
      </c>
      <c r="I103" s="473">
        <v>0</v>
      </c>
      <c r="J103" s="466"/>
      <c r="K103" s="13"/>
      <c r="L103" s="13"/>
      <c r="M103" s="13"/>
      <c r="N103" s="13"/>
      <c r="O103" s="13"/>
    </row>
    <row r="104" spans="1:15">
      <c r="A104" s="145">
        <v>708</v>
      </c>
      <c r="B104" s="560" t="s">
        <v>320</v>
      </c>
      <c r="C104" s="473">
        <v>3146</v>
      </c>
      <c r="D104" s="558">
        <v>0</v>
      </c>
      <c r="E104" s="558" t="s">
        <v>191</v>
      </c>
      <c r="F104" s="317">
        <v>3612</v>
      </c>
      <c r="G104" s="145">
        <v>0</v>
      </c>
      <c r="H104" s="473">
        <v>0</v>
      </c>
      <c r="I104" s="473">
        <v>0</v>
      </c>
      <c r="J104" s="466"/>
      <c r="K104" s="13"/>
      <c r="L104" s="13"/>
      <c r="M104" s="13"/>
      <c r="N104" s="13"/>
      <c r="O104" s="13"/>
    </row>
    <row r="105" spans="1:15">
      <c r="A105" s="145">
        <v>709</v>
      </c>
      <c r="B105" s="560" t="s">
        <v>321</v>
      </c>
      <c r="C105" s="473">
        <v>2913</v>
      </c>
      <c r="D105" s="558">
        <v>0</v>
      </c>
      <c r="E105" s="558" t="s">
        <v>191</v>
      </c>
      <c r="F105" s="317">
        <v>3379</v>
      </c>
      <c r="G105" s="145">
        <v>0</v>
      </c>
      <c r="H105" s="473">
        <v>0</v>
      </c>
      <c r="I105" s="473">
        <v>0</v>
      </c>
      <c r="J105" s="466"/>
      <c r="K105" s="13"/>
      <c r="L105" s="13"/>
      <c r="M105" s="13"/>
      <c r="N105" s="13"/>
      <c r="O105" s="13"/>
    </row>
    <row r="106" spans="1:15">
      <c r="A106" s="145">
        <v>710</v>
      </c>
      <c r="B106" s="560" t="s">
        <v>322</v>
      </c>
      <c r="C106" s="473">
        <v>2913</v>
      </c>
      <c r="D106" s="558">
        <v>0</v>
      </c>
      <c r="E106" s="558" t="s">
        <v>191</v>
      </c>
      <c r="F106" s="317">
        <v>3379</v>
      </c>
      <c r="G106" s="145">
        <v>20</v>
      </c>
      <c r="H106" s="473">
        <v>0</v>
      </c>
      <c r="I106" s="473">
        <v>0</v>
      </c>
      <c r="J106" s="466"/>
      <c r="K106" s="13"/>
      <c r="L106" s="13"/>
      <c r="M106" s="13"/>
      <c r="N106" s="13"/>
      <c r="O106" s="13"/>
    </row>
    <row r="107" spans="1:15">
      <c r="A107" s="145">
        <v>711</v>
      </c>
      <c r="B107" s="560" t="s">
        <v>323</v>
      </c>
      <c r="C107" s="473">
        <v>2913</v>
      </c>
      <c r="D107" s="558">
        <v>0</v>
      </c>
      <c r="E107" s="558" t="s">
        <v>191</v>
      </c>
      <c r="F107" s="317">
        <v>3379</v>
      </c>
      <c r="G107" s="145">
        <v>0</v>
      </c>
      <c r="H107" s="473">
        <v>0</v>
      </c>
      <c r="I107" s="473">
        <v>0</v>
      </c>
      <c r="J107" s="466"/>
      <c r="K107" s="13"/>
      <c r="L107" s="13"/>
      <c r="M107" s="13"/>
      <c r="N107" s="13"/>
      <c r="O107" s="13"/>
    </row>
    <row r="108" spans="1:15">
      <c r="A108" s="145">
        <v>712</v>
      </c>
      <c r="B108" s="560" t="s">
        <v>324</v>
      </c>
      <c r="C108" s="473">
        <v>2913</v>
      </c>
      <c r="D108" s="558">
        <v>0</v>
      </c>
      <c r="E108" s="558" t="s">
        <v>191</v>
      </c>
      <c r="F108" s="317">
        <v>3379</v>
      </c>
      <c r="G108" s="145">
        <v>0</v>
      </c>
      <c r="H108" s="473">
        <v>0</v>
      </c>
      <c r="I108" s="473">
        <v>0</v>
      </c>
      <c r="J108" s="466"/>
      <c r="K108" s="13"/>
      <c r="L108" s="13"/>
      <c r="M108" s="13"/>
      <c r="N108" s="13"/>
      <c r="O108" s="13"/>
    </row>
    <row r="109" spans="1:15">
      <c r="A109" s="145">
        <v>713</v>
      </c>
      <c r="B109" s="560" t="s">
        <v>325</v>
      </c>
      <c r="C109" s="473">
        <v>2913</v>
      </c>
      <c r="D109" s="558">
        <v>0</v>
      </c>
      <c r="E109" s="558" t="s">
        <v>191</v>
      </c>
      <c r="F109" s="317">
        <v>3379</v>
      </c>
      <c r="G109" s="145">
        <v>0</v>
      </c>
      <c r="H109" s="473">
        <v>0</v>
      </c>
      <c r="I109" s="473">
        <v>0</v>
      </c>
      <c r="J109" s="466"/>
      <c r="K109" s="13"/>
      <c r="L109" s="13"/>
      <c r="M109" s="13"/>
      <c r="N109" s="13"/>
      <c r="O109" s="13"/>
    </row>
    <row r="110" spans="1:15">
      <c r="A110" s="145">
        <v>714</v>
      </c>
      <c r="B110" s="560" t="s">
        <v>326</v>
      </c>
      <c r="C110" s="473">
        <v>2913</v>
      </c>
      <c r="D110" s="558">
        <v>0</v>
      </c>
      <c r="E110" s="558" t="s">
        <v>185</v>
      </c>
      <c r="F110" s="317">
        <v>2913</v>
      </c>
      <c r="G110" s="145">
        <v>0</v>
      </c>
      <c r="H110" s="473">
        <v>0</v>
      </c>
      <c r="I110" s="473">
        <v>0</v>
      </c>
      <c r="J110" s="466"/>
      <c r="K110" s="13"/>
      <c r="L110" s="13"/>
      <c r="M110" s="13"/>
      <c r="N110" s="13"/>
      <c r="O110" s="13"/>
    </row>
    <row r="111" spans="1:15">
      <c r="A111" s="145">
        <v>715</v>
      </c>
      <c r="B111" s="560" t="s">
        <v>327</v>
      </c>
      <c r="C111" s="473">
        <v>1912</v>
      </c>
      <c r="D111" s="558">
        <v>47</v>
      </c>
      <c r="E111" s="558" t="s">
        <v>328</v>
      </c>
      <c r="F111" s="317">
        <v>2419</v>
      </c>
      <c r="G111" s="145">
        <v>0</v>
      </c>
      <c r="H111" s="473">
        <v>42</v>
      </c>
      <c r="I111" s="473">
        <v>0</v>
      </c>
      <c r="J111" s="466"/>
      <c r="K111" s="13"/>
      <c r="L111" s="13"/>
      <c r="M111" s="13"/>
      <c r="N111" s="13"/>
      <c r="O111" s="13"/>
    </row>
    <row r="112" spans="1:15">
      <c r="A112" s="145">
        <v>716</v>
      </c>
      <c r="B112" s="560" t="s">
        <v>329</v>
      </c>
      <c r="C112" s="473">
        <v>1942</v>
      </c>
      <c r="D112" s="558">
        <v>43</v>
      </c>
      <c r="E112" s="558" t="s">
        <v>330</v>
      </c>
      <c r="F112" s="317">
        <v>2373</v>
      </c>
      <c r="G112" s="145">
        <v>0</v>
      </c>
      <c r="H112" s="473">
        <v>0</v>
      </c>
      <c r="I112" s="473">
        <v>0</v>
      </c>
      <c r="J112" s="473">
        <v>782</v>
      </c>
      <c r="K112" s="13"/>
      <c r="L112" s="13"/>
      <c r="M112" s="13"/>
      <c r="N112" s="13"/>
      <c r="O112" s="13"/>
    </row>
    <row r="113" spans="1:15">
      <c r="A113" s="145">
        <v>717</v>
      </c>
      <c r="B113" s="560" t="s">
        <v>331</v>
      </c>
      <c r="C113" s="473">
        <v>2100</v>
      </c>
      <c r="D113" s="558">
        <v>23</v>
      </c>
      <c r="E113" s="558" t="s">
        <v>330</v>
      </c>
      <c r="F113" s="317">
        <v>2511</v>
      </c>
      <c r="G113" s="145">
        <v>150</v>
      </c>
      <c r="H113" s="473">
        <v>0</v>
      </c>
      <c r="I113" s="473">
        <v>0</v>
      </c>
      <c r="J113" s="466"/>
      <c r="K113" s="13"/>
      <c r="L113" s="13"/>
      <c r="M113" s="13"/>
      <c r="N113" s="13"/>
      <c r="O113" s="13"/>
    </row>
    <row r="114" spans="1:15">
      <c r="A114" s="145">
        <v>718</v>
      </c>
      <c r="B114" s="560" t="s">
        <v>332</v>
      </c>
      <c r="C114" s="473">
        <v>1942</v>
      </c>
      <c r="D114" s="558">
        <v>43</v>
      </c>
      <c r="E114" s="558" t="s">
        <v>330</v>
      </c>
      <c r="F114" s="317">
        <v>2373</v>
      </c>
      <c r="G114" s="145">
        <v>17</v>
      </c>
      <c r="H114" s="473">
        <v>0</v>
      </c>
      <c r="I114" s="473">
        <v>0</v>
      </c>
      <c r="J114" s="466"/>
      <c r="K114" s="13"/>
      <c r="L114" s="13"/>
      <c r="M114" s="13"/>
      <c r="N114" s="13"/>
      <c r="O114" s="13"/>
    </row>
    <row r="115" spans="1:15">
      <c r="A115" s="145">
        <v>719</v>
      </c>
      <c r="B115" s="560" t="s">
        <v>333</v>
      </c>
      <c r="C115" s="473">
        <v>1782</v>
      </c>
      <c r="D115" s="558">
        <v>64</v>
      </c>
      <c r="E115" s="558" t="s">
        <v>334</v>
      </c>
      <c r="F115" s="317">
        <v>2195</v>
      </c>
      <c r="G115" s="145">
        <v>0</v>
      </c>
      <c r="H115" s="473">
        <v>0</v>
      </c>
      <c r="I115" s="473">
        <v>0</v>
      </c>
      <c r="J115" s="473">
        <v>782</v>
      </c>
      <c r="K115" s="13"/>
      <c r="L115" s="13"/>
      <c r="M115" s="13"/>
      <c r="N115" s="13"/>
      <c r="O115" s="13"/>
    </row>
    <row r="116" spans="1:15">
      <c r="A116" s="145">
        <v>720</v>
      </c>
      <c r="B116" s="560" t="s">
        <v>335</v>
      </c>
      <c r="C116" s="473">
        <v>1782</v>
      </c>
      <c r="D116" s="558">
        <v>64</v>
      </c>
      <c r="E116" s="558" t="s">
        <v>334</v>
      </c>
      <c r="F116" s="317">
        <v>2195</v>
      </c>
      <c r="G116" s="145">
        <v>17</v>
      </c>
      <c r="H116" s="473">
        <v>0</v>
      </c>
      <c r="I116" s="473">
        <v>0</v>
      </c>
      <c r="J116" s="466"/>
      <c r="K116" s="13"/>
      <c r="L116" s="13"/>
      <c r="M116" s="13"/>
      <c r="N116" s="13"/>
      <c r="O116" s="13"/>
    </row>
    <row r="117" spans="1:15">
      <c r="A117" s="145">
        <v>721</v>
      </c>
      <c r="B117" s="560" t="s">
        <v>336</v>
      </c>
      <c r="C117" s="473">
        <v>1942</v>
      </c>
      <c r="D117" s="558">
        <v>43</v>
      </c>
      <c r="E117" s="558" t="s">
        <v>330</v>
      </c>
      <c r="F117" s="317">
        <v>2373</v>
      </c>
      <c r="G117" s="145">
        <v>150</v>
      </c>
      <c r="H117" s="473">
        <v>0</v>
      </c>
      <c r="I117" s="473">
        <v>0</v>
      </c>
      <c r="J117" s="466"/>
      <c r="K117" s="13"/>
      <c r="L117" s="13"/>
      <c r="M117" s="13"/>
      <c r="N117" s="13"/>
      <c r="O117" s="13"/>
    </row>
    <row r="118" spans="1:15">
      <c r="A118" s="145">
        <v>722</v>
      </c>
      <c r="B118" s="560" t="s">
        <v>337</v>
      </c>
      <c r="C118" s="473">
        <v>1692</v>
      </c>
      <c r="D118" s="558">
        <v>76</v>
      </c>
      <c r="E118" s="558" t="s">
        <v>338</v>
      </c>
      <c r="F118" s="317">
        <v>2040</v>
      </c>
      <c r="G118" s="145">
        <v>0</v>
      </c>
      <c r="H118" s="473">
        <v>0</v>
      </c>
      <c r="I118" s="473">
        <v>0</v>
      </c>
      <c r="J118" s="473">
        <v>744</v>
      </c>
      <c r="K118" s="13"/>
      <c r="L118" s="13"/>
      <c r="M118" s="13"/>
      <c r="N118" s="13"/>
      <c r="O118" s="13"/>
    </row>
    <row r="119" spans="1:15">
      <c r="A119" s="145">
        <v>723</v>
      </c>
      <c r="B119" s="560" t="s">
        <v>339</v>
      </c>
      <c r="C119" s="473">
        <v>1700</v>
      </c>
      <c r="D119" s="558">
        <v>75</v>
      </c>
      <c r="E119" s="558" t="s">
        <v>340</v>
      </c>
      <c r="F119" s="317">
        <v>2008</v>
      </c>
      <c r="G119" s="145">
        <v>0</v>
      </c>
      <c r="H119" s="473">
        <v>0</v>
      </c>
      <c r="I119" s="473">
        <v>0</v>
      </c>
      <c r="J119" s="473">
        <v>769</v>
      </c>
      <c r="K119" s="13"/>
      <c r="L119" s="13"/>
      <c r="M119" s="13"/>
      <c r="N119" s="13"/>
      <c r="O119" s="13"/>
    </row>
    <row r="120" spans="1:15">
      <c r="A120" s="145">
        <v>724</v>
      </c>
      <c r="B120" s="560" t="s">
        <v>341</v>
      </c>
      <c r="C120" s="473">
        <v>1942</v>
      </c>
      <c r="D120" s="558">
        <v>43</v>
      </c>
      <c r="E120" s="558" t="s">
        <v>342</v>
      </c>
      <c r="F120" s="317">
        <v>2451</v>
      </c>
      <c r="G120" s="145">
        <v>150</v>
      </c>
      <c r="H120" s="473">
        <v>0</v>
      </c>
      <c r="I120" s="473">
        <v>0</v>
      </c>
      <c r="J120" s="466"/>
      <c r="K120" s="13"/>
      <c r="L120" s="13"/>
      <c r="M120" s="13"/>
      <c r="N120" s="13"/>
      <c r="O120" s="13"/>
    </row>
    <row r="121" spans="1:15">
      <c r="A121" s="145">
        <v>725</v>
      </c>
      <c r="B121" s="560" t="s">
        <v>343</v>
      </c>
      <c r="C121" s="473">
        <v>1592</v>
      </c>
      <c r="D121" s="558">
        <v>89</v>
      </c>
      <c r="E121" s="558" t="s">
        <v>340</v>
      </c>
      <c r="F121" s="317">
        <v>1914</v>
      </c>
      <c r="G121" s="145">
        <v>0</v>
      </c>
      <c r="H121" s="473">
        <v>0</v>
      </c>
      <c r="I121" s="473">
        <v>0</v>
      </c>
      <c r="J121" s="473">
        <v>738</v>
      </c>
      <c r="K121" s="13"/>
      <c r="L121" s="13"/>
      <c r="M121" s="13"/>
      <c r="N121" s="13"/>
      <c r="O121" s="13"/>
    </row>
    <row r="122" spans="1:15">
      <c r="A122" s="145">
        <v>726</v>
      </c>
      <c r="B122" s="560" t="s">
        <v>344</v>
      </c>
      <c r="C122" s="473">
        <v>1500</v>
      </c>
      <c r="D122" s="558">
        <v>101</v>
      </c>
      <c r="E122" s="558" t="s">
        <v>185</v>
      </c>
      <c r="F122" s="317">
        <v>1601</v>
      </c>
      <c r="G122" s="145">
        <v>150</v>
      </c>
      <c r="H122" s="473">
        <v>0</v>
      </c>
      <c r="I122" s="473">
        <v>0</v>
      </c>
      <c r="J122" s="466"/>
      <c r="K122" s="13"/>
      <c r="L122" s="13"/>
      <c r="M122" s="13"/>
      <c r="N122" s="13"/>
      <c r="O122" s="13"/>
    </row>
    <row r="123" spans="1:15">
      <c r="A123" s="562">
        <v>727</v>
      </c>
      <c r="B123" s="567" t="s">
        <v>345</v>
      </c>
      <c r="C123" s="568">
        <v>1600</v>
      </c>
      <c r="D123" s="558">
        <v>88</v>
      </c>
      <c r="E123" s="558" t="s">
        <v>340</v>
      </c>
      <c r="F123" s="317">
        <v>1921</v>
      </c>
      <c r="G123" s="562">
        <v>0</v>
      </c>
      <c r="H123" s="564">
        <v>0</v>
      </c>
      <c r="I123" s="564">
        <v>0</v>
      </c>
      <c r="J123" s="473">
        <v>738</v>
      </c>
      <c r="K123" s="13"/>
      <c r="L123" s="13"/>
      <c r="M123" s="13"/>
      <c r="N123" s="13"/>
      <c r="O123" s="13"/>
    </row>
    <row r="124" spans="1:15">
      <c r="A124" s="145">
        <v>728</v>
      </c>
      <c r="B124" s="560" t="s">
        <v>346</v>
      </c>
      <c r="C124" s="473">
        <v>1360</v>
      </c>
      <c r="D124" s="558">
        <v>120</v>
      </c>
      <c r="E124" s="558" t="s">
        <v>340</v>
      </c>
      <c r="F124" s="317">
        <v>1713</v>
      </c>
      <c r="G124" s="145">
        <v>17</v>
      </c>
      <c r="H124" s="473">
        <v>0</v>
      </c>
      <c r="I124" s="473">
        <v>0</v>
      </c>
      <c r="J124" s="466"/>
      <c r="K124" s="13"/>
      <c r="L124" s="13"/>
      <c r="M124" s="13"/>
      <c r="N124" s="13"/>
      <c r="O124" s="13"/>
    </row>
    <row r="125" spans="1:15">
      <c r="A125" s="145">
        <v>729</v>
      </c>
      <c r="B125" s="560" t="s">
        <v>347</v>
      </c>
      <c r="C125" s="473">
        <v>1692</v>
      </c>
      <c r="D125" s="558">
        <v>76</v>
      </c>
      <c r="E125" s="558" t="s">
        <v>330</v>
      </c>
      <c r="F125" s="317">
        <v>2156</v>
      </c>
      <c r="G125" s="145">
        <v>0</v>
      </c>
      <c r="H125" s="473">
        <v>0</v>
      </c>
      <c r="I125" s="473">
        <v>0</v>
      </c>
      <c r="J125" s="466"/>
      <c r="K125" s="13"/>
      <c r="L125" s="13"/>
      <c r="M125" s="13"/>
      <c r="N125" s="13"/>
      <c r="O125" s="13"/>
    </row>
    <row r="126" spans="1:15">
      <c r="A126" s="145">
        <v>730</v>
      </c>
      <c r="B126" s="560" t="s">
        <v>348</v>
      </c>
      <c r="C126" s="473">
        <v>1700</v>
      </c>
      <c r="D126" s="558">
        <v>75</v>
      </c>
      <c r="E126" s="558" t="s">
        <v>330</v>
      </c>
      <c r="F126" s="317">
        <v>2163</v>
      </c>
      <c r="G126" s="145">
        <v>0</v>
      </c>
      <c r="H126" s="473">
        <v>0</v>
      </c>
      <c r="I126" s="473">
        <v>0</v>
      </c>
      <c r="J126" s="466"/>
      <c r="K126" s="13"/>
      <c r="L126" s="13"/>
      <c r="M126" s="13"/>
      <c r="N126" s="13"/>
      <c r="O126" s="13"/>
    </row>
    <row r="127" spans="1:15">
      <c r="A127" s="145">
        <v>731</v>
      </c>
      <c r="B127" s="560" t="s">
        <v>349</v>
      </c>
      <c r="C127" s="473">
        <v>1592</v>
      </c>
      <c r="D127" s="558">
        <v>89</v>
      </c>
      <c r="E127" s="558" t="s">
        <v>334</v>
      </c>
      <c r="F127" s="317">
        <v>2030</v>
      </c>
      <c r="G127" s="145">
        <v>0</v>
      </c>
      <c r="H127" s="473">
        <v>0</v>
      </c>
      <c r="I127" s="473">
        <v>0</v>
      </c>
      <c r="J127" s="466"/>
      <c r="K127" s="13"/>
      <c r="L127" s="13"/>
      <c r="M127" s="13"/>
      <c r="N127" s="13"/>
      <c r="O127" s="13"/>
    </row>
    <row r="128" spans="1:15">
      <c r="A128" s="145">
        <v>732</v>
      </c>
      <c r="B128" s="560" t="s">
        <v>350</v>
      </c>
      <c r="C128" s="473">
        <v>971</v>
      </c>
      <c r="D128" s="558" t="s">
        <v>230</v>
      </c>
      <c r="E128" s="558" t="s">
        <v>185</v>
      </c>
      <c r="F128" s="317">
        <v>1298</v>
      </c>
      <c r="G128" s="145">
        <v>150</v>
      </c>
      <c r="H128" s="473">
        <v>0</v>
      </c>
      <c r="I128" s="473">
        <v>0</v>
      </c>
      <c r="J128" s="466"/>
      <c r="K128" s="13"/>
      <c r="L128" s="13"/>
      <c r="M128" s="13"/>
      <c r="N128" s="13"/>
      <c r="O128" s="13"/>
    </row>
    <row r="129" spans="1:15">
      <c r="A129" s="145">
        <v>733</v>
      </c>
      <c r="B129" s="560" t="s">
        <v>351</v>
      </c>
      <c r="C129" s="473">
        <v>1150</v>
      </c>
      <c r="D129" s="558">
        <v>147</v>
      </c>
      <c r="E129" s="558" t="s">
        <v>185</v>
      </c>
      <c r="F129" s="317">
        <v>1297</v>
      </c>
      <c r="G129" s="145">
        <v>0</v>
      </c>
      <c r="H129" s="473">
        <v>0</v>
      </c>
      <c r="I129" s="473">
        <v>0</v>
      </c>
      <c r="J129" s="466"/>
      <c r="K129" s="13"/>
      <c r="L129" s="13"/>
      <c r="M129" s="13"/>
      <c r="N129" s="13"/>
      <c r="O129" s="13"/>
    </row>
    <row r="130" spans="1:15">
      <c r="A130" s="145">
        <v>734</v>
      </c>
      <c r="B130" s="560" t="s">
        <v>352</v>
      </c>
      <c r="C130" s="473">
        <v>1500</v>
      </c>
      <c r="D130" s="558">
        <v>101</v>
      </c>
      <c r="E130" s="558" t="s">
        <v>185</v>
      </c>
      <c r="F130" s="317">
        <v>1601</v>
      </c>
      <c r="G130" s="145">
        <v>150</v>
      </c>
      <c r="H130" s="473">
        <v>0</v>
      </c>
      <c r="I130" s="473">
        <v>0</v>
      </c>
      <c r="J130" s="466"/>
      <c r="K130" s="13"/>
      <c r="L130" s="13"/>
      <c r="M130" s="13"/>
      <c r="N130" s="13"/>
      <c r="O130" s="13"/>
    </row>
    <row r="131" spans="1:15">
      <c r="A131" s="145">
        <v>735</v>
      </c>
      <c r="B131" s="560" t="s">
        <v>353</v>
      </c>
      <c r="C131" s="473">
        <v>971</v>
      </c>
      <c r="D131" s="558" t="s">
        <v>230</v>
      </c>
      <c r="E131" s="558" t="s">
        <v>185</v>
      </c>
      <c r="F131" s="317">
        <v>1298</v>
      </c>
      <c r="G131" s="145">
        <v>150</v>
      </c>
      <c r="H131" s="473">
        <v>0</v>
      </c>
      <c r="I131" s="473">
        <v>0</v>
      </c>
      <c r="J131" s="466"/>
      <c r="K131" s="13"/>
      <c r="L131" s="13"/>
      <c r="M131" s="13"/>
      <c r="N131" s="13"/>
      <c r="O131" s="13"/>
    </row>
    <row r="132" spans="1:15">
      <c r="A132" s="145">
        <v>736</v>
      </c>
      <c r="B132" s="560" t="s">
        <v>354</v>
      </c>
      <c r="C132" s="473">
        <v>1600</v>
      </c>
      <c r="D132" s="558">
        <v>88</v>
      </c>
      <c r="E132" s="558" t="s">
        <v>330</v>
      </c>
      <c r="F132" s="317">
        <v>2076</v>
      </c>
      <c r="G132" s="145">
        <v>0</v>
      </c>
      <c r="H132" s="473">
        <v>0</v>
      </c>
      <c r="I132" s="473">
        <v>0</v>
      </c>
      <c r="J132" s="466"/>
      <c r="K132" s="13"/>
      <c r="L132" s="13"/>
      <c r="M132" s="13"/>
      <c r="N132" s="13"/>
      <c r="O132" s="13"/>
    </row>
    <row r="133" spans="1:15">
      <c r="A133" s="145">
        <v>737</v>
      </c>
      <c r="B133" s="560" t="s">
        <v>355</v>
      </c>
      <c r="C133" s="473">
        <v>971</v>
      </c>
      <c r="D133" s="558" t="s">
        <v>230</v>
      </c>
      <c r="E133" s="558" t="s">
        <v>185</v>
      </c>
      <c r="F133" s="317">
        <v>1298</v>
      </c>
      <c r="G133" s="145">
        <v>150</v>
      </c>
      <c r="H133" s="473">
        <v>0</v>
      </c>
      <c r="I133" s="473">
        <v>0</v>
      </c>
      <c r="J133" s="466"/>
      <c r="K133" s="13"/>
      <c r="L133" s="13"/>
      <c r="M133" s="13"/>
      <c r="N133" s="13"/>
      <c r="O133" s="13"/>
    </row>
    <row r="134" spans="1:15">
      <c r="A134" s="145">
        <v>738</v>
      </c>
      <c r="B134" s="560" t="s">
        <v>356</v>
      </c>
      <c r="C134" s="473">
        <v>971</v>
      </c>
      <c r="D134" s="558" t="s">
        <v>230</v>
      </c>
      <c r="E134" s="558" t="s">
        <v>185</v>
      </c>
      <c r="F134" s="317">
        <v>1298</v>
      </c>
      <c r="G134" s="145">
        <v>17</v>
      </c>
      <c r="H134" s="473">
        <v>0</v>
      </c>
      <c r="I134" s="473">
        <v>0</v>
      </c>
      <c r="J134" s="466"/>
      <c r="K134" s="13"/>
      <c r="L134" s="13"/>
      <c r="M134" s="13"/>
      <c r="N134" s="13"/>
      <c r="O134" s="13"/>
    </row>
    <row r="135" spans="1:15">
      <c r="A135" s="145">
        <v>739</v>
      </c>
      <c r="B135" s="560" t="s">
        <v>357</v>
      </c>
      <c r="C135" s="473">
        <v>971</v>
      </c>
      <c r="D135" s="558" t="s">
        <v>230</v>
      </c>
      <c r="E135" s="558" t="s">
        <v>185</v>
      </c>
      <c r="F135" s="317">
        <v>1298</v>
      </c>
      <c r="G135" s="145">
        <v>150</v>
      </c>
      <c r="H135" s="473">
        <v>0</v>
      </c>
      <c r="I135" s="473">
        <v>0</v>
      </c>
      <c r="J135" s="466"/>
      <c r="K135" s="13"/>
      <c r="L135" s="13"/>
      <c r="M135" s="13"/>
      <c r="N135" s="13"/>
      <c r="O135" s="13"/>
    </row>
    <row r="136" spans="1:15">
      <c r="A136" s="145">
        <v>740</v>
      </c>
      <c r="B136" s="560" t="s">
        <v>358</v>
      </c>
      <c r="C136" s="473">
        <v>971</v>
      </c>
      <c r="D136" s="558" t="s">
        <v>230</v>
      </c>
      <c r="E136" s="558" t="s">
        <v>185</v>
      </c>
      <c r="F136" s="317">
        <v>1298</v>
      </c>
      <c r="G136" s="145">
        <v>150</v>
      </c>
      <c r="H136" s="473">
        <v>0</v>
      </c>
      <c r="I136" s="473">
        <v>0</v>
      </c>
      <c r="J136" s="466"/>
      <c r="K136" s="13"/>
      <c r="L136" s="13"/>
      <c r="M136" s="13"/>
      <c r="N136" s="13"/>
      <c r="O136" s="13"/>
    </row>
    <row r="137" spans="1:15">
      <c r="A137" s="145">
        <v>741</v>
      </c>
      <c r="B137" s="560" t="s">
        <v>359</v>
      </c>
      <c r="C137" s="473">
        <v>1300</v>
      </c>
      <c r="D137" s="558">
        <v>127</v>
      </c>
      <c r="E137" s="558" t="s">
        <v>340</v>
      </c>
      <c r="F137" s="317">
        <v>1660</v>
      </c>
      <c r="G137" s="145">
        <v>0</v>
      </c>
      <c r="H137" s="473">
        <v>0</v>
      </c>
      <c r="I137" s="473">
        <v>0</v>
      </c>
      <c r="J137" s="466"/>
      <c r="K137" s="13"/>
      <c r="L137" s="13"/>
      <c r="M137" s="13"/>
      <c r="N137" s="13"/>
      <c r="O137" s="13"/>
    </row>
    <row r="138" spans="1:15">
      <c r="A138" s="145">
        <v>742</v>
      </c>
      <c r="B138" s="560" t="s">
        <v>360</v>
      </c>
      <c r="C138" s="473">
        <v>971</v>
      </c>
      <c r="D138" s="558" t="s">
        <v>230</v>
      </c>
      <c r="E138" s="558" t="s">
        <v>185</v>
      </c>
      <c r="F138" s="317">
        <v>1298</v>
      </c>
      <c r="G138" s="145">
        <v>150</v>
      </c>
      <c r="H138" s="473">
        <v>0</v>
      </c>
      <c r="I138" s="473">
        <v>0</v>
      </c>
      <c r="J138" s="466"/>
      <c r="K138" s="13"/>
      <c r="L138" s="13"/>
      <c r="M138" s="13"/>
      <c r="N138" s="13"/>
      <c r="O138" s="13"/>
    </row>
    <row r="139" spans="1:15">
      <c r="A139" s="569">
        <v>743</v>
      </c>
      <c r="B139" s="570" t="s">
        <v>361</v>
      </c>
      <c r="C139" s="571">
        <v>971</v>
      </c>
      <c r="D139" s="558" t="s">
        <v>230</v>
      </c>
      <c r="E139" s="558" t="s">
        <v>185</v>
      </c>
      <c r="F139" s="317">
        <v>1298</v>
      </c>
      <c r="G139" s="569">
        <v>17</v>
      </c>
      <c r="H139" s="571">
        <v>0</v>
      </c>
      <c r="I139" s="571">
        <v>0</v>
      </c>
      <c r="J139" s="466"/>
      <c r="K139" s="13"/>
      <c r="L139" s="13"/>
      <c r="M139" s="13"/>
      <c r="N139" s="13"/>
      <c r="O139" s="13"/>
    </row>
    <row r="140" spans="1:15">
      <c r="A140" s="145">
        <v>744</v>
      </c>
      <c r="B140" s="560" t="s">
        <v>362</v>
      </c>
      <c r="C140" s="473">
        <v>1400</v>
      </c>
      <c r="D140" s="558">
        <v>114</v>
      </c>
      <c r="E140" s="558" t="s">
        <v>340</v>
      </c>
      <c r="F140" s="317">
        <v>1747</v>
      </c>
      <c r="G140" s="145">
        <v>0</v>
      </c>
      <c r="H140" s="473">
        <v>0</v>
      </c>
      <c r="I140" s="473">
        <v>0</v>
      </c>
      <c r="J140" s="466"/>
      <c r="K140" s="13"/>
      <c r="L140" s="13"/>
      <c r="M140" s="13"/>
      <c r="N140" s="13"/>
      <c r="O140" s="13"/>
    </row>
    <row r="141" spans="1:15">
      <c r="A141" s="145">
        <v>745</v>
      </c>
      <c r="B141" s="560" t="s">
        <v>363</v>
      </c>
      <c r="C141" s="473">
        <v>1450</v>
      </c>
      <c r="D141" s="558">
        <v>107</v>
      </c>
      <c r="E141" s="558" t="s">
        <v>185</v>
      </c>
      <c r="F141" s="317">
        <v>1557</v>
      </c>
      <c r="G141" s="145">
        <v>0</v>
      </c>
      <c r="H141" s="473">
        <v>0</v>
      </c>
      <c r="I141" s="473">
        <v>0</v>
      </c>
      <c r="J141" s="466"/>
      <c r="K141" s="13"/>
      <c r="L141" s="13"/>
      <c r="M141" s="13"/>
      <c r="N141" s="13"/>
      <c r="O141" s="13"/>
    </row>
    <row r="142" spans="1:15">
      <c r="A142" s="145">
        <v>746</v>
      </c>
      <c r="B142" s="560" t="s">
        <v>364</v>
      </c>
      <c r="C142" s="473">
        <v>971</v>
      </c>
      <c r="D142" s="558" t="s">
        <v>230</v>
      </c>
      <c r="E142" s="558" t="s">
        <v>185</v>
      </c>
      <c r="F142" s="317">
        <v>1298</v>
      </c>
      <c r="G142" s="145">
        <v>150</v>
      </c>
      <c r="H142" s="473">
        <v>0</v>
      </c>
      <c r="I142" s="473">
        <v>0</v>
      </c>
      <c r="J142" s="466"/>
      <c r="K142" s="13"/>
      <c r="L142" s="13"/>
      <c r="M142" s="13"/>
      <c r="N142" s="13"/>
      <c r="O142" s="13"/>
    </row>
    <row r="143" spans="1:15">
      <c r="A143" s="145">
        <v>747</v>
      </c>
      <c r="B143" s="560" t="s">
        <v>365</v>
      </c>
      <c r="C143" s="473">
        <v>971</v>
      </c>
      <c r="D143" s="558" t="s">
        <v>230</v>
      </c>
      <c r="E143" s="558" t="s">
        <v>185</v>
      </c>
      <c r="F143" s="317">
        <v>1298</v>
      </c>
      <c r="G143" s="145">
        <v>0</v>
      </c>
      <c r="H143" s="473">
        <v>0</v>
      </c>
      <c r="I143" s="473">
        <v>0</v>
      </c>
      <c r="J143" s="466"/>
      <c r="K143" s="13"/>
      <c r="L143" s="13"/>
      <c r="M143" s="13"/>
      <c r="N143" s="13"/>
      <c r="O143" s="13"/>
    </row>
    <row r="144" spans="1:15">
      <c r="A144" s="145">
        <v>748</v>
      </c>
      <c r="B144" s="560" t="s">
        <v>366</v>
      </c>
      <c r="C144" s="473">
        <v>1250</v>
      </c>
      <c r="D144" s="558">
        <v>134</v>
      </c>
      <c r="E144" s="558" t="s">
        <v>340</v>
      </c>
      <c r="F144" s="317">
        <v>1617</v>
      </c>
      <c r="G144" s="145">
        <v>0</v>
      </c>
      <c r="H144" s="473">
        <v>0</v>
      </c>
      <c r="I144" s="473">
        <v>0</v>
      </c>
      <c r="J144" s="466"/>
      <c r="K144" s="13"/>
      <c r="L144" s="13"/>
      <c r="M144" s="13"/>
      <c r="N144" s="13"/>
      <c r="O144" s="13"/>
    </row>
    <row r="145" spans="1:15">
      <c r="A145" s="562">
        <v>749</v>
      </c>
      <c r="B145" s="563" t="s">
        <v>247</v>
      </c>
      <c r="C145" s="564">
        <v>971</v>
      </c>
      <c r="D145" s="558" t="s">
        <v>230</v>
      </c>
      <c r="E145" s="558" t="s">
        <v>185</v>
      </c>
      <c r="F145" s="317">
        <v>1298</v>
      </c>
      <c r="G145" s="562">
        <v>0</v>
      </c>
      <c r="H145" s="564">
        <v>0</v>
      </c>
      <c r="I145" s="564">
        <v>0</v>
      </c>
      <c r="J145" s="565"/>
      <c r="K145" s="566"/>
      <c r="L145" s="566"/>
      <c r="M145" s="566"/>
      <c r="N145" s="566"/>
      <c r="O145" s="566"/>
    </row>
    <row r="146" spans="1:15">
      <c r="A146" s="145">
        <v>750</v>
      </c>
      <c r="B146" s="560" t="s">
        <v>246</v>
      </c>
      <c r="C146" s="473">
        <v>971</v>
      </c>
      <c r="D146" s="558" t="s">
        <v>230</v>
      </c>
      <c r="E146" s="558" t="s">
        <v>185</v>
      </c>
      <c r="F146" s="317">
        <v>1298</v>
      </c>
      <c r="G146" s="145">
        <v>0</v>
      </c>
      <c r="H146" s="473">
        <v>0</v>
      </c>
      <c r="I146" s="473">
        <v>0</v>
      </c>
      <c r="J146" s="466"/>
      <c r="K146" s="13"/>
      <c r="L146" s="13"/>
      <c r="M146" s="13"/>
      <c r="N146" s="13"/>
      <c r="O146" s="13"/>
    </row>
    <row r="147" spans="1:15">
      <c r="A147" s="145">
        <v>751</v>
      </c>
      <c r="B147" s="572" t="s">
        <v>367</v>
      </c>
      <c r="C147" s="473">
        <v>1500</v>
      </c>
      <c r="D147" s="558">
        <v>101</v>
      </c>
      <c r="E147" s="558" t="s">
        <v>340</v>
      </c>
      <c r="F147" s="317">
        <v>1834</v>
      </c>
      <c r="G147" s="145">
        <v>150</v>
      </c>
      <c r="H147" s="473">
        <v>0</v>
      </c>
      <c r="I147" s="473">
        <v>0</v>
      </c>
      <c r="J147" s="466"/>
      <c r="K147" s="13"/>
      <c r="L147" s="13"/>
      <c r="M147" s="13"/>
      <c r="N147" s="13"/>
      <c r="O147" s="13"/>
    </row>
    <row r="148" spans="1:15">
      <c r="A148" s="145">
        <v>752</v>
      </c>
      <c r="B148" s="560" t="s">
        <v>368</v>
      </c>
      <c r="C148" s="473">
        <v>2913</v>
      </c>
      <c r="D148" s="558">
        <v>0</v>
      </c>
      <c r="E148" s="558" t="s">
        <v>185</v>
      </c>
      <c r="F148" s="317">
        <v>2913</v>
      </c>
      <c r="G148" s="145">
        <v>20</v>
      </c>
      <c r="H148" s="473">
        <v>0</v>
      </c>
      <c r="I148" s="473">
        <v>0</v>
      </c>
      <c r="J148" s="466"/>
      <c r="K148" s="13"/>
      <c r="L148" s="13"/>
      <c r="M148" s="13"/>
      <c r="N148" s="13"/>
      <c r="O148" s="13"/>
    </row>
    <row r="149" spans="1:15">
      <c r="A149" s="145">
        <v>753</v>
      </c>
      <c r="B149" s="560" t="s">
        <v>369</v>
      </c>
      <c r="C149" s="473">
        <v>1942</v>
      </c>
      <c r="D149" s="558">
        <v>43</v>
      </c>
      <c r="E149" s="558" t="s">
        <v>342</v>
      </c>
      <c r="F149" s="317">
        <v>2451</v>
      </c>
      <c r="G149" s="145">
        <v>150</v>
      </c>
      <c r="H149" s="473">
        <v>0</v>
      </c>
      <c r="I149" s="473">
        <v>0</v>
      </c>
      <c r="J149" s="466"/>
      <c r="K149" s="13"/>
      <c r="L149" s="13"/>
      <c r="M149" s="13"/>
      <c r="N149" s="13"/>
      <c r="O149" s="13"/>
    </row>
    <row r="150" spans="1:15">
      <c r="A150" s="145">
        <v>754</v>
      </c>
      <c r="B150" s="560" t="s">
        <v>370</v>
      </c>
      <c r="C150" s="473">
        <v>971</v>
      </c>
      <c r="D150" s="558" t="s">
        <v>230</v>
      </c>
      <c r="E150" s="558" t="s">
        <v>185</v>
      </c>
      <c r="F150" s="317">
        <v>1298</v>
      </c>
      <c r="G150" s="145">
        <v>0</v>
      </c>
      <c r="H150" s="473">
        <v>0</v>
      </c>
      <c r="I150" s="473">
        <v>0</v>
      </c>
      <c r="J150" s="466"/>
      <c r="K150" s="13"/>
      <c r="L150" s="13"/>
      <c r="M150" s="13"/>
      <c r="N150" s="13"/>
      <c r="O150" s="13"/>
    </row>
    <row r="151" spans="1:15">
      <c r="A151" s="145">
        <v>755</v>
      </c>
      <c r="B151" s="560" t="s">
        <v>371</v>
      </c>
      <c r="C151" s="473">
        <v>971</v>
      </c>
      <c r="D151" s="558" t="s">
        <v>230</v>
      </c>
      <c r="E151" s="558" t="s">
        <v>185</v>
      </c>
      <c r="F151" s="317">
        <v>1298</v>
      </c>
      <c r="G151" s="145">
        <v>0</v>
      </c>
      <c r="H151" s="473">
        <v>0</v>
      </c>
      <c r="I151" s="473">
        <v>0</v>
      </c>
      <c r="J151" s="466"/>
      <c r="K151" s="13"/>
      <c r="L151" s="13"/>
      <c r="M151" s="13"/>
      <c r="N151" s="13"/>
      <c r="O151" s="13"/>
    </row>
    <row r="152" spans="1:15">
      <c r="A152" s="145">
        <v>756</v>
      </c>
      <c r="B152" s="560" t="s">
        <v>372</v>
      </c>
      <c r="C152" s="473">
        <v>1290</v>
      </c>
      <c r="D152" s="558">
        <v>128</v>
      </c>
      <c r="E152" s="558" t="s">
        <v>373</v>
      </c>
      <c r="F152" s="317">
        <v>1650</v>
      </c>
      <c r="G152" s="145">
        <v>0</v>
      </c>
      <c r="H152" s="473">
        <v>0</v>
      </c>
      <c r="I152" s="473">
        <v>0</v>
      </c>
      <c r="J152" s="466"/>
      <c r="K152" s="13"/>
      <c r="L152" s="13"/>
      <c r="M152" s="13"/>
      <c r="N152" s="13"/>
      <c r="O152" s="13"/>
    </row>
    <row r="153" spans="1:15">
      <c r="A153" s="145">
        <v>757</v>
      </c>
      <c r="B153" s="560" t="s">
        <v>374</v>
      </c>
      <c r="C153" s="473">
        <v>971</v>
      </c>
      <c r="D153" s="558" t="s">
        <v>230</v>
      </c>
      <c r="E153" s="558" t="s">
        <v>185</v>
      </c>
      <c r="F153" s="317">
        <v>1298</v>
      </c>
      <c r="G153" s="145">
        <v>0</v>
      </c>
      <c r="H153" s="473">
        <v>0</v>
      </c>
      <c r="I153" s="473">
        <v>0</v>
      </c>
      <c r="J153" s="466"/>
      <c r="K153" s="13"/>
      <c r="L153" s="13"/>
      <c r="M153" s="13"/>
      <c r="N153" s="13"/>
      <c r="O153" s="13"/>
    </row>
    <row r="154" spans="1:15">
      <c r="A154" s="145">
        <v>758</v>
      </c>
      <c r="B154" s="560" t="s">
        <v>375</v>
      </c>
      <c r="C154" s="473">
        <v>971</v>
      </c>
      <c r="D154" s="558" t="s">
        <v>230</v>
      </c>
      <c r="E154" s="558" t="s">
        <v>185</v>
      </c>
      <c r="F154" s="317">
        <v>1298</v>
      </c>
      <c r="G154" s="145">
        <v>0</v>
      </c>
      <c r="H154" s="473">
        <v>0</v>
      </c>
      <c r="I154" s="473">
        <v>0</v>
      </c>
      <c r="J154" s="466"/>
      <c r="K154" s="13"/>
      <c r="L154" s="13"/>
      <c r="M154" s="13"/>
      <c r="N154" s="13"/>
      <c r="O154" s="13"/>
    </row>
    <row r="155" spans="1:15">
      <c r="A155" s="145">
        <v>759</v>
      </c>
      <c r="B155" s="560" t="s">
        <v>376</v>
      </c>
      <c r="C155" s="473">
        <v>971</v>
      </c>
      <c r="D155" s="558" t="s">
        <v>230</v>
      </c>
      <c r="E155" s="558" t="s">
        <v>185</v>
      </c>
      <c r="F155" s="317">
        <v>1298</v>
      </c>
      <c r="G155" s="145">
        <v>150</v>
      </c>
      <c r="H155" s="473">
        <v>0</v>
      </c>
      <c r="I155" s="473">
        <v>0</v>
      </c>
      <c r="J155" s="466"/>
      <c r="K155" s="13"/>
      <c r="L155" s="13"/>
      <c r="M155" s="13"/>
      <c r="N155" s="13"/>
      <c r="O155" s="13"/>
    </row>
    <row r="156" spans="1:15">
      <c r="A156" s="145">
        <v>760</v>
      </c>
      <c r="B156" s="560" t="s">
        <v>377</v>
      </c>
      <c r="C156" s="473">
        <v>1400</v>
      </c>
      <c r="D156" s="558">
        <v>114</v>
      </c>
      <c r="E156" s="558" t="s">
        <v>185</v>
      </c>
      <c r="F156" s="317">
        <v>1514</v>
      </c>
      <c r="G156" s="145">
        <v>0</v>
      </c>
      <c r="H156" s="473">
        <v>0</v>
      </c>
      <c r="I156" s="473">
        <v>0</v>
      </c>
      <c r="J156" s="466"/>
      <c r="K156" s="13"/>
      <c r="L156" s="13"/>
      <c r="M156" s="13"/>
      <c r="N156" s="13"/>
      <c r="O156" s="13"/>
    </row>
    <row r="157" spans="1:15">
      <c r="A157" s="145">
        <v>761</v>
      </c>
      <c r="B157" s="560" t="s">
        <v>378</v>
      </c>
      <c r="C157" s="473">
        <v>1700</v>
      </c>
      <c r="D157" s="558">
        <v>75</v>
      </c>
      <c r="E157" s="558" t="s">
        <v>338</v>
      </c>
      <c r="F157" s="317">
        <v>2047</v>
      </c>
      <c r="G157" s="145">
        <v>150</v>
      </c>
      <c r="H157" s="473">
        <v>0</v>
      </c>
      <c r="I157" s="473">
        <v>0</v>
      </c>
      <c r="J157" s="466"/>
      <c r="K157" s="13"/>
      <c r="L157" s="13"/>
      <c r="M157" s="13"/>
      <c r="N157" s="13"/>
      <c r="O157" s="13"/>
    </row>
    <row r="158" spans="1:15">
      <c r="A158" s="145">
        <v>762</v>
      </c>
      <c r="B158" s="560" t="s">
        <v>379</v>
      </c>
      <c r="C158" s="473">
        <v>971</v>
      </c>
      <c r="D158" s="558" t="s">
        <v>230</v>
      </c>
      <c r="E158" s="558" t="s">
        <v>185</v>
      </c>
      <c r="F158" s="317">
        <v>1298</v>
      </c>
      <c r="G158" s="145">
        <v>0</v>
      </c>
      <c r="H158" s="473">
        <v>0</v>
      </c>
      <c r="I158" s="473">
        <v>0</v>
      </c>
      <c r="J158" s="466"/>
      <c r="K158" s="13"/>
      <c r="L158" s="13"/>
      <c r="M158" s="13"/>
      <c r="N158" s="13"/>
      <c r="O158" s="13"/>
    </row>
    <row r="159" spans="1:15">
      <c r="A159" s="145">
        <v>763</v>
      </c>
      <c r="B159" s="560" t="s">
        <v>380</v>
      </c>
      <c r="C159" s="473">
        <v>971</v>
      </c>
      <c r="D159" s="558" t="s">
        <v>230</v>
      </c>
      <c r="E159" s="558" t="s">
        <v>185</v>
      </c>
      <c r="F159" s="317">
        <v>1298</v>
      </c>
      <c r="G159" s="145">
        <v>0</v>
      </c>
      <c r="H159" s="473">
        <v>0</v>
      </c>
      <c r="I159" s="473">
        <v>0</v>
      </c>
      <c r="J159" s="466"/>
      <c r="K159" s="13"/>
      <c r="L159" s="13"/>
      <c r="M159" s="13"/>
      <c r="N159" s="13"/>
      <c r="O159" s="13"/>
    </row>
    <row r="160" spans="1:15">
      <c r="A160" s="145">
        <v>764</v>
      </c>
      <c r="B160" s="560" t="s">
        <v>381</v>
      </c>
      <c r="C160" s="473">
        <v>1500</v>
      </c>
      <c r="D160" s="558">
        <v>101</v>
      </c>
      <c r="E160" s="558" t="s">
        <v>185</v>
      </c>
      <c r="F160" s="317">
        <v>1601</v>
      </c>
      <c r="G160" s="145">
        <v>150</v>
      </c>
      <c r="H160" s="473">
        <v>0</v>
      </c>
      <c r="I160" s="473">
        <v>0</v>
      </c>
      <c r="J160" s="466"/>
      <c r="K160" s="13"/>
      <c r="L160" s="13"/>
      <c r="M160" s="13"/>
      <c r="N160" s="13"/>
      <c r="O160" s="13"/>
    </row>
    <row r="161" spans="1:15">
      <c r="A161" s="145">
        <v>765</v>
      </c>
      <c r="B161" s="560" t="s">
        <v>382</v>
      </c>
      <c r="C161" s="473">
        <v>1500</v>
      </c>
      <c r="D161" s="558">
        <v>101</v>
      </c>
      <c r="E161" s="558" t="s">
        <v>185</v>
      </c>
      <c r="F161" s="317">
        <v>1601</v>
      </c>
      <c r="G161" s="145">
        <v>150</v>
      </c>
      <c r="H161" s="473">
        <v>0</v>
      </c>
      <c r="I161" s="473">
        <v>0</v>
      </c>
      <c r="J161" s="466"/>
      <c r="K161" s="13"/>
      <c r="L161" s="13"/>
      <c r="M161" s="13"/>
      <c r="N161" s="13"/>
      <c r="O161" s="13"/>
    </row>
    <row r="162" spans="1:15">
      <c r="A162" s="145">
        <v>766</v>
      </c>
      <c r="B162" s="560" t="s">
        <v>383</v>
      </c>
      <c r="C162" s="473">
        <v>1942</v>
      </c>
      <c r="D162" s="558">
        <v>43</v>
      </c>
      <c r="E162" s="558" t="s">
        <v>342</v>
      </c>
      <c r="F162" s="317">
        <v>2451</v>
      </c>
      <c r="G162" s="145">
        <v>150</v>
      </c>
      <c r="H162" s="473">
        <v>0</v>
      </c>
      <c r="I162" s="473">
        <v>0</v>
      </c>
      <c r="J162" s="466"/>
      <c r="K162" s="13"/>
      <c r="L162" s="13"/>
      <c r="M162" s="13"/>
      <c r="N162" s="13"/>
      <c r="O162" s="13"/>
    </row>
    <row r="163" spans="1:15">
      <c r="A163" s="145">
        <v>767</v>
      </c>
      <c r="B163" s="560" t="s">
        <v>384</v>
      </c>
      <c r="C163" s="473">
        <v>1700</v>
      </c>
      <c r="D163" s="558">
        <v>75</v>
      </c>
      <c r="E163" s="558" t="s">
        <v>373</v>
      </c>
      <c r="F163" s="317">
        <v>2007</v>
      </c>
      <c r="G163" s="145">
        <v>150</v>
      </c>
      <c r="H163" s="473">
        <v>0</v>
      </c>
      <c r="I163" s="473">
        <v>0</v>
      </c>
      <c r="J163" s="466"/>
      <c r="K163" s="13"/>
      <c r="L163" s="13"/>
      <c r="M163" s="13"/>
      <c r="N163" s="13"/>
      <c r="O163" s="13"/>
    </row>
    <row r="164" spans="1:15">
      <c r="A164" s="145">
        <v>768</v>
      </c>
      <c r="B164" s="560" t="s">
        <v>385</v>
      </c>
      <c r="C164" s="473">
        <v>971</v>
      </c>
      <c r="D164" s="558" t="s">
        <v>230</v>
      </c>
      <c r="E164" s="558" t="s">
        <v>185</v>
      </c>
      <c r="F164" s="317">
        <v>1298</v>
      </c>
      <c r="G164" s="145">
        <v>150</v>
      </c>
      <c r="H164" s="473">
        <v>0</v>
      </c>
      <c r="I164" s="473">
        <v>0</v>
      </c>
      <c r="J164" s="466"/>
      <c r="K164" s="13"/>
      <c r="L164" s="13"/>
      <c r="M164" s="13"/>
      <c r="N164" s="13"/>
      <c r="O164" s="13"/>
    </row>
    <row r="165" spans="1:15">
      <c r="A165" s="145">
        <v>769</v>
      </c>
      <c r="B165" s="560" t="s">
        <v>386</v>
      </c>
      <c r="C165" s="473">
        <v>2913</v>
      </c>
      <c r="D165" s="558">
        <v>0</v>
      </c>
      <c r="E165" s="558" t="s">
        <v>185</v>
      </c>
      <c r="F165" s="317">
        <v>2913</v>
      </c>
      <c r="G165" s="145">
        <v>0</v>
      </c>
      <c r="H165" s="473">
        <v>0</v>
      </c>
      <c r="I165" s="473">
        <v>0</v>
      </c>
      <c r="J165" s="466"/>
      <c r="K165" s="13"/>
      <c r="L165" s="13"/>
      <c r="M165" s="13"/>
      <c r="N165" s="13"/>
      <c r="O165" s="13"/>
    </row>
    <row r="166" spans="1:15">
      <c r="A166" s="145">
        <v>770</v>
      </c>
      <c r="B166" s="560" t="s">
        <v>387</v>
      </c>
      <c r="C166" s="473">
        <v>2913</v>
      </c>
      <c r="D166" s="558">
        <v>0</v>
      </c>
      <c r="E166" s="558" t="s">
        <v>388</v>
      </c>
      <c r="F166" s="317">
        <v>3689</v>
      </c>
      <c r="G166" s="145">
        <v>0</v>
      </c>
      <c r="H166" s="473">
        <v>0</v>
      </c>
      <c r="I166" s="473">
        <v>0</v>
      </c>
      <c r="J166" s="466"/>
      <c r="K166" s="13"/>
      <c r="L166" s="13"/>
      <c r="M166" s="13"/>
      <c r="N166" s="13"/>
      <c r="O166" s="13"/>
    </row>
    <row r="167" spans="1:15">
      <c r="A167" s="145">
        <v>771</v>
      </c>
      <c r="B167" s="560" t="s">
        <v>389</v>
      </c>
      <c r="C167" s="473">
        <v>971</v>
      </c>
      <c r="D167" s="558" t="s">
        <v>230</v>
      </c>
      <c r="E167" s="558" t="s">
        <v>185</v>
      </c>
      <c r="F167" s="317">
        <v>1298</v>
      </c>
      <c r="G167" s="145">
        <v>0</v>
      </c>
      <c r="H167" s="473">
        <v>0</v>
      </c>
      <c r="I167" s="473">
        <v>620</v>
      </c>
      <c r="J167" s="466"/>
      <c r="K167" s="13"/>
      <c r="L167" s="13"/>
      <c r="M167" s="13"/>
      <c r="N167" s="13"/>
      <c r="O167" s="13"/>
    </row>
    <row r="168" spans="1:15">
      <c r="A168" s="145">
        <v>772</v>
      </c>
      <c r="B168" s="560" t="s">
        <v>390</v>
      </c>
      <c r="C168" s="473">
        <v>971</v>
      </c>
      <c r="D168" s="558" t="s">
        <v>230</v>
      </c>
      <c r="E168" s="558" t="s">
        <v>185</v>
      </c>
      <c r="F168" s="317">
        <v>1298</v>
      </c>
      <c r="G168" s="145">
        <v>0</v>
      </c>
      <c r="H168" s="473">
        <v>0</v>
      </c>
      <c r="I168" s="473">
        <v>620</v>
      </c>
      <c r="J168" s="466"/>
      <c r="K168" s="13"/>
      <c r="L168" s="13"/>
      <c r="M168" s="13"/>
      <c r="N168" s="13"/>
      <c r="O168" s="13"/>
    </row>
    <row r="169" spans="1:15">
      <c r="A169" s="145">
        <v>773</v>
      </c>
      <c r="B169" s="560" t="s">
        <v>391</v>
      </c>
      <c r="C169" s="473">
        <v>1942</v>
      </c>
      <c r="D169" s="558">
        <v>43</v>
      </c>
      <c r="E169" s="558" t="s">
        <v>342</v>
      </c>
      <c r="F169" s="317">
        <v>2451</v>
      </c>
      <c r="G169" s="145">
        <v>0</v>
      </c>
      <c r="H169" s="473">
        <v>0</v>
      </c>
      <c r="I169" s="473">
        <v>669</v>
      </c>
      <c r="J169" s="466"/>
      <c r="K169" s="13"/>
      <c r="L169" s="13"/>
      <c r="M169" s="13"/>
      <c r="N169" s="13"/>
      <c r="O169" s="13"/>
    </row>
    <row r="170" spans="1:15">
      <c r="A170" s="145">
        <v>774</v>
      </c>
      <c r="B170" s="560" t="s">
        <v>392</v>
      </c>
      <c r="C170" s="473">
        <v>1700</v>
      </c>
      <c r="D170" s="558">
        <v>75</v>
      </c>
      <c r="E170" s="558" t="s">
        <v>393</v>
      </c>
      <c r="F170" s="317">
        <v>2085</v>
      </c>
      <c r="G170" s="145">
        <v>0</v>
      </c>
      <c r="H170" s="473">
        <v>0</v>
      </c>
      <c r="I170" s="473">
        <v>657</v>
      </c>
      <c r="J170" s="466"/>
      <c r="K170" s="13"/>
      <c r="L170" s="13"/>
      <c r="M170" s="13"/>
      <c r="N170" s="13"/>
      <c r="O170" s="13"/>
    </row>
    <row r="171" spans="1:15">
      <c r="A171" s="145">
        <v>775</v>
      </c>
      <c r="B171" s="560" t="s">
        <v>394</v>
      </c>
      <c r="C171" s="473">
        <v>1400</v>
      </c>
      <c r="D171" s="558">
        <v>114</v>
      </c>
      <c r="E171" s="558" t="s">
        <v>340</v>
      </c>
      <c r="F171" s="317">
        <v>1747</v>
      </c>
      <c r="G171" s="145">
        <v>150</v>
      </c>
      <c r="H171" s="473">
        <v>0</v>
      </c>
      <c r="I171" s="473">
        <v>0</v>
      </c>
      <c r="J171" s="466"/>
      <c r="K171" s="13"/>
      <c r="L171" s="13"/>
      <c r="M171" s="13"/>
      <c r="N171" s="13"/>
      <c r="O171" s="13"/>
    </row>
    <row r="172" spans="1:15">
      <c r="A172" s="145">
        <v>776</v>
      </c>
      <c r="B172" s="560" t="s">
        <v>395</v>
      </c>
      <c r="C172" s="473">
        <v>971</v>
      </c>
      <c r="D172" s="558" t="s">
        <v>230</v>
      </c>
      <c r="E172" s="558" t="s">
        <v>185</v>
      </c>
      <c r="F172" s="317">
        <v>1298</v>
      </c>
      <c r="G172" s="145">
        <v>0</v>
      </c>
      <c r="H172" s="473">
        <v>0</v>
      </c>
      <c r="I172" s="473">
        <v>0</v>
      </c>
      <c r="J172" s="466"/>
      <c r="K172" s="13"/>
      <c r="L172" s="13"/>
      <c r="M172" s="13"/>
      <c r="N172" s="13"/>
      <c r="O172" s="13"/>
    </row>
    <row r="173" spans="1:15">
      <c r="A173" s="145">
        <v>777</v>
      </c>
      <c r="B173" s="560" t="s">
        <v>396</v>
      </c>
      <c r="C173" s="473">
        <v>971</v>
      </c>
      <c r="D173" s="558" t="s">
        <v>230</v>
      </c>
      <c r="E173" s="558" t="s">
        <v>185</v>
      </c>
      <c r="F173" s="317">
        <v>1298</v>
      </c>
      <c r="G173" s="145">
        <v>0</v>
      </c>
      <c r="H173" s="473">
        <v>0</v>
      </c>
      <c r="I173" s="473">
        <v>155</v>
      </c>
      <c r="J173" s="466"/>
      <c r="K173" s="13"/>
      <c r="L173" s="13"/>
      <c r="M173" s="13"/>
      <c r="N173" s="13"/>
      <c r="O173" s="13"/>
    </row>
    <row r="174" spans="1:15">
      <c r="A174" s="145">
        <v>778</v>
      </c>
      <c r="B174" s="560" t="s">
        <v>397</v>
      </c>
      <c r="C174" s="473">
        <v>1692</v>
      </c>
      <c r="D174" s="558">
        <v>76</v>
      </c>
      <c r="E174" s="558" t="s">
        <v>338</v>
      </c>
      <c r="F174" s="317">
        <v>2040</v>
      </c>
      <c r="G174" s="145">
        <v>17</v>
      </c>
      <c r="H174" s="473">
        <v>0</v>
      </c>
      <c r="I174" s="473">
        <v>0</v>
      </c>
      <c r="J174" s="466"/>
      <c r="K174" s="13"/>
      <c r="L174" s="13"/>
      <c r="M174" s="13"/>
      <c r="N174" s="13"/>
      <c r="O174" s="13"/>
    </row>
    <row r="175" spans="1:15">
      <c r="A175" s="145">
        <v>779</v>
      </c>
      <c r="B175" s="561" t="s">
        <v>398</v>
      </c>
      <c r="C175" s="473">
        <v>853</v>
      </c>
      <c r="D175" s="558" t="s">
        <v>230</v>
      </c>
      <c r="E175" s="558" t="s">
        <v>185</v>
      </c>
      <c r="F175" s="317">
        <v>1180</v>
      </c>
      <c r="G175" s="145">
        <v>0</v>
      </c>
      <c r="H175" s="473">
        <v>0</v>
      </c>
      <c r="I175" s="473">
        <v>0</v>
      </c>
      <c r="J175" s="466"/>
      <c r="K175" s="13"/>
      <c r="L175" s="13"/>
      <c r="M175" s="13"/>
      <c r="N175" s="13"/>
      <c r="O175" s="13"/>
    </row>
    <row r="176" spans="1:15">
      <c r="A176" s="145">
        <v>780</v>
      </c>
      <c r="B176" s="560" t="s">
        <v>399</v>
      </c>
      <c r="C176" s="473">
        <v>3146</v>
      </c>
      <c r="D176" s="558">
        <v>0</v>
      </c>
      <c r="E176" s="558" t="s">
        <v>185</v>
      </c>
      <c r="F176" s="317">
        <v>3146</v>
      </c>
      <c r="G176" s="145">
        <v>0</v>
      </c>
      <c r="H176" s="473">
        <v>0</v>
      </c>
      <c r="I176" s="473">
        <v>0</v>
      </c>
      <c r="J176" s="466"/>
      <c r="K176" s="13"/>
      <c r="L176" s="13"/>
      <c r="M176" s="13"/>
      <c r="N176" s="13"/>
      <c r="O176" s="13"/>
    </row>
    <row r="177" spans="1:15">
      <c r="A177" s="145">
        <v>781</v>
      </c>
      <c r="B177" s="560" t="s">
        <v>400</v>
      </c>
      <c r="C177" s="473">
        <v>2288</v>
      </c>
      <c r="D177" s="558">
        <v>0</v>
      </c>
      <c r="E177" s="558" t="s">
        <v>185</v>
      </c>
      <c r="F177" s="317">
        <v>2288</v>
      </c>
      <c r="G177" s="145">
        <v>0</v>
      </c>
      <c r="H177" s="473">
        <v>0</v>
      </c>
      <c r="I177" s="473">
        <v>0</v>
      </c>
      <c r="J177" s="466"/>
      <c r="K177" s="13"/>
      <c r="L177" s="13"/>
      <c r="M177" s="13"/>
      <c r="N177" s="13"/>
      <c r="O177" s="13"/>
    </row>
    <row r="178" spans="1:15">
      <c r="A178" s="145">
        <v>783</v>
      </c>
      <c r="B178" s="560" t="s">
        <v>401</v>
      </c>
      <c r="C178" s="473">
        <v>690</v>
      </c>
      <c r="D178" s="558" t="s">
        <v>230</v>
      </c>
      <c r="E178" s="558" t="s">
        <v>185</v>
      </c>
      <c r="F178" s="317">
        <v>1017</v>
      </c>
      <c r="G178" s="145">
        <v>0</v>
      </c>
      <c r="H178" s="473">
        <v>0</v>
      </c>
      <c r="I178" s="473">
        <v>0</v>
      </c>
      <c r="J178" s="466"/>
      <c r="K178" s="13"/>
      <c r="L178" s="13"/>
      <c r="M178" s="13"/>
      <c r="N178" s="13"/>
      <c r="O178" s="13"/>
    </row>
    <row r="179" spans="1:15">
      <c r="A179" s="145">
        <v>784</v>
      </c>
      <c r="B179" s="572" t="s">
        <v>402</v>
      </c>
      <c r="C179" s="573">
        <v>1600</v>
      </c>
      <c r="D179" s="558">
        <v>88</v>
      </c>
      <c r="E179" s="558" t="s">
        <v>340</v>
      </c>
      <c r="F179" s="317">
        <v>1921</v>
      </c>
      <c r="G179" s="145">
        <v>0</v>
      </c>
      <c r="H179" s="473">
        <v>0</v>
      </c>
      <c r="I179" s="473">
        <v>0</v>
      </c>
      <c r="J179" s="466"/>
      <c r="K179" s="13"/>
      <c r="L179" s="13"/>
      <c r="M179" s="13"/>
      <c r="N179" s="13"/>
      <c r="O179" s="13"/>
    </row>
    <row r="180" spans="1:15">
      <c r="A180" s="574">
        <v>785</v>
      </c>
      <c r="B180" s="572" t="s">
        <v>403</v>
      </c>
      <c r="C180" s="573">
        <v>1782</v>
      </c>
      <c r="D180" s="558">
        <v>64</v>
      </c>
      <c r="E180" s="558" t="s">
        <v>330</v>
      </c>
      <c r="F180" s="317">
        <v>2234</v>
      </c>
      <c r="G180" s="145">
        <v>17</v>
      </c>
      <c r="H180" s="473">
        <v>0</v>
      </c>
      <c r="I180" s="473">
        <v>0</v>
      </c>
      <c r="J180" s="466"/>
      <c r="K180" s="13"/>
      <c r="L180" s="13"/>
      <c r="M180" s="13"/>
      <c r="N180" s="13"/>
      <c r="O180" s="13"/>
    </row>
    <row r="181" spans="1:15">
      <c r="A181" s="574">
        <v>787</v>
      </c>
      <c r="B181" s="572" t="s">
        <v>404</v>
      </c>
      <c r="C181" s="573">
        <v>1700</v>
      </c>
      <c r="D181" s="558">
        <v>75</v>
      </c>
      <c r="E181" s="558" t="s">
        <v>340</v>
      </c>
      <c r="F181" s="317">
        <v>2008</v>
      </c>
      <c r="G181" s="145">
        <v>17</v>
      </c>
      <c r="H181" s="473">
        <v>0</v>
      </c>
      <c r="I181" s="473">
        <v>0</v>
      </c>
      <c r="J181" s="466"/>
      <c r="K181" s="13"/>
      <c r="L181" s="13"/>
      <c r="M181" s="13"/>
      <c r="N181" s="13"/>
      <c r="O181" s="13"/>
    </row>
    <row r="182" spans="1:15">
      <c r="A182" s="145">
        <v>788</v>
      </c>
      <c r="B182" s="560" t="s">
        <v>405</v>
      </c>
      <c r="C182" s="473">
        <v>2000</v>
      </c>
      <c r="D182" s="558">
        <v>36</v>
      </c>
      <c r="E182" s="558" t="s">
        <v>185</v>
      </c>
      <c r="F182" s="317">
        <v>2036</v>
      </c>
      <c r="G182" s="145">
        <v>0</v>
      </c>
      <c r="H182" s="473">
        <v>0</v>
      </c>
      <c r="I182" s="473">
        <v>0</v>
      </c>
      <c r="J182" s="466"/>
      <c r="K182" s="13"/>
      <c r="L182" s="13"/>
      <c r="M182" s="13"/>
      <c r="N182" s="13"/>
      <c r="O182" s="13"/>
    </row>
    <row r="183" spans="1:15">
      <c r="A183" s="145">
        <v>789</v>
      </c>
      <c r="B183" s="560" t="s">
        <v>406</v>
      </c>
      <c r="C183" s="473">
        <v>971</v>
      </c>
      <c r="D183" s="558" t="s">
        <v>230</v>
      </c>
      <c r="E183" s="558" t="s">
        <v>185</v>
      </c>
      <c r="F183" s="317">
        <v>1298</v>
      </c>
      <c r="G183" s="145">
        <v>0</v>
      </c>
      <c r="H183" s="473">
        <v>0</v>
      </c>
      <c r="I183" s="473">
        <v>0</v>
      </c>
      <c r="J183" s="466"/>
      <c r="K183" s="13"/>
      <c r="L183" s="13"/>
      <c r="M183" s="13"/>
      <c r="N183" s="13"/>
      <c r="O183" s="13"/>
    </row>
    <row r="184" spans="1:15">
      <c r="A184" s="145">
        <v>791</v>
      </c>
      <c r="B184" s="560" t="s">
        <v>407</v>
      </c>
      <c r="C184" s="473">
        <v>2913</v>
      </c>
      <c r="D184" s="558">
        <v>0</v>
      </c>
      <c r="E184" s="558" t="s">
        <v>191</v>
      </c>
      <c r="F184" s="317">
        <v>3379</v>
      </c>
      <c r="G184" s="145">
        <v>17</v>
      </c>
      <c r="H184" s="473">
        <v>0</v>
      </c>
      <c r="I184" s="473">
        <v>0</v>
      </c>
      <c r="J184" s="466"/>
      <c r="K184" s="13"/>
      <c r="L184" s="13"/>
      <c r="M184" s="13"/>
      <c r="N184" s="13"/>
      <c r="O184" s="13"/>
    </row>
    <row r="185" spans="1:15">
      <c r="A185" s="145">
        <v>792</v>
      </c>
      <c r="B185" s="560" t="s">
        <v>408</v>
      </c>
      <c r="C185" s="473">
        <v>2913</v>
      </c>
      <c r="D185" s="558">
        <v>0</v>
      </c>
      <c r="E185" s="558" t="s">
        <v>191</v>
      </c>
      <c r="F185" s="317">
        <v>3379</v>
      </c>
      <c r="G185" s="145">
        <v>0</v>
      </c>
      <c r="H185" s="473">
        <v>0</v>
      </c>
      <c r="I185" s="473">
        <v>0</v>
      </c>
      <c r="J185" s="466"/>
      <c r="K185" s="13"/>
      <c r="L185" s="13"/>
      <c r="M185" s="13"/>
      <c r="N185" s="13"/>
      <c r="O185" s="13"/>
    </row>
    <row r="186" spans="1:15">
      <c r="A186" s="145">
        <v>793</v>
      </c>
      <c r="B186" s="560" t="s">
        <v>409</v>
      </c>
      <c r="C186" s="473">
        <v>2913</v>
      </c>
      <c r="D186" s="558">
        <v>0</v>
      </c>
      <c r="E186" s="558" t="s">
        <v>191</v>
      </c>
      <c r="F186" s="317">
        <v>3379</v>
      </c>
      <c r="G186" s="145">
        <v>0</v>
      </c>
      <c r="H186" s="473">
        <v>0</v>
      </c>
      <c r="I186" s="473">
        <v>0</v>
      </c>
      <c r="J186" s="466"/>
      <c r="K186" s="13"/>
      <c r="L186" s="13"/>
      <c r="M186" s="13"/>
      <c r="N186" s="13"/>
      <c r="O186" s="13"/>
    </row>
    <row r="187" spans="1:15">
      <c r="A187" s="145">
        <v>794</v>
      </c>
      <c r="B187" s="560" t="s">
        <v>410</v>
      </c>
      <c r="C187" s="473">
        <v>1840</v>
      </c>
      <c r="D187" s="558">
        <v>57</v>
      </c>
      <c r="E187" s="558" t="s">
        <v>334</v>
      </c>
      <c r="F187" s="317">
        <v>2246</v>
      </c>
      <c r="G187" s="145">
        <v>0</v>
      </c>
      <c r="H187" s="473">
        <v>0</v>
      </c>
      <c r="I187" s="473">
        <v>0</v>
      </c>
      <c r="J187" s="466"/>
      <c r="K187" s="13"/>
      <c r="L187" s="13"/>
      <c r="M187" s="13"/>
      <c r="N187" s="13"/>
      <c r="O187" s="13"/>
    </row>
    <row r="188" spans="1:15">
      <c r="A188" s="145">
        <v>795</v>
      </c>
      <c r="B188" s="560" t="s">
        <v>411</v>
      </c>
      <c r="C188" s="573">
        <v>1610</v>
      </c>
      <c r="D188" s="558">
        <v>107</v>
      </c>
      <c r="E188" s="558" t="s">
        <v>340</v>
      </c>
      <c r="F188" s="317">
        <v>1950</v>
      </c>
      <c r="G188" s="145">
        <v>0</v>
      </c>
      <c r="H188" s="473">
        <v>0</v>
      </c>
      <c r="I188" s="473">
        <v>0</v>
      </c>
      <c r="J188" s="466"/>
      <c r="K188" s="13"/>
      <c r="L188" s="13"/>
      <c r="M188" s="13"/>
      <c r="N188" s="13"/>
      <c r="O188" s="13"/>
    </row>
    <row r="189" spans="1:15">
      <c r="A189" s="145">
        <v>796</v>
      </c>
      <c r="B189" s="560" t="s">
        <v>412</v>
      </c>
      <c r="C189" s="473">
        <v>1340</v>
      </c>
      <c r="D189" s="558">
        <v>122</v>
      </c>
      <c r="E189" s="558" t="s">
        <v>340</v>
      </c>
      <c r="F189" s="317">
        <v>1695</v>
      </c>
      <c r="G189" s="145">
        <v>0</v>
      </c>
      <c r="H189" s="473">
        <v>0</v>
      </c>
      <c r="I189" s="473">
        <v>0</v>
      </c>
      <c r="J189" s="466"/>
      <c r="K189" s="13"/>
      <c r="L189" s="13"/>
      <c r="M189" s="13"/>
      <c r="N189" s="13"/>
      <c r="O189" s="13"/>
    </row>
    <row r="190" spans="1:15">
      <c r="A190" s="145">
        <v>797</v>
      </c>
      <c r="B190" s="560" t="s">
        <v>413</v>
      </c>
      <c r="C190" s="473">
        <v>1170</v>
      </c>
      <c r="D190" s="558">
        <v>144</v>
      </c>
      <c r="E190" s="558" t="s">
        <v>185</v>
      </c>
      <c r="F190" s="317">
        <v>1314</v>
      </c>
      <c r="G190" s="145">
        <v>0</v>
      </c>
      <c r="H190" s="473">
        <v>0</v>
      </c>
      <c r="I190" s="473">
        <v>0</v>
      </c>
      <c r="J190" s="466"/>
      <c r="K190" s="13"/>
      <c r="L190" s="13"/>
      <c r="M190" s="13"/>
      <c r="N190" s="13"/>
      <c r="O190" s="13"/>
    </row>
    <row r="191" spans="1:15">
      <c r="A191" s="145">
        <v>798</v>
      </c>
      <c r="B191" s="560" t="s">
        <v>414</v>
      </c>
      <c r="C191" s="473">
        <v>961</v>
      </c>
      <c r="D191" s="558" t="s">
        <v>230</v>
      </c>
      <c r="E191" s="558" t="s">
        <v>185</v>
      </c>
      <c r="F191" s="317">
        <v>1288</v>
      </c>
      <c r="G191" s="145">
        <v>0</v>
      </c>
      <c r="H191" s="473">
        <v>0</v>
      </c>
      <c r="I191" s="473">
        <v>0</v>
      </c>
      <c r="J191" s="466"/>
      <c r="K191" s="13"/>
      <c r="L191" s="13"/>
      <c r="M191" s="13"/>
      <c r="N191" s="13"/>
      <c r="O191" s="13"/>
    </row>
    <row r="192" spans="1:15">
      <c r="A192" s="562">
        <v>800</v>
      </c>
      <c r="B192" s="563" t="s">
        <v>415</v>
      </c>
      <c r="C192" s="564">
        <v>1942</v>
      </c>
      <c r="D192" s="558">
        <v>43</v>
      </c>
      <c r="E192" s="558" t="s">
        <v>340</v>
      </c>
      <c r="F192" s="317">
        <v>2218</v>
      </c>
      <c r="G192" s="473">
        <v>17</v>
      </c>
      <c r="H192" s="473">
        <v>0</v>
      </c>
      <c r="I192" s="473">
        <v>0</v>
      </c>
      <c r="J192" s="466"/>
      <c r="K192" s="13"/>
      <c r="L192" s="13"/>
      <c r="M192" s="13"/>
      <c r="N192" s="13"/>
      <c r="O192" s="13"/>
    </row>
    <row r="193" spans="1:15">
      <c r="A193" s="562">
        <v>801</v>
      </c>
      <c r="B193" s="563" t="s">
        <v>416</v>
      </c>
      <c r="C193" s="564">
        <v>1782</v>
      </c>
      <c r="D193" s="558">
        <v>64</v>
      </c>
      <c r="E193" s="558" t="s">
        <v>340</v>
      </c>
      <c r="F193" s="317">
        <v>2079</v>
      </c>
      <c r="G193" s="473">
        <v>17</v>
      </c>
      <c r="H193" s="473">
        <v>0</v>
      </c>
      <c r="I193" s="473">
        <v>0</v>
      </c>
      <c r="J193" s="466"/>
      <c r="K193" s="13"/>
      <c r="L193" s="13"/>
      <c r="M193" s="13"/>
      <c r="N193" s="13"/>
      <c r="O193" s="13"/>
    </row>
    <row r="194" spans="1:15">
      <c r="A194" s="562">
        <v>802</v>
      </c>
      <c r="B194" s="563" t="s">
        <v>417</v>
      </c>
      <c r="C194" s="564">
        <v>1700</v>
      </c>
      <c r="D194" s="558">
        <v>75</v>
      </c>
      <c r="E194" s="558" t="s">
        <v>340</v>
      </c>
      <c r="F194" s="317">
        <v>2008</v>
      </c>
      <c r="G194" s="473">
        <v>17</v>
      </c>
      <c r="H194" s="473">
        <v>0</v>
      </c>
      <c r="I194" s="473">
        <v>0</v>
      </c>
      <c r="J194" s="466"/>
      <c r="K194" s="13"/>
      <c r="L194" s="13"/>
      <c r="M194" s="13"/>
      <c r="N194" s="13"/>
      <c r="O194" s="13"/>
    </row>
    <row r="195" spans="1:15">
      <c r="A195" s="562">
        <v>804</v>
      </c>
      <c r="B195" s="563" t="s">
        <v>418</v>
      </c>
      <c r="C195" s="564">
        <v>971</v>
      </c>
      <c r="D195" s="558" t="s">
        <v>230</v>
      </c>
      <c r="E195" s="558" t="s">
        <v>185</v>
      </c>
      <c r="F195" s="317">
        <v>1298</v>
      </c>
      <c r="G195" s="562">
        <v>0</v>
      </c>
      <c r="H195" s="564">
        <v>413</v>
      </c>
      <c r="I195" s="564">
        <v>0</v>
      </c>
      <c r="J195" s="565"/>
      <c r="K195" s="566"/>
      <c r="L195" s="566"/>
      <c r="M195" s="566"/>
      <c r="N195" s="566"/>
      <c r="O195" s="566"/>
    </row>
    <row r="196" spans="1:15">
      <c r="A196" s="562">
        <v>807</v>
      </c>
      <c r="B196" s="563" t="s">
        <v>419</v>
      </c>
      <c r="C196" s="564">
        <v>1942</v>
      </c>
      <c r="D196" s="558">
        <v>43</v>
      </c>
      <c r="E196" s="558" t="s">
        <v>420</v>
      </c>
      <c r="F196" s="317">
        <v>0</v>
      </c>
      <c r="G196" s="564">
        <v>0</v>
      </c>
      <c r="H196" s="564">
        <v>0</v>
      </c>
      <c r="I196" s="564">
        <v>0</v>
      </c>
      <c r="J196" s="564">
        <v>0</v>
      </c>
      <c r="K196" s="566"/>
      <c r="L196" s="566"/>
      <c r="M196" s="566"/>
      <c r="N196" s="566"/>
      <c r="O196" s="566"/>
    </row>
    <row r="197" spans="1:15">
      <c r="A197" s="145">
        <v>808</v>
      </c>
      <c r="B197" s="560" t="s">
        <v>421</v>
      </c>
      <c r="C197" s="473">
        <v>1942</v>
      </c>
      <c r="D197" s="558">
        <v>43</v>
      </c>
      <c r="E197" s="558" t="s">
        <v>340</v>
      </c>
      <c r="F197" s="317">
        <v>2218</v>
      </c>
      <c r="G197" s="145">
        <v>0</v>
      </c>
      <c r="H197" s="473">
        <v>0</v>
      </c>
      <c r="I197" s="473">
        <v>669</v>
      </c>
      <c r="J197" s="466"/>
      <c r="K197" s="13"/>
      <c r="L197" s="13"/>
      <c r="M197" s="13"/>
      <c r="N197" s="13"/>
      <c r="O197" s="13"/>
    </row>
    <row r="198" spans="1:15">
      <c r="A198" s="145">
        <v>809</v>
      </c>
      <c r="B198" s="560" t="s">
        <v>422</v>
      </c>
      <c r="C198" s="473">
        <v>1782</v>
      </c>
      <c r="D198" s="558">
        <v>64</v>
      </c>
      <c r="E198" s="558" t="s">
        <v>340</v>
      </c>
      <c r="F198" s="317">
        <v>2079</v>
      </c>
      <c r="G198" s="145">
        <v>0</v>
      </c>
      <c r="H198" s="473">
        <v>0</v>
      </c>
      <c r="I198" s="473">
        <v>669</v>
      </c>
      <c r="J198" s="466"/>
      <c r="K198" s="13"/>
      <c r="L198" s="13"/>
      <c r="M198" s="13"/>
      <c r="N198" s="13"/>
      <c r="O198" s="13"/>
    </row>
    <row r="199" spans="1:15">
      <c r="A199" s="145">
        <v>810</v>
      </c>
      <c r="B199" s="560" t="s">
        <v>423</v>
      </c>
      <c r="C199" s="473">
        <v>1692</v>
      </c>
      <c r="D199" s="558">
        <v>76</v>
      </c>
      <c r="E199" s="558" t="s">
        <v>340</v>
      </c>
      <c r="F199" s="317">
        <v>2001</v>
      </c>
      <c r="G199" s="145">
        <v>0</v>
      </c>
      <c r="H199" s="473">
        <v>0</v>
      </c>
      <c r="I199" s="473">
        <v>663</v>
      </c>
      <c r="J199" s="466"/>
      <c r="K199" s="13"/>
      <c r="L199" s="13"/>
      <c r="M199" s="13"/>
      <c r="N199" s="13"/>
      <c r="O199" s="13"/>
    </row>
    <row r="200" spans="1:15">
      <c r="A200" s="145">
        <v>811</v>
      </c>
      <c r="B200" s="560" t="s">
        <v>424</v>
      </c>
      <c r="C200" s="473">
        <v>1592</v>
      </c>
      <c r="D200" s="558">
        <v>89</v>
      </c>
      <c r="E200" s="558" t="s">
        <v>340</v>
      </c>
      <c r="F200" s="317">
        <v>1914</v>
      </c>
      <c r="G200" s="145">
        <v>0</v>
      </c>
      <c r="H200" s="473">
        <v>0</v>
      </c>
      <c r="I200" s="473">
        <v>657</v>
      </c>
      <c r="J200" s="466"/>
      <c r="K200" s="13"/>
      <c r="L200" s="13"/>
      <c r="M200" s="13"/>
      <c r="N200" s="13"/>
      <c r="O200" s="13"/>
    </row>
    <row r="201" spans="1:15">
      <c r="A201" s="145">
        <v>812</v>
      </c>
      <c r="B201" s="560" t="s">
        <v>425</v>
      </c>
      <c r="C201" s="473">
        <v>1600</v>
      </c>
      <c r="D201" s="558">
        <v>88</v>
      </c>
      <c r="E201" s="558" t="s">
        <v>340</v>
      </c>
      <c r="F201" s="317">
        <v>1921</v>
      </c>
      <c r="G201" s="145">
        <v>0</v>
      </c>
      <c r="H201" s="473">
        <v>0</v>
      </c>
      <c r="I201" s="473">
        <v>657</v>
      </c>
      <c r="J201" s="466"/>
      <c r="K201" s="13"/>
      <c r="L201" s="13"/>
      <c r="M201" s="13"/>
      <c r="N201" s="13"/>
      <c r="O201" s="13"/>
    </row>
    <row r="202" spans="1:15">
      <c r="A202" s="145">
        <v>813</v>
      </c>
      <c r="B202" s="560" t="s">
        <v>426</v>
      </c>
      <c r="C202" s="473">
        <v>971</v>
      </c>
      <c r="D202" s="558">
        <v>214</v>
      </c>
      <c r="E202" s="558" t="s">
        <v>185</v>
      </c>
      <c r="F202" s="317">
        <v>1185</v>
      </c>
      <c r="G202" s="145">
        <v>0</v>
      </c>
      <c r="H202" s="473">
        <v>0</v>
      </c>
      <c r="I202" s="473">
        <v>620</v>
      </c>
      <c r="J202" s="466"/>
      <c r="K202" s="13"/>
      <c r="L202" s="13"/>
      <c r="M202" s="13"/>
      <c r="N202" s="13"/>
      <c r="O202" s="13"/>
    </row>
    <row r="203" spans="1:15">
      <c r="A203" s="145">
        <v>814</v>
      </c>
      <c r="B203" s="560" t="s">
        <v>427</v>
      </c>
      <c r="C203" s="473">
        <v>971</v>
      </c>
      <c r="D203" s="558">
        <v>214</v>
      </c>
      <c r="E203" s="558" t="s">
        <v>185</v>
      </c>
      <c r="F203" s="317">
        <v>1185</v>
      </c>
      <c r="G203" s="145">
        <v>0</v>
      </c>
      <c r="H203" s="473">
        <v>0</v>
      </c>
      <c r="I203" s="473">
        <v>155</v>
      </c>
      <c r="J203" s="466"/>
      <c r="K203" s="13"/>
      <c r="L203" s="13"/>
      <c r="M203" s="13"/>
      <c r="N203" s="13"/>
      <c r="O203" s="13"/>
    </row>
    <row r="204" spans="1:15">
      <c r="A204" s="145">
        <v>815</v>
      </c>
      <c r="B204" s="560" t="s">
        <v>428</v>
      </c>
      <c r="C204" s="473">
        <v>971</v>
      </c>
      <c r="D204" s="558">
        <v>214</v>
      </c>
      <c r="E204" s="558" t="s">
        <v>185</v>
      </c>
      <c r="F204" s="317">
        <v>1185</v>
      </c>
      <c r="G204" s="145">
        <v>17</v>
      </c>
      <c r="H204" s="473">
        <v>0</v>
      </c>
      <c r="I204" s="473">
        <v>0</v>
      </c>
      <c r="J204" s="466"/>
      <c r="K204" s="13"/>
      <c r="L204" s="13"/>
      <c r="M204" s="13"/>
      <c r="N204" s="13"/>
      <c r="O204" s="13"/>
    </row>
    <row r="205" spans="1:15">
      <c r="A205" s="145">
        <v>816</v>
      </c>
      <c r="B205" s="560" t="s">
        <v>429</v>
      </c>
      <c r="C205" s="473">
        <v>1600</v>
      </c>
      <c r="D205" s="558">
        <v>88</v>
      </c>
      <c r="E205" s="558" t="s">
        <v>340</v>
      </c>
      <c r="F205" s="317">
        <v>1921</v>
      </c>
      <c r="G205" s="145">
        <v>17</v>
      </c>
      <c r="H205" s="473">
        <v>0</v>
      </c>
      <c r="I205" s="473">
        <v>0</v>
      </c>
      <c r="J205" s="466"/>
      <c r="K205" s="13"/>
      <c r="L205" s="13"/>
      <c r="M205" s="13"/>
      <c r="N205" s="13"/>
      <c r="O205" s="13"/>
    </row>
    <row r="206" spans="1:15">
      <c r="A206" s="145">
        <v>817</v>
      </c>
      <c r="B206" s="560" t="s">
        <v>430</v>
      </c>
      <c r="C206" s="473">
        <v>1782</v>
      </c>
      <c r="D206" s="558">
        <v>64</v>
      </c>
      <c r="E206" s="558" t="s">
        <v>334</v>
      </c>
      <c r="F206" s="317">
        <v>2195</v>
      </c>
      <c r="G206" s="145">
        <v>0</v>
      </c>
      <c r="H206" s="473">
        <v>0</v>
      </c>
      <c r="I206" s="473">
        <v>839</v>
      </c>
      <c r="J206" s="466"/>
      <c r="K206" s="13"/>
      <c r="L206" s="13"/>
      <c r="M206" s="13"/>
      <c r="N206" s="13"/>
      <c r="O206" s="13"/>
    </row>
    <row r="207" spans="1:15">
      <c r="A207" s="145">
        <v>818</v>
      </c>
      <c r="B207" s="560" t="s">
        <v>431</v>
      </c>
      <c r="C207" s="473">
        <v>971</v>
      </c>
      <c r="D207" s="558">
        <v>214</v>
      </c>
      <c r="E207" s="558" t="s">
        <v>185</v>
      </c>
      <c r="F207" s="317">
        <v>1185</v>
      </c>
      <c r="G207" s="145">
        <v>0</v>
      </c>
      <c r="H207" s="473">
        <v>0</v>
      </c>
      <c r="I207" s="473">
        <v>659</v>
      </c>
      <c r="J207" s="466"/>
      <c r="K207" s="13"/>
      <c r="L207" s="13"/>
      <c r="M207" s="13"/>
      <c r="N207" s="13"/>
      <c r="O207" s="13"/>
    </row>
    <row r="208" spans="1:15">
      <c r="A208" s="145">
        <v>819</v>
      </c>
      <c r="B208" s="560" t="s">
        <v>432</v>
      </c>
      <c r="C208" s="473">
        <v>971</v>
      </c>
      <c r="D208" s="558">
        <v>214</v>
      </c>
      <c r="E208" s="558" t="s">
        <v>185</v>
      </c>
      <c r="F208" s="317">
        <v>1185</v>
      </c>
      <c r="G208" s="145">
        <v>0</v>
      </c>
      <c r="H208" s="473">
        <v>0</v>
      </c>
      <c r="I208" s="473">
        <v>155</v>
      </c>
      <c r="J208" s="466"/>
      <c r="K208" s="13"/>
      <c r="L208" s="13"/>
      <c r="M208" s="13"/>
      <c r="N208" s="13"/>
      <c r="O208" s="13"/>
    </row>
    <row r="209" spans="1:15">
      <c r="A209" s="145">
        <v>820</v>
      </c>
      <c r="B209" s="560" t="s">
        <v>433</v>
      </c>
      <c r="C209" s="473">
        <v>1692</v>
      </c>
      <c r="D209" s="558">
        <v>76</v>
      </c>
      <c r="E209" s="558" t="s">
        <v>338</v>
      </c>
      <c r="F209" s="317">
        <v>2040</v>
      </c>
      <c r="G209" s="145">
        <v>0</v>
      </c>
      <c r="H209" s="473">
        <v>0</v>
      </c>
      <c r="I209" s="473">
        <v>839</v>
      </c>
      <c r="J209" s="466"/>
      <c r="K209" s="13"/>
      <c r="L209" s="13"/>
      <c r="M209" s="13"/>
      <c r="N209" s="13"/>
      <c r="O209" s="13"/>
    </row>
    <row r="210" spans="1:15">
      <c r="A210" s="145">
        <v>821</v>
      </c>
      <c r="B210" s="560" t="s">
        <v>434</v>
      </c>
      <c r="C210" s="473">
        <v>1592</v>
      </c>
      <c r="D210" s="558">
        <v>89</v>
      </c>
      <c r="E210" s="558" t="s">
        <v>340</v>
      </c>
      <c r="F210" s="317">
        <v>1914</v>
      </c>
      <c r="G210" s="145">
        <v>0</v>
      </c>
      <c r="H210" s="473">
        <v>0</v>
      </c>
      <c r="I210" s="473">
        <v>839</v>
      </c>
      <c r="J210" s="466"/>
      <c r="K210" s="13"/>
      <c r="L210" s="13"/>
      <c r="M210" s="13"/>
      <c r="N210" s="13"/>
      <c r="O210" s="13"/>
    </row>
    <row r="211" spans="1:15">
      <c r="A211" s="145">
        <v>822</v>
      </c>
      <c r="B211" s="560" t="s">
        <v>435</v>
      </c>
      <c r="C211" s="473">
        <v>971</v>
      </c>
      <c r="D211" s="558" t="s">
        <v>230</v>
      </c>
      <c r="E211" s="558" t="s">
        <v>185</v>
      </c>
      <c r="F211" s="317">
        <v>1298</v>
      </c>
      <c r="G211" s="145">
        <v>0</v>
      </c>
      <c r="H211" s="473">
        <v>0</v>
      </c>
      <c r="I211" s="473">
        <v>155</v>
      </c>
      <c r="J211" s="466"/>
      <c r="K211" s="13"/>
      <c r="L211" s="13"/>
      <c r="M211" s="13"/>
      <c r="N211" s="13"/>
      <c r="O211" s="13"/>
    </row>
    <row r="212" spans="1:15">
      <c r="A212" s="145">
        <v>823</v>
      </c>
      <c r="B212" s="560" t="s">
        <v>436</v>
      </c>
      <c r="C212" s="473">
        <v>1700</v>
      </c>
      <c r="D212" s="558">
        <v>75</v>
      </c>
      <c r="E212" s="558" t="s">
        <v>340</v>
      </c>
      <c r="F212" s="317">
        <v>2008</v>
      </c>
      <c r="G212" s="145">
        <v>0</v>
      </c>
      <c r="H212" s="473">
        <v>0</v>
      </c>
      <c r="I212" s="473">
        <v>657</v>
      </c>
      <c r="J212" s="466"/>
      <c r="K212" s="13"/>
      <c r="L212" s="13"/>
      <c r="M212" s="13"/>
      <c r="N212" s="13"/>
      <c r="O212" s="13"/>
    </row>
    <row r="213" spans="1:15">
      <c r="A213" s="145">
        <v>824</v>
      </c>
      <c r="B213" s="560" t="s">
        <v>437</v>
      </c>
      <c r="C213" s="473">
        <v>1400</v>
      </c>
      <c r="D213" s="558">
        <v>114</v>
      </c>
      <c r="E213" s="558" t="s">
        <v>340</v>
      </c>
      <c r="F213" s="317">
        <v>1747</v>
      </c>
      <c r="G213" s="145">
        <v>0</v>
      </c>
      <c r="H213" s="473">
        <v>0</v>
      </c>
      <c r="I213" s="473">
        <v>657</v>
      </c>
      <c r="J213" s="466"/>
      <c r="K213" s="13"/>
      <c r="L213" s="13"/>
      <c r="M213" s="13"/>
      <c r="N213" s="13"/>
      <c r="O213" s="13"/>
    </row>
    <row r="214" spans="1:15">
      <c r="A214" s="145">
        <v>825</v>
      </c>
      <c r="B214" s="560" t="s">
        <v>438</v>
      </c>
      <c r="C214" s="473">
        <v>1300</v>
      </c>
      <c r="D214" s="558">
        <v>127</v>
      </c>
      <c r="E214" s="558" t="s">
        <v>340</v>
      </c>
      <c r="F214" s="317">
        <v>1660</v>
      </c>
      <c r="G214" s="145">
        <v>0</v>
      </c>
      <c r="H214" s="473">
        <v>0</v>
      </c>
      <c r="I214" s="473">
        <v>657</v>
      </c>
      <c r="J214" s="466"/>
      <c r="K214" s="13"/>
      <c r="L214" s="13"/>
      <c r="M214" s="13"/>
      <c r="N214" s="13"/>
      <c r="O214" s="13"/>
    </row>
    <row r="215" spans="1:15">
      <c r="A215" s="145">
        <v>826</v>
      </c>
      <c r="B215" s="560" t="s">
        <v>439</v>
      </c>
      <c r="C215" s="473">
        <v>1250</v>
      </c>
      <c r="D215" s="558">
        <v>134</v>
      </c>
      <c r="E215" s="558" t="s">
        <v>340</v>
      </c>
      <c r="F215" s="317">
        <v>1617</v>
      </c>
      <c r="G215" s="145">
        <v>0</v>
      </c>
      <c r="H215" s="473">
        <v>0</v>
      </c>
      <c r="I215" s="473">
        <v>657</v>
      </c>
      <c r="J215" s="466"/>
      <c r="K215" s="13"/>
      <c r="L215" s="13"/>
      <c r="M215" s="13"/>
      <c r="N215" s="13"/>
      <c r="O215" s="13"/>
    </row>
    <row r="216" spans="1:15">
      <c r="A216" s="145">
        <v>827</v>
      </c>
      <c r="B216" s="572" t="s">
        <v>440</v>
      </c>
      <c r="C216" s="573">
        <v>1942</v>
      </c>
      <c r="D216" s="558">
        <v>43</v>
      </c>
      <c r="E216" s="558" t="s">
        <v>330</v>
      </c>
      <c r="F216" s="317">
        <v>2373</v>
      </c>
      <c r="G216" s="145">
        <v>0</v>
      </c>
      <c r="H216" s="473">
        <v>0</v>
      </c>
      <c r="I216" s="473">
        <v>0</v>
      </c>
      <c r="J216" s="466"/>
      <c r="K216" s="13"/>
      <c r="L216" s="13"/>
      <c r="M216" s="13"/>
      <c r="N216" s="13"/>
      <c r="O216" s="13"/>
    </row>
    <row r="217" spans="1:15">
      <c r="A217" s="145">
        <v>828</v>
      </c>
      <c r="B217" s="560" t="s">
        <v>441</v>
      </c>
      <c r="C217" s="473">
        <v>2913</v>
      </c>
      <c r="D217" s="558">
        <v>0</v>
      </c>
      <c r="E217" s="558" t="s">
        <v>185</v>
      </c>
      <c r="F217" s="317">
        <v>2913</v>
      </c>
      <c r="G217" s="145">
        <v>0</v>
      </c>
      <c r="H217" s="473">
        <v>0</v>
      </c>
      <c r="I217" s="473">
        <v>0</v>
      </c>
      <c r="J217" s="466"/>
      <c r="K217" s="13"/>
      <c r="L217" s="13"/>
      <c r="M217" s="13"/>
      <c r="N217" s="13"/>
      <c r="O217" s="13"/>
    </row>
    <row r="218" spans="1:15">
      <c r="A218" s="145">
        <v>829</v>
      </c>
      <c r="B218" s="572" t="s">
        <v>442</v>
      </c>
      <c r="C218" s="573">
        <v>1782</v>
      </c>
      <c r="D218" s="558">
        <v>64</v>
      </c>
      <c r="E218" s="558" t="s">
        <v>334</v>
      </c>
      <c r="F218" s="317">
        <v>2195</v>
      </c>
      <c r="G218" s="145">
        <v>0</v>
      </c>
      <c r="H218" s="473">
        <v>0</v>
      </c>
      <c r="I218" s="473">
        <v>0</v>
      </c>
      <c r="J218" s="466"/>
      <c r="K218" s="13"/>
      <c r="L218" s="13"/>
      <c r="M218" s="13"/>
      <c r="N218" s="13"/>
      <c r="O218" s="13"/>
    </row>
    <row r="219" spans="1:15">
      <c r="A219" s="145">
        <v>830</v>
      </c>
      <c r="B219" s="560" t="s">
        <v>443</v>
      </c>
      <c r="C219" s="473">
        <v>1740</v>
      </c>
      <c r="D219" s="558">
        <v>70</v>
      </c>
      <c r="E219" s="558" t="s">
        <v>185</v>
      </c>
      <c r="F219" s="317">
        <v>1810</v>
      </c>
      <c r="G219" s="145">
        <v>0</v>
      </c>
      <c r="H219" s="473">
        <v>0</v>
      </c>
      <c r="I219" s="473">
        <v>0</v>
      </c>
      <c r="J219" s="466"/>
      <c r="K219" s="13"/>
      <c r="L219" s="13"/>
      <c r="M219" s="13"/>
      <c r="N219" s="13"/>
      <c r="O219" s="13"/>
    </row>
    <row r="220" spans="1:15">
      <c r="A220" s="145">
        <v>831</v>
      </c>
      <c r="B220" s="560" t="s">
        <v>444</v>
      </c>
      <c r="C220" s="473">
        <v>971</v>
      </c>
      <c r="D220" s="558" t="s">
        <v>230</v>
      </c>
      <c r="E220" s="558" t="s">
        <v>185</v>
      </c>
      <c r="F220" s="317">
        <v>1298</v>
      </c>
      <c r="G220" s="145">
        <v>0</v>
      </c>
      <c r="H220" s="473">
        <v>0</v>
      </c>
      <c r="I220" s="473">
        <v>0</v>
      </c>
      <c r="J220" s="466"/>
      <c r="K220" s="13"/>
      <c r="L220" s="13"/>
      <c r="M220" s="13"/>
      <c r="N220" s="13"/>
      <c r="O220" s="13"/>
    </row>
    <row r="221" spans="1:15">
      <c r="A221" s="574">
        <v>832</v>
      </c>
      <c r="B221" s="572" t="s">
        <v>445</v>
      </c>
      <c r="C221" s="573">
        <v>1700</v>
      </c>
      <c r="D221" s="558">
        <v>75</v>
      </c>
      <c r="E221" s="558" t="s">
        <v>340</v>
      </c>
      <c r="F221" s="317">
        <v>2008</v>
      </c>
      <c r="G221" s="145">
        <v>0</v>
      </c>
      <c r="H221" s="473">
        <v>0</v>
      </c>
      <c r="I221" s="473">
        <v>0</v>
      </c>
      <c r="J221" s="466"/>
      <c r="K221" s="13"/>
      <c r="L221" s="13"/>
      <c r="M221" s="13"/>
      <c r="N221" s="13"/>
      <c r="O221" s="13"/>
    </row>
    <row r="222" spans="1:15">
      <c r="A222" s="145">
        <v>833</v>
      </c>
      <c r="B222" s="560" t="s">
        <v>446</v>
      </c>
      <c r="C222" s="473">
        <v>971</v>
      </c>
      <c r="D222" s="558">
        <v>214</v>
      </c>
      <c r="E222" s="558" t="s">
        <v>185</v>
      </c>
      <c r="F222" s="317">
        <v>1298</v>
      </c>
      <c r="G222" s="145">
        <v>0</v>
      </c>
      <c r="H222" s="473">
        <v>0</v>
      </c>
      <c r="I222" s="473">
        <v>155</v>
      </c>
      <c r="J222" s="466"/>
      <c r="K222" s="13"/>
      <c r="L222" s="13"/>
      <c r="M222" s="13"/>
      <c r="N222" s="13"/>
      <c r="O222" s="13"/>
    </row>
    <row r="223" spans="1:15">
      <c r="A223" s="145">
        <v>834</v>
      </c>
      <c r="B223" s="560" t="s">
        <v>447</v>
      </c>
      <c r="C223" s="473">
        <v>971</v>
      </c>
      <c r="D223" s="558">
        <v>214</v>
      </c>
      <c r="E223" s="558" t="s">
        <v>185</v>
      </c>
      <c r="F223" s="317">
        <v>1298</v>
      </c>
      <c r="G223" s="145">
        <v>0</v>
      </c>
      <c r="H223" s="473">
        <v>0</v>
      </c>
      <c r="I223" s="473">
        <v>155</v>
      </c>
      <c r="J223" s="466"/>
      <c r="K223" s="13"/>
      <c r="L223" s="13"/>
      <c r="M223" s="13"/>
      <c r="N223" s="13"/>
      <c r="O223" s="13"/>
    </row>
    <row r="224" spans="1:15">
      <c r="A224" s="145">
        <v>835</v>
      </c>
      <c r="B224" s="560" t="s">
        <v>448</v>
      </c>
      <c r="C224" s="473">
        <v>971</v>
      </c>
      <c r="D224" s="558" t="s">
        <v>230</v>
      </c>
      <c r="E224" s="558" t="s">
        <v>185</v>
      </c>
      <c r="F224" s="317">
        <v>1298</v>
      </c>
      <c r="G224" s="145">
        <v>0</v>
      </c>
      <c r="H224" s="473">
        <v>0</v>
      </c>
      <c r="I224" s="473">
        <v>0</v>
      </c>
      <c r="J224" s="466"/>
      <c r="K224" s="13"/>
      <c r="L224" s="13"/>
      <c r="M224" s="13"/>
      <c r="N224" s="13"/>
      <c r="O224" s="13"/>
    </row>
    <row r="225" spans="1:15">
      <c r="A225" s="145">
        <v>836</v>
      </c>
      <c r="B225" s="560" t="s">
        <v>449</v>
      </c>
      <c r="C225" s="473">
        <v>971</v>
      </c>
      <c r="D225" s="558" t="s">
        <v>230</v>
      </c>
      <c r="E225" s="558" t="s">
        <v>185</v>
      </c>
      <c r="F225" s="317">
        <v>1298</v>
      </c>
      <c r="G225" s="145">
        <v>0</v>
      </c>
      <c r="H225" s="473">
        <v>0</v>
      </c>
      <c r="I225" s="473">
        <v>155</v>
      </c>
      <c r="J225" s="466"/>
      <c r="K225" s="13"/>
      <c r="L225" s="13"/>
      <c r="M225" s="13"/>
      <c r="N225" s="13"/>
      <c r="O225" s="13"/>
    </row>
    <row r="226" spans="1:15">
      <c r="A226" s="145">
        <v>837</v>
      </c>
      <c r="B226" s="560" t="s">
        <v>450</v>
      </c>
      <c r="C226" s="473">
        <v>971</v>
      </c>
      <c r="D226" s="558" t="s">
        <v>230</v>
      </c>
      <c r="E226" s="558" t="s">
        <v>185</v>
      </c>
      <c r="F226" s="317">
        <v>1298</v>
      </c>
      <c r="G226" s="145">
        <v>0</v>
      </c>
      <c r="H226" s="473">
        <v>0</v>
      </c>
      <c r="I226" s="473">
        <v>155</v>
      </c>
      <c r="J226" s="466"/>
      <c r="K226" s="13"/>
      <c r="L226" s="13"/>
      <c r="M226" s="13"/>
      <c r="N226" s="13"/>
      <c r="O226" s="13"/>
    </row>
    <row r="227" spans="1:15">
      <c r="A227" s="145">
        <v>839</v>
      </c>
      <c r="B227" s="560" t="s">
        <v>451</v>
      </c>
      <c r="C227" s="473">
        <v>971</v>
      </c>
      <c r="D227" s="558" t="s">
        <v>230</v>
      </c>
      <c r="E227" s="558" t="s">
        <v>185</v>
      </c>
      <c r="F227" s="317">
        <v>1298</v>
      </c>
      <c r="G227" s="145">
        <v>0</v>
      </c>
      <c r="H227" s="473">
        <v>0</v>
      </c>
      <c r="I227" s="473">
        <v>155</v>
      </c>
      <c r="J227" s="466"/>
      <c r="K227" s="13"/>
      <c r="L227" s="13"/>
      <c r="M227" s="13"/>
      <c r="N227" s="13"/>
      <c r="O227" s="13"/>
    </row>
    <row r="228" spans="1:15">
      <c r="A228" s="145">
        <v>840</v>
      </c>
      <c r="B228" s="560" t="s">
        <v>452</v>
      </c>
      <c r="C228" s="473">
        <v>971</v>
      </c>
      <c r="D228" s="558" t="s">
        <v>230</v>
      </c>
      <c r="E228" s="558" t="s">
        <v>185</v>
      </c>
      <c r="F228" s="317">
        <v>1298</v>
      </c>
      <c r="G228" s="145">
        <v>0</v>
      </c>
      <c r="H228" s="473">
        <v>0</v>
      </c>
      <c r="I228" s="473">
        <v>155</v>
      </c>
      <c r="J228" s="466"/>
      <c r="K228" s="13"/>
      <c r="L228" s="13"/>
      <c r="M228" s="13"/>
      <c r="N228" s="13"/>
      <c r="O228" s="13"/>
    </row>
    <row r="229" spans="1:15">
      <c r="A229" s="574">
        <v>841</v>
      </c>
      <c r="B229" s="572" t="s">
        <v>453</v>
      </c>
      <c r="C229" s="573">
        <v>1300</v>
      </c>
      <c r="D229" s="558">
        <v>127</v>
      </c>
      <c r="E229" s="558" t="s">
        <v>256</v>
      </c>
      <c r="F229" s="317">
        <v>1815</v>
      </c>
      <c r="G229" s="574">
        <v>0</v>
      </c>
      <c r="H229" s="573">
        <v>0</v>
      </c>
      <c r="I229" s="573">
        <v>0</v>
      </c>
      <c r="J229" s="575"/>
      <c r="K229" s="576"/>
      <c r="L229" s="576"/>
      <c r="M229" s="576"/>
      <c r="N229" s="576"/>
      <c r="O229" s="576"/>
    </row>
    <row r="230" spans="1:15">
      <c r="A230" s="145">
        <v>842</v>
      </c>
      <c r="B230" s="560" t="s">
        <v>454</v>
      </c>
      <c r="C230" s="473">
        <v>1500</v>
      </c>
      <c r="D230" s="558">
        <v>101</v>
      </c>
      <c r="E230" s="558" t="s">
        <v>256</v>
      </c>
      <c r="F230" s="317">
        <v>1989</v>
      </c>
      <c r="G230" s="145">
        <v>0</v>
      </c>
      <c r="H230" s="473">
        <v>0</v>
      </c>
      <c r="I230" s="473">
        <v>0</v>
      </c>
      <c r="J230" s="466"/>
      <c r="K230" s="13"/>
      <c r="L230" s="13"/>
      <c r="M230" s="13"/>
      <c r="N230" s="13"/>
      <c r="O230" s="13"/>
    </row>
    <row r="231" spans="1:15">
      <c r="A231" s="145">
        <v>843</v>
      </c>
      <c r="B231" s="560" t="s">
        <v>455</v>
      </c>
      <c r="C231" s="473">
        <v>1250</v>
      </c>
      <c r="D231" s="558">
        <v>134</v>
      </c>
      <c r="E231" s="558" t="s">
        <v>340</v>
      </c>
      <c r="F231" s="317">
        <v>1617</v>
      </c>
      <c r="G231" s="145">
        <v>0</v>
      </c>
      <c r="H231" s="473">
        <v>0</v>
      </c>
      <c r="I231" s="473">
        <v>0</v>
      </c>
      <c r="J231" s="466"/>
      <c r="K231" s="13"/>
      <c r="L231" s="13"/>
      <c r="M231" s="13"/>
      <c r="N231" s="13"/>
      <c r="O231" s="13"/>
    </row>
    <row r="232" spans="1:15">
      <c r="A232" s="145">
        <v>844</v>
      </c>
      <c r="B232" s="560" t="s">
        <v>456</v>
      </c>
      <c r="C232" s="473">
        <v>1660</v>
      </c>
      <c r="D232" s="558">
        <v>80</v>
      </c>
      <c r="E232" s="558" t="s">
        <v>185</v>
      </c>
      <c r="F232" s="317">
        <v>1740</v>
      </c>
      <c r="G232" s="145">
        <v>0</v>
      </c>
      <c r="H232" s="473">
        <v>0</v>
      </c>
      <c r="I232" s="473">
        <v>0</v>
      </c>
      <c r="J232" s="466"/>
      <c r="K232" s="13"/>
      <c r="L232" s="13"/>
      <c r="M232" s="13"/>
      <c r="N232" s="13"/>
      <c r="O232" s="13"/>
    </row>
    <row r="233" spans="1:15">
      <c r="A233" s="145">
        <v>849</v>
      </c>
      <c r="B233" s="560" t="s">
        <v>457</v>
      </c>
      <c r="C233" s="473">
        <v>971</v>
      </c>
      <c r="D233" s="558" t="s">
        <v>230</v>
      </c>
      <c r="E233" s="558" t="s">
        <v>185</v>
      </c>
      <c r="F233" s="317">
        <v>1298</v>
      </c>
      <c r="G233" s="145">
        <v>0</v>
      </c>
      <c r="H233" s="473">
        <v>0</v>
      </c>
      <c r="I233" s="473">
        <v>0</v>
      </c>
      <c r="J233" s="466"/>
      <c r="K233" s="13"/>
      <c r="L233" s="13"/>
      <c r="M233" s="13"/>
      <c r="N233" s="13"/>
      <c r="O233" s="13"/>
    </row>
    <row r="234" spans="1:15">
      <c r="A234" s="145">
        <v>850</v>
      </c>
      <c r="B234" s="563" t="s">
        <v>458</v>
      </c>
      <c r="C234" s="473">
        <v>3146</v>
      </c>
      <c r="D234" s="558">
        <v>0</v>
      </c>
      <c r="E234" s="558" t="s">
        <v>342</v>
      </c>
      <c r="F234" s="317">
        <v>3612</v>
      </c>
      <c r="G234" s="145">
        <v>0</v>
      </c>
      <c r="H234" s="473">
        <v>0</v>
      </c>
      <c r="I234" s="466"/>
      <c r="J234" s="466"/>
      <c r="K234" s="13"/>
      <c r="L234" s="13"/>
      <c r="M234" s="13"/>
      <c r="N234" s="13"/>
      <c r="O234" s="13"/>
    </row>
    <row r="235" spans="1:15">
      <c r="A235" s="145">
        <v>851</v>
      </c>
      <c r="B235" s="563" t="s">
        <v>459</v>
      </c>
      <c r="C235" s="473">
        <v>2913</v>
      </c>
      <c r="D235" s="558">
        <v>0</v>
      </c>
      <c r="E235" s="558" t="s">
        <v>191</v>
      </c>
      <c r="F235" s="317">
        <v>3379</v>
      </c>
      <c r="G235" s="145">
        <v>20</v>
      </c>
      <c r="H235" s="473">
        <v>0</v>
      </c>
      <c r="I235" s="473">
        <v>0</v>
      </c>
      <c r="J235" s="466"/>
      <c r="K235" s="13"/>
      <c r="L235" s="13"/>
      <c r="M235" s="13"/>
      <c r="N235" s="13"/>
      <c r="O235" s="13"/>
    </row>
    <row r="236" spans="1:15">
      <c r="A236" s="145">
        <v>852</v>
      </c>
      <c r="B236" s="563" t="s">
        <v>460</v>
      </c>
      <c r="C236" s="473">
        <v>2913</v>
      </c>
      <c r="D236" s="558">
        <v>0</v>
      </c>
      <c r="E236" s="558" t="s">
        <v>191</v>
      </c>
      <c r="F236" s="317">
        <v>3379</v>
      </c>
      <c r="G236" s="145">
        <v>0</v>
      </c>
      <c r="H236" s="473">
        <v>0</v>
      </c>
      <c r="I236" s="473">
        <v>0</v>
      </c>
      <c r="J236" s="466"/>
      <c r="K236" s="13"/>
      <c r="L236" s="13"/>
      <c r="M236" s="13"/>
      <c r="N236" s="13"/>
      <c r="O236" s="13"/>
    </row>
    <row r="237" spans="1:15">
      <c r="A237" s="145">
        <v>853</v>
      </c>
      <c r="B237" s="563" t="s">
        <v>461</v>
      </c>
      <c r="C237" s="473">
        <v>2913</v>
      </c>
      <c r="D237" s="558">
        <v>0</v>
      </c>
      <c r="E237" s="558" t="s">
        <v>191</v>
      </c>
      <c r="F237" s="317">
        <v>3379</v>
      </c>
      <c r="G237" s="145">
        <v>17</v>
      </c>
      <c r="H237" s="473">
        <v>0</v>
      </c>
      <c r="I237" s="473">
        <v>0</v>
      </c>
      <c r="J237" s="466"/>
      <c r="K237" s="13"/>
      <c r="L237" s="13"/>
      <c r="M237" s="13"/>
      <c r="N237" s="13"/>
      <c r="O237" s="13"/>
    </row>
    <row r="238" spans="1:15">
      <c r="A238" s="145">
        <v>854</v>
      </c>
      <c r="B238" s="563" t="s">
        <v>462</v>
      </c>
      <c r="C238" s="473">
        <v>2913</v>
      </c>
      <c r="D238" s="558">
        <v>0</v>
      </c>
      <c r="E238" s="558" t="s">
        <v>191</v>
      </c>
      <c r="F238" s="317">
        <v>3379</v>
      </c>
      <c r="G238" s="145">
        <v>0</v>
      </c>
      <c r="H238" s="473">
        <v>0</v>
      </c>
      <c r="I238" s="473">
        <v>0</v>
      </c>
      <c r="J238" s="466"/>
      <c r="K238" s="13"/>
      <c r="L238" s="13"/>
      <c r="M238" s="13"/>
      <c r="N238" s="13"/>
      <c r="O238" s="13"/>
    </row>
    <row r="239" spans="1:15">
      <c r="A239" s="145">
        <v>857</v>
      </c>
      <c r="B239" s="563" t="s">
        <v>463</v>
      </c>
      <c r="C239" s="473">
        <v>2913</v>
      </c>
      <c r="D239" s="558">
        <v>0</v>
      </c>
      <c r="E239" s="558" t="s">
        <v>191</v>
      </c>
      <c r="F239" s="317">
        <v>3379</v>
      </c>
      <c r="G239" s="145">
        <v>0</v>
      </c>
      <c r="H239" s="473">
        <v>0</v>
      </c>
      <c r="I239" s="473">
        <v>0</v>
      </c>
      <c r="J239" s="466"/>
      <c r="K239" s="13"/>
      <c r="L239" s="13"/>
      <c r="M239" s="13"/>
      <c r="N239" s="13"/>
      <c r="O239" s="13"/>
    </row>
    <row r="240" spans="1:15">
      <c r="A240" s="145">
        <v>883</v>
      </c>
      <c r="B240" s="563" t="s">
        <v>178</v>
      </c>
      <c r="C240" s="473">
        <v>2220</v>
      </c>
      <c r="D240" s="558">
        <v>7</v>
      </c>
      <c r="E240" s="558" t="s">
        <v>179</v>
      </c>
      <c r="F240" s="317" t="s">
        <v>180</v>
      </c>
      <c r="G240" s="145">
        <v>0</v>
      </c>
      <c r="H240" s="473">
        <v>0</v>
      </c>
      <c r="I240" s="473">
        <v>0</v>
      </c>
      <c r="J240" s="13"/>
      <c r="K240" s="13"/>
      <c r="L240" s="13"/>
      <c r="M240" s="13"/>
      <c r="N240" s="13"/>
      <c r="O240" s="13"/>
    </row>
    <row r="241" spans="1:15">
      <c r="A241" s="145">
        <v>885</v>
      </c>
      <c r="B241" s="563" t="s">
        <v>464</v>
      </c>
      <c r="C241" s="473">
        <v>1850</v>
      </c>
      <c r="D241" s="558">
        <v>55</v>
      </c>
      <c r="E241" s="558" t="s">
        <v>465</v>
      </c>
      <c r="F241" s="317" t="s">
        <v>466</v>
      </c>
      <c r="G241" s="145">
        <v>0</v>
      </c>
      <c r="H241" s="473">
        <v>0</v>
      </c>
      <c r="I241" s="466"/>
      <c r="J241" s="13"/>
      <c r="K241" s="13"/>
      <c r="L241" s="13"/>
      <c r="M241" s="13"/>
      <c r="N241" s="13"/>
      <c r="O241" s="13"/>
    </row>
    <row r="242" spans="1:15">
      <c r="A242" s="145">
        <v>887</v>
      </c>
      <c r="B242" s="563" t="s">
        <v>181</v>
      </c>
      <c r="C242" s="473">
        <v>1580</v>
      </c>
      <c r="D242" s="558">
        <v>90</v>
      </c>
      <c r="E242" s="558" t="s">
        <v>182</v>
      </c>
      <c r="F242" s="317" t="s">
        <v>183</v>
      </c>
      <c r="G242" s="145">
        <v>0</v>
      </c>
      <c r="H242" s="473">
        <v>0</v>
      </c>
      <c r="I242" s="473">
        <v>0</v>
      </c>
      <c r="J242" s="13"/>
      <c r="K242" s="13"/>
      <c r="L242" s="13"/>
      <c r="M242" s="13"/>
      <c r="N242" s="13"/>
      <c r="O242" s="13"/>
    </row>
    <row r="243" spans="1:15">
      <c r="A243" s="145">
        <v>900</v>
      </c>
      <c r="B243" s="560" t="s">
        <v>467</v>
      </c>
      <c r="C243" s="473">
        <v>3146</v>
      </c>
      <c r="D243" s="558">
        <v>0</v>
      </c>
      <c r="E243" s="558" t="s">
        <v>185</v>
      </c>
      <c r="F243" s="317">
        <v>3146</v>
      </c>
      <c r="G243" s="145">
        <v>0</v>
      </c>
      <c r="H243" s="473">
        <v>0</v>
      </c>
      <c r="I243" s="473">
        <v>0</v>
      </c>
      <c r="J243" s="577"/>
      <c r="K243" s="13"/>
      <c r="L243" s="13"/>
      <c r="M243" s="13"/>
      <c r="N243" s="13"/>
      <c r="O243" s="13"/>
    </row>
    <row r="244" spans="1:15">
      <c r="A244" s="145">
        <v>901</v>
      </c>
      <c r="B244" s="560" t="s">
        <v>468</v>
      </c>
      <c r="C244" s="473">
        <v>2913</v>
      </c>
      <c r="D244" s="558">
        <v>0</v>
      </c>
      <c r="E244" s="558" t="s">
        <v>185</v>
      </c>
      <c r="F244" s="317">
        <v>2913</v>
      </c>
      <c r="G244" s="145">
        <v>0</v>
      </c>
      <c r="H244" s="473">
        <v>0</v>
      </c>
      <c r="I244" s="473">
        <v>0</v>
      </c>
      <c r="J244" s="466"/>
      <c r="K244" s="13"/>
      <c r="L244" s="13"/>
      <c r="M244" s="13"/>
      <c r="N244" s="13"/>
      <c r="O244" s="13"/>
    </row>
    <row r="245" spans="1:15">
      <c r="A245" s="145">
        <v>902</v>
      </c>
      <c r="B245" s="560" t="s">
        <v>469</v>
      </c>
      <c r="C245" s="473">
        <v>2913</v>
      </c>
      <c r="D245" s="558">
        <v>0</v>
      </c>
      <c r="E245" s="558" t="s">
        <v>191</v>
      </c>
      <c r="F245" s="317">
        <v>3379</v>
      </c>
      <c r="G245" s="145">
        <v>20</v>
      </c>
      <c r="H245" s="473">
        <v>0</v>
      </c>
      <c r="I245" s="473">
        <v>0</v>
      </c>
      <c r="J245" s="466"/>
      <c r="K245" s="13"/>
      <c r="L245" s="13"/>
      <c r="M245" s="13"/>
      <c r="N245" s="13"/>
      <c r="O245" s="13"/>
    </row>
    <row r="246" spans="1:15">
      <c r="A246" s="145">
        <v>903</v>
      </c>
      <c r="B246" s="560" t="s">
        <v>470</v>
      </c>
      <c r="C246" s="473">
        <v>2913</v>
      </c>
      <c r="D246" s="558">
        <v>0</v>
      </c>
      <c r="E246" s="558" t="s">
        <v>191</v>
      </c>
      <c r="F246" s="317">
        <v>3379</v>
      </c>
      <c r="G246" s="145">
        <v>0</v>
      </c>
      <c r="H246" s="473">
        <v>0</v>
      </c>
      <c r="I246" s="473">
        <v>0</v>
      </c>
      <c r="J246" s="466"/>
      <c r="K246" s="13"/>
      <c r="L246" s="13"/>
      <c r="M246" s="13"/>
      <c r="N246" s="13"/>
      <c r="O246" s="13"/>
    </row>
    <row r="247" spans="1:15">
      <c r="A247" s="145">
        <v>904</v>
      </c>
      <c r="B247" s="560" t="s">
        <v>471</v>
      </c>
      <c r="C247" s="473">
        <v>2100</v>
      </c>
      <c r="D247" s="558">
        <v>23</v>
      </c>
      <c r="E247" s="558" t="s">
        <v>185</v>
      </c>
      <c r="F247" s="317">
        <v>2123</v>
      </c>
      <c r="G247" s="145">
        <v>0</v>
      </c>
      <c r="H247" s="473">
        <v>0</v>
      </c>
      <c r="I247" s="473">
        <v>0</v>
      </c>
      <c r="J247" s="466"/>
      <c r="K247" s="13"/>
      <c r="L247" s="13"/>
      <c r="M247" s="13"/>
      <c r="N247" s="13"/>
      <c r="O247" s="13"/>
    </row>
    <row r="248" spans="1:15">
      <c r="A248" s="145">
        <v>905</v>
      </c>
      <c r="B248" s="560" t="s">
        <v>472</v>
      </c>
      <c r="C248" s="473">
        <v>1800</v>
      </c>
      <c r="D248" s="558">
        <v>62</v>
      </c>
      <c r="E248" s="558" t="s">
        <v>185</v>
      </c>
      <c r="F248" s="317">
        <v>1862</v>
      </c>
      <c r="G248" s="145">
        <v>0</v>
      </c>
      <c r="H248" s="473">
        <v>0</v>
      </c>
      <c r="I248" s="473">
        <v>0</v>
      </c>
      <c r="J248" s="466"/>
      <c r="K248" s="13"/>
      <c r="L248" s="13"/>
      <c r="M248" s="13"/>
      <c r="N248" s="13"/>
      <c r="O248" s="13"/>
    </row>
    <row r="249" spans="1:15">
      <c r="A249" s="145">
        <v>906</v>
      </c>
      <c r="B249" s="560" t="s">
        <v>473</v>
      </c>
      <c r="C249" s="473">
        <v>1942</v>
      </c>
      <c r="D249" s="558">
        <v>43</v>
      </c>
      <c r="E249" s="558" t="s">
        <v>330</v>
      </c>
      <c r="F249" s="317">
        <v>2373</v>
      </c>
      <c r="G249" s="145">
        <v>0</v>
      </c>
      <c r="H249" s="473">
        <v>0</v>
      </c>
      <c r="I249" s="473">
        <v>0</v>
      </c>
      <c r="J249" s="473">
        <v>782</v>
      </c>
      <c r="K249" s="13"/>
      <c r="L249" s="13"/>
      <c r="M249" s="13"/>
      <c r="N249" s="13"/>
      <c r="O249" s="13"/>
    </row>
    <row r="250" spans="1:15">
      <c r="A250" s="145">
        <v>907</v>
      </c>
      <c r="B250" s="560" t="s">
        <v>474</v>
      </c>
      <c r="C250" s="473">
        <v>1782</v>
      </c>
      <c r="D250" s="558">
        <v>64</v>
      </c>
      <c r="E250" s="558" t="s">
        <v>334</v>
      </c>
      <c r="F250" s="317">
        <v>2195</v>
      </c>
      <c r="G250" s="145">
        <v>0</v>
      </c>
      <c r="H250" s="473">
        <v>0</v>
      </c>
      <c r="I250" s="473">
        <v>0</v>
      </c>
      <c r="J250" s="473">
        <v>782</v>
      </c>
      <c r="K250" s="13"/>
      <c r="L250" s="13"/>
      <c r="M250" s="13"/>
      <c r="N250" s="13"/>
      <c r="O250" s="13"/>
    </row>
    <row r="251" spans="1:15">
      <c r="A251" s="145">
        <v>908</v>
      </c>
      <c r="B251" s="560" t="s">
        <v>475</v>
      </c>
      <c r="C251" s="473">
        <v>1692</v>
      </c>
      <c r="D251" s="558">
        <v>76</v>
      </c>
      <c r="E251" s="558" t="s">
        <v>338</v>
      </c>
      <c r="F251" s="317">
        <v>2040</v>
      </c>
      <c r="G251" s="145">
        <v>0</v>
      </c>
      <c r="H251" s="473">
        <v>0</v>
      </c>
      <c r="I251" s="473">
        <v>0</v>
      </c>
      <c r="J251" s="466"/>
      <c r="K251" s="13"/>
      <c r="L251" s="13"/>
      <c r="M251" s="13"/>
      <c r="N251" s="13"/>
      <c r="O251" s="13"/>
    </row>
    <row r="252" spans="1:15">
      <c r="A252" s="145">
        <v>909</v>
      </c>
      <c r="B252" s="560" t="s">
        <v>476</v>
      </c>
      <c r="C252" s="473">
        <v>1592</v>
      </c>
      <c r="D252" s="558">
        <v>89</v>
      </c>
      <c r="E252" s="558" t="s">
        <v>334</v>
      </c>
      <c r="F252" s="317">
        <v>2030</v>
      </c>
      <c r="G252" s="145">
        <v>0</v>
      </c>
      <c r="H252" s="473">
        <v>0</v>
      </c>
      <c r="I252" s="473">
        <v>0</v>
      </c>
      <c r="J252" s="466"/>
      <c r="K252" s="13"/>
      <c r="L252" s="13"/>
      <c r="M252" s="13"/>
      <c r="N252" s="13"/>
      <c r="O252" s="13"/>
    </row>
    <row r="253" spans="1:15">
      <c r="A253" s="145">
        <v>910</v>
      </c>
      <c r="B253" s="560" t="s">
        <v>336</v>
      </c>
      <c r="C253" s="473">
        <v>1942</v>
      </c>
      <c r="D253" s="558">
        <v>43</v>
      </c>
      <c r="E253" s="558" t="s">
        <v>330</v>
      </c>
      <c r="F253" s="317">
        <v>2373</v>
      </c>
      <c r="G253" s="145">
        <v>150</v>
      </c>
      <c r="H253" s="473">
        <v>0</v>
      </c>
      <c r="I253" s="473">
        <v>0</v>
      </c>
      <c r="J253" s="466"/>
      <c r="K253" s="13"/>
      <c r="L253" s="13"/>
      <c r="M253" s="13"/>
      <c r="N253" s="13"/>
      <c r="O253" s="13"/>
    </row>
    <row r="254" spans="1:15">
      <c r="A254" s="145">
        <v>911</v>
      </c>
      <c r="B254" s="560" t="s">
        <v>349</v>
      </c>
      <c r="C254" s="473">
        <v>1592</v>
      </c>
      <c r="D254" s="558">
        <v>89</v>
      </c>
      <c r="E254" s="558" t="s">
        <v>477</v>
      </c>
      <c r="F254" s="317">
        <v>2031</v>
      </c>
      <c r="G254" s="145">
        <v>0</v>
      </c>
      <c r="H254" s="473">
        <v>0</v>
      </c>
      <c r="I254" s="473">
        <v>0</v>
      </c>
      <c r="J254" s="466"/>
      <c r="K254" s="13"/>
      <c r="L254" s="13"/>
      <c r="M254" s="13"/>
      <c r="N254" s="13"/>
      <c r="O254" s="13"/>
    </row>
    <row r="255" spans="1:15">
      <c r="A255" s="145">
        <v>912</v>
      </c>
      <c r="B255" s="560" t="s">
        <v>478</v>
      </c>
      <c r="C255" s="473">
        <v>1782</v>
      </c>
      <c r="D255" s="558">
        <v>64</v>
      </c>
      <c r="E255" s="558" t="s">
        <v>334</v>
      </c>
      <c r="F255" s="317">
        <v>2195</v>
      </c>
      <c r="G255" s="145">
        <v>17</v>
      </c>
      <c r="H255" s="473">
        <v>0</v>
      </c>
      <c r="I255" s="473">
        <v>0</v>
      </c>
      <c r="J255" s="466"/>
      <c r="K255" s="13"/>
      <c r="L255" s="13"/>
      <c r="M255" s="13"/>
      <c r="N255" s="13"/>
      <c r="O255" s="13"/>
    </row>
    <row r="256" spans="1:15">
      <c r="A256" s="145">
        <v>913</v>
      </c>
      <c r="B256" s="560" t="s">
        <v>479</v>
      </c>
      <c r="C256" s="473">
        <v>1700</v>
      </c>
      <c r="D256" s="558">
        <v>75</v>
      </c>
      <c r="E256" s="558" t="s">
        <v>393</v>
      </c>
      <c r="F256" s="317">
        <v>2085</v>
      </c>
      <c r="G256" s="145">
        <v>0</v>
      </c>
      <c r="H256" s="473">
        <v>0</v>
      </c>
      <c r="I256" s="473">
        <v>0</v>
      </c>
      <c r="J256" s="473">
        <v>769</v>
      </c>
      <c r="K256" s="13"/>
      <c r="L256" s="13"/>
      <c r="M256" s="13"/>
      <c r="N256" s="13"/>
      <c r="O256" s="13"/>
    </row>
    <row r="257" spans="1:15">
      <c r="A257" s="145">
        <v>914</v>
      </c>
      <c r="B257" s="560" t="s">
        <v>480</v>
      </c>
      <c r="C257" s="473">
        <v>1600</v>
      </c>
      <c r="D257" s="558">
        <v>88</v>
      </c>
      <c r="E257" s="558" t="s">
        <v>373</v>
      </c>
      <c r="F257" s="317">
        <v>1920</v>
      </c>
      <c r="G257" s="145">
        <v>0</v>
      </c>
      <c r="H257" s="473">
        <v>0</v>
      </c>
      <c r="I257" s="473">
        <v>0</v>
      </c>
      <c r="J257" s="473">
        <v>738</v>
      </c>
      <c r="K257" s="13"/>
      <c r="L257" s="13"/>
      <c r="M257" s="13"/>
      <c r="N257" s="13"/>
      <c r="O257" s="13"/>
    </row>
    <row r="258" spans="1:15">
      <c r="A258" s="145">
        <v>915</v>
      </c>
      <c r="B258" s="560" t="s">
        <v>481</v>
      </c>
      <c r="C258" s="473">
        <v>1700</v>
      </c>
      <c r="D258" s="558">
        <v>75</v>
      </c>
      <c r="E258" s="558" t="s">
        <v>340</v>
      </c>
      <c r="F258" s="317">
        <v>2008</v>
      </c>
      <c r="G258" s="145">
        <v>150</v>
      </c>
      <c r="H258" s="473">
        <v>0</v>
      </c>
      <c r="I258" s="473">
        <v>0</v>
      </c>
      <c r="J258" s="466"/>
      <c r="K258" s="13"/>
      <c r="L258" s="13"/>
      <c r="M258" s="13"/>
      <c r="N258" s="13"/>
      <c r="O258" s="13"/>
    </row>
    <row r="259" spans="1:15">
      <c r="A259" s="145">
        <v>916</v>
      </c>
      <c r="B259" s="560" t="s">
        <v>482</v>
      </c>
      <c r="C259" s="473">
        <v>1300</v>
      </c>
      <c r="D259" s="558">
        <v>127</v>
      </c>
      <c r="E259" s="558" t="s">
        <v>340</v>
      </c>
      <c r="F259" s="317">
        <v>1660</v>
      </c>
      <c r="G259" s="145">
        <v>0</v>
      </c>
      <c r="H259" s="473">
        <v>0</v>
      </c>
      <c r="I259" s="473">
        <v>0</v>
      </c>
      <c r="J259" s="466"/>
      <c r="K259" s="13"/>
      <c r="L259" s="13"/>
      <c r="M259" s="13"/>
      <c r="N259" s="13"/>
      <c r="O259" s="13"/>
    </row>
    <row r="260" spans="1:15">
      <c r="A260" s="145">
        <v>917</v>
      </c>
      <c r="B260" s="560" t="s">
        <v>483</v>
      </c>
      <c r="C260" s="473">
        <v>971</v>
      </c>
      <c r="D260" s="558" t="s">
        <v>230</v>
      </c>
      <c r="E260" s="558" t="s">
        <v>185</v>
      </c>
      <c r="F260" s="317">
        <v>1298</v>
      </c>
      <c r="G260" s="145">
        <v>0</v>
      </c>
      <c r="H260" s="473">
        <v>0</v>
      </c>
      <c r="I260" s="473">
        <v>0</v>
      </c>
      <c r="J260" s="466"/>
      <c r="K260" s="13"/>
      <c r="L260" s="13"/>
      <c r="M260" s="13"/>
      <c r="N260" s="13"/>
      <c r="O260" s="13"/>
    </row>
    <row r="261" spans="1:15">
      <c r="A261" s="145">
        <v>918</v>
      </c>
      <c r="B261" s="560" t="s">
        <v>357</v>
      </c>
      <c r="C261" s="473">
        <v>971</v>
      </c>
      <c r="D261" s="558" t="s">
        <v>230</v>
      </c>
      <c r="E261" s="558" t="s">
        <v>185</v>
      </c>
      <c r="F261" s="317">
        <v>1298</v>
      </c>
      <c r="G261" s="145">
        <v>150</v>
      </c>
      <c r="H261" s="473">
        <v>0</v>
      </c>
      <c r="I261" s="473">
        <v>0</v>
      </c>
      <c r="J261" s="466"/>
      <c r="K261" s="13"/>
      <c r="L261" s="13"/>
      <c r="M261" s="13"/>
      <c r="N261" s="13"/>
      <c r="O261" s="13"/>
    </row>
    <row r="262" spans="1:15">
      <c r="A262" s="145">
        <v>919</v>
      </c>
      <c r="B262" s="560" t="s">
        <v>484</v>
      </c>
      <c r="C262" s="473">
        <v>971</v>
      </c>
      <c r="D262" s="558" t="s">
        <v>230</v>
      </c>
      <c r="E262" s="558" t="s">
        <v>185</v>
      </c>
      <c r="F262" s="317">
        <v>1298</v>
      </c>
      <c r="G262" s="145">
        <v>17</v>
      </c>
      <c r="H262" s="473">
        <v>0</v>
      </c>
      <c r="I262" s="473">
        <v>0</v>
      </c>
      <c r="J262" s="466"/>
      <c r="K262" s="13"/>
      <c r="L262" s="13"/>
      <c r="M262" s="13"/>
      <c r="N262" s="13"/>
      <c r="O262" s="13"/>
    </row>
    <row r="263" spans="1:15">
      <c r="A263" s="145">
        <v>920</v>
      </c>
      <c r="B263" s="560" t="s">
        <v>485</v>
      </c>
      <c r="C263" s="473">
        <v>971</v>
      </c>
      <c r="D263" s="558" t="s">
        <v>230</v>
      </c>
      <c r="E263" s="558" t="s">
        <v>185</v>
      </c>
      <c r="F263" s="317">
        <v>1298</v>
      </c>
      <c r="G263" s="145">
        <v>150</v>
      </c>
      <c r="H263" s="473">
        <v>0</v>
      </c>
      <c r="I263" s="473">
        <v>0</v>
      </c>
      <c r="J263" s="466"/>
      <c r="K263" s="13"/>
      <c r="L263" s="13"/>
      <c r="M263" s="13"/>
      <c r="N263" s="13"/>
      <c r="O263" s="13"/>
    </row>
    <row r="264" spans="1:15">
      <c r="A264" s="145">
        <v>921</v>
      </c>
      <c r="B264" s="560" t="s">
        <v>486</v>
      </c>
      <c r="C264" s="473">
        <v>971</v>
      </c>
      <c r="D264" s="558" t="s">
        <v>230</v>
      </c>
      <c r="E264" s="558" t="s">
        <v>185</v>
      </c>
      <c r="F264" s="317">
        <v>1298</v>
      </c>
      <c r="G264" s="145">
        <v>0</v>
      </c>
      <c r="H264" s="473">
        <v>0</v>
      </c>
      <c r="I264" s="473">
        <v>0</v>
      </c>
      <c r="J264" s="466"/>
      <c r="K264" s="13"/>
      <c r="L264" s="13"/>
      <c r="M264" s="13"/>
      <c r="N264" s="13"/>
      <c r="O264" s="13"/>
    </row>
    <row r="265" spans="1:15">
      <c r="A265" s="145">
        <v>922</v>
      </c>
      <c r="B265" s="560" t="s">
        <v>487</v>
      </c>
      <c r="C265" s="473">
        <v>971</v>
      </c>
      <c r="D265" s="558" t="s">
        <v>230</v>
      </c>
      <c r="E265" s="558" t="s">
        <v>185</v>
      </c>
      <c r="F265" s="317">
        <v>1298</v>
      </c>
      <c r="G265" s="145">
        <v>0</v>
      </c>
      <c r="H265" s="473">
        <v>0</v>
      </c>
      <c r="I265" s="473">
        <v>0</v>
      </c>
      <c r="J265" s="466"/>
      <c r="K265" s="13"/>
      <c r="L265" s="13"/>
      <c r="M265" s="13"/>
      <c r="N265" s="13"/>
      <c r="O265" s="13"/>
    </row>
    <row r="266" spans="1:15">
      <c r="A266" s="145">
        <v>923</v>
      </c>
      <c r="B266" s="560" t="s">
        <v>488</v>
      </c>
      <c r="C266" s="473">
        <v>971</v>
      </c>
      <c r="D266" s="558" t="s">
        <v>230</v>
      </c>
      <c r="E266" s="558" t="s">
        <v>185</v>
      </c>
      <c r="F266" s="317">
        <v>1298</v>
      </c>
      <c r="G266" s="145">
        <v>0</v>
      </c>
      <c r="H266" s="473">
        <v>0</v>
      </c>
      <c r="I266" s="473">
        <v>0</v>
      </c>
      <c r="J266" s="466"/>
      <c r="K266" s="13"/>
      <c r="L266" s="13"/>
      <c r="M266" s="13"/>
      <c r="N266" s="13"/>
      <c r="O266" s="13"/>
    </row>
    <row r="267" spans="1:15">
      <c r="A267" s="145">
        <v>924</v>
      </c>
      <c r="B267" s="560" t="s">
        <v>489</v>
      </c>
      <c r="C267" s="473">
        <v>971</v>
      </c>
      <c r="D267" s="558" t="s">
        <v>230</v>
      </c>
      <c r="E267" s="558" t="s">
        <v>185</v>
      </c>
      <c r="F267" s="317">
        <v>1298</v>
      </c>
      <c r="G267" s="145">
        <v>150</v>
      </c>
      <c r="H267" s="473">
        <v>0</v>
      </c>
      <c r="I267" s="473">
        <v>0</v>
      </c>
      <c r="J267" s="466"/>
      <c r="K267" s="13"/>
      <c r="L267" s="13"/>
      <c r="M267" s="13"/>
      <c r="N267" s="13"/>
      <c r="O267" s="13"/>
    </row>
    <row r="268" spans="1:15">
      <c r="A268" s="145">
        <v>925</v>
      </c>
      <c r="B268" s="560" t="s">
        <v>246</v>
      </c>
      <c r="C268" s="473">
        <v>971</v>
      </c>
      <c r="D268" s="558" t="s">
        <v>230</v>
      </c>
      <c r="E268" s="558" t="s">
        <v>185</v>
      </c>
      <c r="F268" s="317">
        <v>1298</v>
      </c>
      <c r="G268" s="145">
        <v>0</v>
      </c>
      <c r="H268" s="473">
        <v>0</v>
      </c>
      <c r="I268" s="473">
        <v>0</v>
      </c>
      <c r="J268" s="466"/>
      <c r="K268" s="13"/>
      <c r="L268" s="13"/>
      <c r="M268" s="13"/>
      <c r="N268" s="13"/>
      <c r="O268" s="13"/>
    </row>
    <row r="269" spans="1:15">
      <c r="A269" s="145">
        <v>926</v>
      </c>
      <c r="B269" s="560" t="s">
        <v>382</v>
      </c>
      <c r="C269" s="473">
        <v>1500</v>
      </c>
      <c r="D269" s="558">
        <v>101</v>
      </c>
      <c r="E269" s="558" t="s">
        <v>185</v>
      </c>
      <c r="F269" s="317">
        <v>1601</v>
      </c>
      <c r="G269" s="145">
        <v>150</v>
      </c>
      <c r="H269" s="473">
        <v>0</v>
      </c>
      <c r="I269" s="473">
        <v>0</v>
      </c>
      <c r="J269" s="466"/>
      <c r="K269" s="13"/>
      <c r="L269" s="13"/>
      <c r="M269" s="13"/>
      <c r="N269" s="13"/>
      <c r="O269" s="13"/>
    </row>
    <row r="270" spans="1:15">
      <c r="A270" s="145">
        <v>928</v>
      </c>
      <c r="B270" s="560" t="s">
        <v>352</v>
      </c>
      <c r="C270" s="473">
        <v>1500</v>
      </c>
      <c r="D270" s="558">
        <v>101</v>
      </c>
      <c r="E270" s="558" t="s">
        <v>185</v>
      </c>
      <c r="F270" s="317">
        <v>1601</v>
      </c>
      <c r="G270" s="145">
        <v>150</v>
      </c>
      <c r="H270" s="473">
        <v>0</v>
      </c>
      <c r="I270" s="473">
        <v>0</v>
      </c>
      <c r="J270" s="466"/>
      <c r="K270" s="13"/>
      <c r="L270" s="13"/>
      <c r="M270" s="13"/>
      <c r="N270" s="13"/>
      <c r="O270" s="13"/>
    </row>
    <row r="271" spans="1:15">
      <c r="A271" s="145">
        <v>929</v>
      </c>
      <c r="B271" s="560" t="s">
        <v>490</v>
      </c>
      <c r="C271" s="473">
        <v>971</v>
      </c>
      <c r="D271" s="558" t="s">
        <v>230</v>
      </c>
      <c r="E271" s="558" t="s">
        <v>185</v>
      </c>
      <c r="F271" s="317">
        <v>1298</v>
      </c>
      <c r="G271" s="145">
        <v>150</v>
      </c>
      <c r="H271" s="473">
        <v>0</v>
      </c>
      <c r="I271" s="473">
        <v>0</v>
      </c>
      <c r="J271" s="466"/>
      <c r="K271" s="13"/>
      <c r="L271" s="13"/>
      <c r="M271" s="13"/>
      <c r="N271" s="13"/>
      <c r="O271" s="13"/>
    </row>
    <row r="272" spans="1:15">
      <c r="A272" s="145">
        <v>930</v>
      </c>
      <c r="B272" s="560" t="s">
        <v>491</v>
      </c>
      <c r="C272" s="473">
        <v>1592</v>
      </c>
      <c r="D272" s="558">
        <v>89</v>
      </c>
      <c r="E272" s="558" t="s">
        <v>340</v>
      </c>
      <c r="F272" s="317">
        <v>1914</v>
      </c>
      <c r="G272" s="145">
        <v>0</v>
      </c>
      <c r="H272" s="473">
        <v>0</v>
      </c>
      <c r="I272" s="473">
        <v>0</v>
      </c>
      <c r="J272" s="466"/>
      <c r="K272" s="13"/>
      <c r="L272" s="13"/>
      <c r="M272" s="13"/>
      <c r="N272" s="13"/>
      <c r="O272" s="13"/>
    </row>
    <row r="273" spans="1:15">
      <c r="A273" s="145">
        <v>931</v>
      </c>
      <c r="B273" s="560" t="s">
        <v>492</v>
      </c>
      <c r="C273" s="473">
        <v>971</v>
      </c>
      <c r="D273" s="558" t="s">
        <v>230</v>
      </c>
      <c r="E273" s="558" t="s">
        <v>185</v>
      </c>
      <c r="F273" s="317">
        <v>1298</v>
      </c>
      <c r="G273" s="145">
        <v>0</v>
      </c>
      <c r="H273" s="473">
        <v>0</v>
      </c>
      <c r="I273" s="473">
        <v>0</v>
      </c>
      <c r="J273" s="466"/>
      <c r="K273" s="13"/>
      <c r="L273" s="13"/>
      <c r="M273" s="13"/>
      <c r="N273" s="13"/>
      <c r="O273" s="13"/>
    </row>
    <row r="274" spans="1:15">
      <c r="A274" s="145">
        <v>932</v>
      </c>
      <c r="B274" s="560" t="s">
        <v>178</v>
      </c>
      <c r="C274" s="473">
        <v>2220</v>
      </c>
      <c r="D274" s="558">
        <v>7</v>
      </c>
      <c r="E274" s="558" t="s">
        <v>179</v>
      </c>
      <c r="F274" s="317" t="s">
        <v>180</v>
      </c>
      <c r="G274" s="145">
        <v>0</v>
      </c>
      <c r="H274" s="473">
        <v>0</v>
      </c>
      <c r="I274" s="473">
        <v>0</v>
      </c>
      <c r="J274" s="466"/>
      <c r="K274" s="13"/>
      <c r="L274" s="13"/>
      <c r="M274" s="13"/>
      <c r="N274" s="13"/>
      <c r="O274" s="13"/>
    </row>
    <row r="275" spans="1:15">
      <c r="A275" s="146">
        <v>933</v>
      </c>
      <c r="B275" s="578" t="s">
        <v>181</v>
      </c>
      <c r="C275" s="144">
        <v>1580</v>
      </c>
      <c r="D275" s="558">
        <v>90</v>
      </c>
      <c r="E275" s="558" t="s">
        <v>182</v>
      </c>
      <c r="F275" s="317" t="s">
        <v>183</v>
      </c>
      <c r="G275" s="146">
        <v>0</v>
      </c>
      <c r="H275" s="144">
        <v>0</v>
      </c>
      <c r="I275" s="144">
        <v>0</v>
      </c>
      <c r="J275" s="466"/>
      <c r="K275" s="13"/>
      <c r="L275" s="13"/>
      <c r="M275" s="13"/>
      <c r="N275" s="13"/>
      <c r="O275" s="13"/>
    </row>
    <row r="276" spans="1:15">
      <c r="A276" s="145">
        <v>934</v>
      </c>
      <c r="B276" s="560" t="s">
        <v>493</v>
      </c>
      <c r="C276" s="473">
        <v>922</v>
      </c>
      <c r="D276" s="558" t="s">
        <v>230</v>
      </c>
      <c r="E276" s="558" t="s">
        <v>185</v>
      </c>
      <c r="F276" s="317">
        <v>1249</v>
      </c>
      <c r="G276" s="145">
        <v>0</v>
      </c>
      <c r="H276" s="473">
        <v>0</v>
      </c>
      <c r="I276" s="473">
        <v>0</v>
      </c>
      <c r="J276" s="466"/>
      <c r="K276" s="13"/>
      <c r="L276" s="13"/>
      <c r="M276" s="13"/>
      <c r="N276" s="13"/>
      <c r="O276" s="13"/>
    </row>
    <row r="277" spans="1:15">
      <c r="A277" s="145">
        <v>935</v>
      </c>
      <c r="B277" s="560" t="s">
        <v>494</v>
      </c>
      <c r="C277" s="473">
        <v>971</v>
      </c>
      <c r="D277" s="558" t="s">
        <v>230</v>
      </c>
      <c r="E277" s="558" t="s">
        <v>185</v>
      </c>
      <c r="F277" s="317">
        <v>1298</v>
      </c>
      <c r="G277" s="145">
        <v>0</v>
      </c>
      <c r="H277" s="473">
        <v>0</v>
      </c>
      <c r="I277" s="473">
        <v>0</v>
      </c>
      <c r="J277" s="466"/>
      <c r="K277" s="13"/>
      <c r="L277" s="13"/>
      <c r="M277" s="13"/>
      <c r="N277" s="13"/>
      <c r="O277" s="13"/>
    </row>
    <row r="278" spans="1:15">
      <c r="A278" s="145">
        <v>936</v>
      </c>
      <c r="B278" s="560" t="s">
        <v>495</v>
      </c>
      <c r="C278" s="473">
        <v>1250</v>
      </c>
      <c r="D278" s="558">
        <v>134</v>
      </c>
      <c r="E278" s="558" t="s">
        <v>185</v>
      </c>
      <c r="F278" s="317">
        <v>1384</v>
      </c>
      <c r="G278" s="145">
        <v>0</v>
      </c>
      <c r="H278" s="473">
        <v>0</v>
      </c>
      <c r="I278" s="473">
        <v>0</v>
      </c>
      <c r="J278" s="466"/>
      <c r="K278" s="13"/>
      <c r="L278" s="13"/>
      <c r="M278" s="13"/>
      <c r="N278" s="13"/>
      <c r="O278" s="13"/>
    </row>
    <row r="279" spans="1:15">
      <c r="A279" s="569">
        <v>937</v>
      </c>
      <c r="B279" s="570" t="s">
        <v>496</v>
      </c>
      <c r="C279" s="571">
        <v>971</v>
      </c>
      <c r="D279" s="558" t="s">
        <v>230</v>
      </c>
      <c r="E279" s="558" t="s">
        <v>185</v>
      </c>
      <c r="F279" s="317">
        <v>1298</v>
      </c>
      <c r="G279" s="569">
        <v>0</v>
      </c>
      <c r="H279" s="571">
        <v>0</v>
      </c>
      <c r="I279" s="571">
        <v>0</v>
      </c>
      <c r="J279" s="466"/>
      <c r="K279" s="13"/>
      <c r="L279" s="13"/>
      <c r="M279" s="13"/>
      <c r="N279" s="13"/>
      <c r="O279" s="13"/>
    </row>
    <row r="280" spans="1:15">
      <c r="A280" s="145">
        <v>940</v>
      </c>
      <c r="B280" s="560" t="s">
        <v>497</v>
      </c>
      <c r="C280" s="473">
        <v>1692</v>
      </c>
      <c r="D280" s="558">
        <v>76</v>
      </c>
      <c r="E280" s="558" t="s">
        <v>338</v>
      </c>
      <c r="F280" s="317">
        <v>2040</v>
      </c>
      <c r="G280" s="145">
        <v>0</v>
      </c>
      <c r="H280" s="473">
        <v>0</v>
      </c>
      <c r="I280" s="473">
        <v>0</v>
      </c>
      <c r="J280" s="466"/>
      <c r="K280" s="13"/>
      <c r="L280" s="13"/>
      <c r="M280" s="13"/>
      <c r="N280" s="13"/>
      <c r="O280" s="13"/>
    </row>
    <row r="281" spans="1:15">
      <c r="A281" s="145">
        <v>941</v>
      </c>
      <c r="B281" s="560" t="s">
        <v>498</v>
      </c>
      <c r="C281" s="473">
        <v>1942</v>
      </c>
      <c r="D281" s="558">
        <v>43</v>
      </c>
      <c r="E281" s="558" t="s">
        <v>330</v>
      </c>
      <c r="F281" s="317">
        <v>2373</v>
      </c>
      <c r="G281" s="145">
        <v>0</v>
      </c>
      <c r="H281" s="473">
        <v>0</v>
      </c>
      <c r="I281" s="473">
        <v>0</v>
      </c>
      <c r="J281" s="466"/>
      <c r="K281" s="13"/>
      <c r="L281" s="13"/>
      <c r="M281" s="13"/>
      <c r="N281" s="13"/>
      <c r="O281" s="13"/>
    </row>
    <row r="282" spans="1:15">
      <c r="A282" s="145">
        <v>942</v>
      </c>
      <c r="B282" s="560" t="s">
        <v>499</v>
      </c>
      <c r="C282" s="473">
        <v>1782</v>
      </c>
      <c r="D282" s="558">
        <v>64</v>
      </c>
      <c r="E282" s="558" t="s">
        <v>334</v>
      </c>
      <c r="F282" s="317">
        <v>2195</v>
      </c>
      <c r="G282" s="145">
        <v>0</v>
      </c>
      <c r="H282" s="473">
        <v>0</v>
      </c>
      <c r="I282" s="473">
        <v>0</v>
      </c>
      <c r="J282" s="466"/>
      <c r="K282" s="13"/>
      <c r="L282" s="13"/>
      <c r="M282" s="13"/>
      <c r="N282" s="13"/>
      <c r="O282" s="13"/>
    </row>
    <row r="283" spans="1:15">
      <c r="A283" s="145">
        <v>943</v>
      </c>
      <c r="B283" s="560" t="s">
        <v>381</v>
      </c>
      <c r="C283" s="473">
        <v>1500</v>
      </c>
      <c r="D283" s="558">
        <v>101</v>
      </c>
      <c r="E283" s="558" t="s">
        <v>185</v>
      </c>
      <c r="F283" s="317">
        <v>1601</v>
      </c>
      <c r="G283" s="145">
        <v>150</v>
      </c>
      <c r="H283" s="473">
        <v>0</v>
      </c>
      <c r="I283" s="473">
        <v>0</v>
      </c>
      <c r="J283" s="466"/>
      <c r="K283" s="13"/>
      <c r="L283" s="13"/>
      <c r="M283" s="13"/>
      <c r="N283" s="13"/>
      <c r="O283" s="13"/>
    </row>
    <row r="284" spans="1:15">
      <c r="A284" s="145">
        <v>944</v>
      </c>
      <c r="B284" s="560" t="s">
        <v>500</v>
      </c>
      <c r="C284" s="473">
        <v>1400</v>
      </c>
      <c r="D284" s="558">
        <v>114</v>
      </c>
      <c r="E284" s="558" t="s">
        <v>340</v>
      </c>
      <c r="F284" s="317">
        <v>1747</v>
      </c>
      <c r="G284" s="145">
        <v>0</v>
      </c>
      <c r="H284" s="473">
        <v>0</v>
      </c>
      <c r="I284" s="473">
        <v>0</v>
      </c>
      <c r="J284" s="466"/>
      <c r="K284" s="13"/>
      <c r="L284" s="13"/>
      <c r="M284" s="13"/>
      <c r="N284" s="13"/>
      <c r="O284" s="13"/>
    </row>
    <row r="285" spans="1:15">
      <c r="A285" s="145">
        <v>945</v>
      </c>
      <c r="B285" s="560" t="s">
        <v>501</v>
      </c>
      <c r="C285" s="473">
        <v>1782</v>
      </c>
      <c r="D285" s="558">
        <v>64</v>
      </c>
      <c r="E285" s="558" t="s">
        <v>340</v>
      </c>
      <c r="F285" s="317">
        <v>2079</v>
      </c>
      <c r="G285" s="145">
        <v>0</v>
      </c>
      <c r="H285" s="473">
        <v>0</v>
      </c>
      <c r="I285" s="473">
        <v>669</v>
      </c>
      <c r="J285" s="466"/>
      <c r="K285" s="13"/>
      <c r="L285" s="13"/>
      <c r="M285" s="13"/>
      <c r="N285" s="13"/>
      <c r="O285" s="13"/>
    </row>
    <row r="286" spans="1:15">
      <c r="A286" s="145">
        <v>946</v>
      </c>
      <c r="B286" s="560" t="s">
        <v>426</v>
      </c>
      <c r="C286" s="473">
        <v>971</v>
      </c>
      <c r="D286" s="558">
        <v>214</v>
      </c>
      <c r="E286" s="558" t="s">
        <v>185</v>
      </c>
      <c r="F286" s="317">
        <v>1185</v>
      </c>
      <c r="G286" s="145">
        <v>0</v>
      </c>
      <c r="H286" s="473">
        <v>0</v>
      </c>
      <c r="I286" s="473">
        <v>620</v>
      </c>
      <c r="J286" s="466"/>
      <c r="K286" s="13"/>
      <c r="L286" s="13"/>
      <c r="M286" s="13"/>
      <c r="N286" s="13"/>
      <c r="O286" s="13"/>
    </row>
    <row r="287" spans="1:15">
      <c r="A287" s="145">
        <v>947</v>
      </c>
      <c r="B287" s="560" t="s">
        <v>502</v>
      </c>
      <c r="C287" s="473">
        <v>971</v>
      </c>
      <c r="D287" s="558" t="s">
        <v>230</v>
      </c>
      <c r="E287" s="558" t="s">
        <v>185</v>
      </c>
      <c r="F287" s="317">
        <v>1298</v>
      </c>
      <c r="G287" s="145">
        <v>0</v>
      </c>
      <c r="H287" s="473">
        <v>0</v>
      </c>
      <c r="I287" s="473">
        <v>155</v>
      </c>
      <c r="J287" s="466"/>
      <c r="K287" s="13"/>
      <c r="L287" s="13"/>
      <c r="M287" s="13"/>
      <c r="N287" s="13"/>
      <c r="O287" s="13"/>
    </row>
    <row r="288" spans="1:15">
      <c r="A288" s="145">
        <v>948</v>
      </c>
      <c r="B288" s="563" t="s">
        <v>503</v>
      </c>
      <c r="C288" s="473">
        <v>1300</v>
      </c>
      <c r="D288" s="558">
        <v>127</v>
      </c>
      <c r="E288" s="558" t="s">
        <v>340</v>
      </c>
      <c r="F288" s="317">
        <v>1660</v>
      </c>
      <c r="G288" s="145">
        <v>0</v>
      </c>
      <c r="H288" s="473">
        <v>0</v>
      </c>
      <c r="I288" s="473">
        <v>657</v>
      </c>
      <c r="J288" s="466"/>
      <c r="K288" s="13"/>
      <c r="L288" s="13"/>
      <c r="M288" s="13"/>
      <c r="N288" s="13"/>
      <c r="O288" s="13"/>
    </row>
    <row r="289" spans="1:15">
      <c r="A289" s="145">
        <v>951</v>
      </c>
      <c r="B289" s="560" t="s">
        <v>504</v>
      </c>
      <c r="C289" s="473">
        <v>1500</v>
      </c>
      <c r="D289" s="558">
        <v>101</v>
      </c>
      <c r="E289" s="558" t="s">
        <v>185</v>
      </c>
      <c r="F289" s="317">
        <v>1601</v>
      </c>
      <c r="G289" s="145">
        <v>150</v>
      </c>
      <c r="H289" s="473">
        <v>0</v>
      </c>
      <c r="I289" s="473">
        <v>0</v>
      </c>
      <c r="J289" s="466"/>
      <c r="K289" s="13"/>
      <c r="L289" s="13"/>
      <c r="M289" s="13"/>
      <c r="N289" s="13"/>
      <c r="O289" s="13"/>
    </row>
    <row r="290" spans="1:15">
      <c r="A290" s="145">
        <v>952</v>
      </c>
      <c r="B290" s="560" t="s">
        <v>505</v>
      </c>
      <c r="C290" s="473">
        <v>971</v>
      </c>
      <c r="D290" s="558" t="s">
        <v>230</v>
      </c>
      <c r="E290" s="558" t="s">
        <v>185</v>
      </c>
      <c r="F290" s="317">
        <v>1298</v>
      </c>
      <c r="G290" s="145">
        <v>0</v>
      </c>
      <c r="H290" s="473">
        <v>0</v>
      </c>
      <c r="I290" s="473">
        <v>155</v>
      </c>
      <c r="J290" s="466"/>
      <c r="K290" s="13"/>
      <c r="L290" s="13"/>
      <c r="M290" s="13"/>
      <c r="N290" s="13"/>
      <c r="O290" s="13"/>
    </row>
    <row r="291" spans="1:15">
      <c r="A291" s="145">
        <v>953</v>
      </c>
      <c r="B291" s="560" t="s">
        <v>506</v>
      </c>
      <c r="C291" s="473">
        <v>971</v>
      </c>
      <c r="D291" s="558" t="s">
        <v>230</v>
      </c>
      <c r="E291" s="558" t="s">
        <v>185</v>
      </c>
      <c r="F291" s="317">
        <v>1298</v>
      </c>
      <c r="G291" s="145">
        <v>0</v>
      </c>
      <c r="H291" s="473">
        <v>0</v>
      </c>
      <c r="I291" s="473">
        <v>155</v>
      </c>
      <c r="J291" s="466"/>
      <c r="K291" s="13"/>
      <c r="L291" s="13"/>
      <c r="M291" s="13"/>
      <c r="N291" s="13"/>
      <c r="O291" s="13"/>
    </row>
    <row r="292" spans="1:15">
      <c r="A292" s="145">
        <v>954</v>
      </c>
      <c r="B292" s="560" t="s">
        <v>507</v>
      </c>
      <c r="C292" s="473">
        <v>1600</v>
      </c>
      <c r="D292" s="558">
        <v>88</v>
      </c>
      <c r="E292" s="558" t="s">
        <v>340</v>
      </c>
      <c r="F292" s="317">
        <v>1921</v>
      </c>
      <c r="G292" s="145">
        <v>0</v>
      </c>
      <c r="H292" s="473">
        <v>0</v>
      </c>
      <c r="I292" s="473">
        <v>657</v>
      </c>
      <c r="J292" s="466"/>
      <c r="K292" s="13"/>
      <c r="L292" s="13"/>
      <c r="M292" s="13"/>
      <c r="N292" s="13"/>
      <c r="O292" s="13"/>
    </row>
    <row r="293" spans="1:15">
      <c r="A293" s="145">
        <v>955</v>
      </c>
      <c r="B293" s="560" t="s">
        <v>406</v>
      </c>
      <c r="C293" s="473">
        <v>971</v>
      </c>
      <c r="D293" s="558" t="s">
        <v>230</v>
      </c>
      <c r="E293" s="558" t="s">
        <v>185</v>
      </c>
      <c r="F293" s="317">
        <v>1298</v>
      </c>
      <c r="G293" s="145">
        <v>0</v>
      </c>
      <c r="H293" s="473">
        <v>0</v>
      </c>
      <c r="I293" s="473">
        <v>0</v>
      </c>
      <c r="J293" s="466"/>
      <c r="K293" s="13"/>
      <c r="L293" s="13"/>
      <c r="M293" s="13"/>
      <c r="N293" s="13"/>
      <c r="O293" s="13"/>
    </row>
    <row r="294" spans="1:15">
      <c r="A294" s="145">
        <v>956</v>
      </c>
      <c r="B294" s="560" t="s">
        <v>508</v>
      </c>
      <c r="C294" s="473">
        <v>1692</v>
      </c>
      <c r="D294" s="558">
        <v>76</v>
      </c>
      <c r="E294" s="558" t="s">
        <v>338</v>
      </c>
      <c r="F294" s="317">
        <v>2040</v>
      </c>
      <c r="G294" s="145">
        <v>0</v>
      </c>
      <c r="H294" s="473">
        <v>0</v>
      </c>
      <c r="I294" s="473">
        <v>663</v>
      </c>
      <c r="J294" s="466"/>
      <c r="K294" s="13"/>
      <c r="L294" s="13"/>
      <c r="M294" s="13"/>
      <c r="N294" s="13"/>
      <c r="O294" s="13"/>
    </row>
    <row r="295" spans="1:15">
      <c r="A295" s="145">
        <v>957</v>
      </c>
      <c r="B295" s="560" t="s">
        <v>509</v>
      </c>
      <c r="C295" s="473">
        <v>1700</v>
      </c>
      <c r="D295" s="558">
        <v>75</v>
      </c>
      <c r="E295" s="558" t="s">
        <v>393</v>
      </c>
      <c r="F295" s="317">
        <v>2085</v>
      </c>
      <c r="G295" s="145">
        <v>0</v>
      </c>
      <c r="H295" s="473">
        <v>0</v>
      </c>
      <c r="I295" s="473">
        <v>0</v>
      </c>
      <c r="J295" s="466"/>
      <c r="K295" s="13"/>
      <c r="L295" s="13"/>
      <c r="M295" s="13"/>
      <c r="N295" s="13"/>
      <c r="O295" s="13"/>
    </row>
    <row r="296" spans="1:15">
      <c r="A296" s="145">
        <v>958</v>
      </c>
      <c r="B296" s="560" t="s">
        <v>510</v>
      </c>
      <c r="C296" s="473">
        <v>2913</v>
      </c>
      <c r="D296" s="558">
        <v>0</v>
      </c>
      <c r="E296" s="558" t="s">
        <v>185</v>
      </c>
      <c r="F296" s="317">
        <v>2913</v>
      </c>
      <c r="G296" s="145">
        <v>0</v>
      </c>
      <c r="H296" s="473">
        <v>0</v>
      </c>
      <c r="I296" s="473">
        <v>0</v>
      </c>
      <c r="J296" s="466"/>
      <c r="K296" s="13"/>
      <c r="L296" s="13"/>
      <c r="M296" s="13"/>
      <c r="N296" s="13"/>
      <c r="O296" s="13"/>
    </row>
    <row r="297" spans="1:15">
      <c r="A297" s="145">
        <v>959</v>
      </c>
      <c r="B297" s="560" t="s">
        <v>511</v>
      </c>
      <c r="C297" s="473">
        <v>1942</v>
      </c>
      <c r="D297" s="558">
        <v>43</v>
      </c>
      <c r="E297" s="558" t="s">
        <v>256</v>
      </c>
      <c r="F297" s="317">
        <v>2373</v>
      </c>
      <c r="G297" s="145">
        <v>0</v>
      </c>
      <c r="H297" s="473">
        <v>0</v>
      </c>
      <c r="I297" s="473">
        <v>0</v>
      </c>
      <c r="J297" s="466"/>
      <c r="K297" s="13"/>
      <c r="L297" s="13"/>
      <c r="M297" s="13"/>
      <c r="N297" s="13"/>
      <c r="O297" s="13"/>
    </row>
    <row r="298" spans="1:15">
      <c r="A298" s="145">
        <v>960</v>
      </c>
      <c r="B298" s="560" t="s">
        <v>512</v>
      </c>
      <c r="C298" s="473">
        <v>1600</v>
      </c>
      <c r="D298" s="558">
        <v>68</v>
      </c>
      <c r="E298" s="558" t="s">
        <v>513</v>
      </c>
      <c r="F298" s="317">
        <v>1901</v>
      </c>
      <c r="G298" s="145">
        <v>0</v>
      </c>
      <c r="H298" s="473">
        <v>0</v>
      </c>
      <c r="I298" s="473">
        <v>0</v>
      </c>
      <c r="J298" s="466"/>
      <c r="K298" s="13"/>
      <c r="L298" s="13"/>
      <c r="M298" s="13"/>
      <c r="N298" s="13"/>
      <c r="O298" s="13"/>
    </row>
    <row r="299" spans="1:15">
      <c r="A299" s="145">
        <v>961</v>
      </c>
      <c r="B299" s="560" t="s">
        <v>514</v>
      </c>
      <c r="C299" s="473">
        <v>1580</v>
      </c>
      <c r="D299" s="558">
        <v>90</v>
      </c>
      <c r="E299" s="558" t="s">
        <v>182</v>
      </c>
      <c r="F299" s="317" t="s">
        <v>183</v>
      </c>
      <c r="G299" s="145">
        <v>0</v>
      </c>
      <c r="H299" s="473">
        <v>0</v>
      </c>
      <c r="I299" s="473">
        <v>0</v>
      </c>
      <c r="J299" s="466"/>
      <c r="K299" s="13"/>
      <c r="L299" s="13"/>
      <c r="M299" s="13"/>
      <c r="N299" s="13"/>
      <c r="O299" s="13"/>
    </row>
    <row r="300" spans="1:15">
      <c r="A300" s="145">
        <v>962</v>
      </c>
      <c r="B300" s="560" t="s">
        <v>515</v>
      </c>
      <c r="C300" s="473">
        <v>1580</v>
      </c>
      <c r="D300" s="558">
        <v>90</v>
      </c>
      <c r="E300" s="558" t="s">
        <v>185</v>
      </c>
      <c r="F300" s="317">
        <v>1670</v>
      </c>
      <c r="G300" s="145">
        <v>0</v>
      </c>
      <c r="H300" s="473">
        <v>0</v>
      </c>
      <c r="I300" s="473">
        <v>0</v>
      </c>
      <c r="J300" s="466"/>
      <c r="K300" s="13"/>
      <c r="L300" s="13"/>
      <c r="M300" s="13"/>
      <c r="N300" s="13"/>
      <c r="O300" s="13"/>
    </row>
    <row r="301" spans="1:15">
      <c r="A301" s="145">
        <v>963</v>
      </c>
      <c r="B301" s="560" t="s">
        <v>516</v>
      </c>
      <c r="C301" s="473">
        <v>951</v>
      </c>
      <c r="D301" s="558" t="s">
        <v>230</v>
      </c>
      <c r="E301" s="558" t="s">
        <v>185</v>
      </c>
      <c r="F301" s="317">
        <v>1278</v>
      </c>
      <c r="G301" s="145">
        <v>0</v>
      </c>
      <c r="H301" s="473">
        <v>0</v>
      </c>
      <c r="I301" s="473">
        <v>0</v>
      </c>
      <c r="J301" s="466"/>
      <c r="K301" s="13"/>
      <c r="L301" s="13"/>
      <c r="M301" s="13"/>
      <c r="N301" s="13"/>
      <c r="O301" s="13"/>
    </row>
    <row r="302" spans="1:15">
      <c r="A302" s="145">
        <v>965</v>
      </c>
      <c r="B302" s="560" t="s">
        <v>517</v>
      </c>
      <c r="C302" s="473">
        <v>2913</v>
      </c>
      <c r="D302" s="558">
        <v>0</v>
      </c>
      <c r="E302" s="558" t="s">
        <v>185</v>
      </c>
      <c r="F302" s="317">
        <v>2913</v>
      </c>
      <c r="G302" s="145">
        <v>0</v>
      </c>
      <c r="H302" s="473">
        <v>0</v>
      </c>
      <c r="I302" s="473">
        <v>0</v>
      </c>
      <c r="J302" s="466"/>
      <c r="K302" s="13"/>
      <c r="L302" s="13"/>
      <c r="M302" s="13"/>
      <c r="N302" s="13"/>
      <c r="O302" s="13"/>
    </row>
    <row r="303" spans="1:15">
      <c r="A303" s="145">
        <v>966</v>
      </c>
      <c r="B303" s="560" t="s">
        <v>518</v>
      </c>
      <c r="C303" s="473">
        <v>1850</v>
      </c>
      <c r="D303" s="558">
        <v>55</v>
      </c>
      <c r="E303" s="558" t="s">
        <v>465</v>
      </c>
      <c r="F303" s="317" t="s">
        <v>466</v>
      </c>
      <c r="G303" s="145">
        <v>0</v>
      </c>
      <c r="H303" s="473">
        <v>0</v>
      </c>
      <c r="I303" s="473">
        <v>0</v>
      </c>
      <c r="J303" s="466"/>
      <c r="K303" s="13"/>
      <c r="L303" s="13"/>
      <c r="M303" s="13"/>
      <c r="N303" s="13"/>
      <c r="O303" s="13"/>
    </row>
    <row r="304" spans="1:15">
      <c r="A304" s="145">
        <v>967</v>
      </c>
      <c r="B304" s="560" t="s">
        <v>519</v>
      </c>
      <c r="C304" s="473">
        <v>1564</v>
      </c>
      <c r="D304" s="558">
        <v>93</v>
      </c>
      <c r="E304" s="558" t="s">
        <v>185</v>
      </c>
      <c r="F304" s="317">
        <v>1657</v>
      </c>
      <c r="G304" s="145">
        <v>0</v>
      </c>
      <c r="H304" s="473">
        <v>0</v>
      </c>
      <c r="I304" s="473">
        <v>0</v>
      </c>
      <c r="J304" s="466"/>
      <c r="K304" s="13"/>
      <c r="L304" s="13"/>
      <c r="M304" s="13"/>
      <c r="N304" s="13"/>
      <c r="O304" s="13"/>
    </row>
    <row r="305" spans="1:15">
      <c r="A305" s="145">
        <v>968</v>
      </c>
      <c r="B305" s="560" t="s">
        <v>454</v>
      </c>
      <c r="C305" s="473">
        <v>1500</v>
      </c>
      <c r="D305" s="558">
        <v>101</v>
      </c>
      <c r="E305" s="558" t="s">
        <v>330</v>
      </c>
      <c r="F305" s="317">
        <v>1989</v>
      </c>
      <c r="G305" s="145">
        <v>0</v>
      </c>
      <c r="H305" s="473">
        <v>0</v>
      </c>
      <c r="I305" s="473">
        <v>0</v>
      </c>
      <c r="J305" s="466"/>
      <c r="K305" s="13"/>
      <c r="L305" s="13"/>
      <c r="M305" s="13"/>
      <c r="N305" s="13"/>
      <c r="O305" s="13"/>
    </row>
    <row r="306" spans="1:15">
      <c r="A306" s="145">
        <v>969</v>
      </c>
      <c r="B306" s="560" t="s">
        <v>520</v>
      </c>
      <c r="C306" s="473">
        <v>971</v>
      </c>
      <c r="D306" s="558" t="s">
        <v>230</v>
      </c>
      <c r="E306" s="558" t="s">
        <v>185</v>
      </c>
      <c r="F306" s="317">
        <v>1298</v>
      </c>
      <c r="G306" s="145">
        <v>150</v>
      </c>
      <c r="H306" s="473">
        <v>0</v>
      </c>
      <c r="I306" s="473">
        <v>0</v>
      </c>
      <c r="J306" s="466"/>
      <c r="K306" s="13"/>
      <c r="L306" s="13"/>
      <c r="M306" s="13"/>
      <c r="N306" s="13"/>
      <c r="O306" s="13"/>
    </row>
    <row r="307" spans="1:15">
      <c r="A307" s="145">
        <v>970</v>
      </c>
      <c r="B307" s="560" t="s">
        <v>521</v>
      </c>
      <c r="C307" s="473">
        <v>1480</v>
      </c>
      <c r="D307" s="558">
        <v>104</v>
      </c>
      <c r="E307" s="558" t="s">
        <v>185</v>
      </c>
      <c r="F307" s="317">
        <v>1584</v>
      </c>
      <c r="G307" s="145">
        <v>0</v>
      </c>
      <c r="H307" s="473">
        <v>0</v>
      </c>
      <c r="I307" s="473">
        <v>0</v>
      </c>
      <c r="J307" s="466"/>
      <c r="K307" s="13"/>
      <c r="L307" s="13"/>
      <c r="M307" s="13"/>
      <c r="N307" s="13"/>
      <c r="O307" s="13"/>
    </row>
    <row r="308" spans="1:15">
      <c r="A308" s="145">
        <v>971</v>
      </c>
      <c r="B308" s="560" t="s">
        <v>394</v>
      </c>
      <c r="C308" s="473">
        <v>1400</v>
      </c>
      <c r="D308" s="558">
        <v>114</v>
      </c>
      <c r="E308" s="558" t="s">
        <v>340</v>
      </c>
      <c r="F308" s="317">
        <v>1747</v>
      </c>
      <c r="G308" s="145">
        <v>150</v>
      </c>
      <c r="H308" s="473">
        <v>0</v>
      </c>
      <c r="I308" s="473">
        <v>0</v>
      </c>
      <c r="J308" s="466"/>
      <c r="K308" s="13"/>
      <c r="L308" s="13"/>
      <c r="M308" s="13"/>
      <c r="N308" s="13"/>
      <c r="O308" s="13"/>
    </row>
    <row r="309" spans="1:15">
      <c r="A309" s="145">
        <v>972</v>
      </c>
      <c r="B309" s="560" t="s">
        <v>522</v>
      </c>
      <c r="C309" s="473">
        <v>1692</v>
      </c>
      <c r="D309" s="558">
        <v>76</v>
      </c>
      <c r="E309" s="558" t="s">
        <v>338</v>
      </c>
      <c r="F309" s="317">
        <v>2040</v>
      </c>
      <c r="G309" s="145">
        <v>17</v>
      </c>
      <c r="H309" s="473">
        <v>0</v>
      </c>
      <c r="I309" s="473">
        <v>0</v>
      </c>
      <c r="J309" s="466"/>
      <c r="K309" s="13"/>
      <c r="L309" s="13"/>
      <c r="M309" s="13"/>
      <c r="N309" s="13"/>
      <c r="O309" s="13"/>
    </row>
    <row r="310" spans="1:15">
      <c r="A310" s="145">
        <v>973</v>
      </c>
      <c r="B310" s="560" t="s">
        <v>523</v>
      </c>
      <c r="C310" s="473">
        <v>1592</v>
      </c>
      <c r="D310" s="558">
        <v>89</v>
      </c>
      <c r="E310" s="558" t="s">
        <v>340</v>
      </c>
      <c r="F310" s="317">
        <v>1914</v>
      </c>
      <c r="G310" s="145">
        <v>17</v>
      </c>
      <c r="H310" s="473">
        <v>0</v>
      </c>
      <c r="I310" s="473">
        <v>0</v>
      </c>
      <c r="J310" s="466"/>
      <c r="K310" s="13"/>
      <c r="L310" s="13"/>
      <c r="M310" s="13"/>
      <c r="N310" s="13"/>
      <c r="O310" s="13"/>
    </row>
    <row r="311" spans="1:15">
      <c r="A311" s="145">
        <v>974</v>
      </c>
      <c r="B311" s="560" t="s">
        <v>524</v>
      </c>
      <c r="C311" s="473">
        <v>1500</v>
      </c>
      <c r="D311" s="558">
        <v>101</v>
      </c>
      <c r="E311" s="558" t="s">
        <v>185</v>
      </c>
      <c r="F311" s="317">
        <v>1601</v>
      </c>
      <c r="G311" s="145">
        <v>150</v>
      </c>
      <c r="H311" s="473">
        <v>0</v>
      </c>
      <c r="I311" s="473">
        <v>0</v>
      </c>
      <c r="J311" s="466"/>
      <c r="K311" s="13"/>
      <c r="L311" s="13"/>
      <c r="M311" s="13"/>
      <c r="N311" s="13"/>
      <c r="O311" s="13"/>
    </row>
    <row r="312" spans="1:15">
      <c r="A312" s="145">
        <v>975</v>
      </c>
      <c r="B312" s="560" t="s">
        <v>525</v>
      </c>
      <c r="C312" s="473">
        <v>971</v>
      </c>
      <c r="D312" s="558" t="s">
        <v>230</v>
      </c>
      <c r="E312" s="558" t="s">
        <v>185</v>
      </c>
      <c r="F312" s="317">
        <v>1298</v>
      </c>
      <c r="G312" s="145">
        <v>0</v>
      </c>
      <c r="H312" s="473">
        <v>0</v>
      </c>
      <c r="I312" s="473">
        <v>0</v>
      </c>
      <c r="J312" s="466"/>
      <c r="K312" s="13"/>
      <c r="L312" s="13"/>
      <c r="M312" s="13"/>
      <c r="N312" s="13"/>
      <c r="O312" s="13"/>
    </row>
    <row r="313" spans="1:15">
      <c r="A313" s="145">
        <v>976</v>
      </c>
      <c r="B313" s="560" t="s">
        <v>526</v>
      </c>
      <c r="C313" s="473">
        <v>971</v>
      </c>
      <c r="D313" s="558" t="s">
        <v>230</v>
      </c>
      <c r="E313" s="558" t="s">
        <v>185</v>
      </c>
      <c r="F313" s="317">
        <v>1298</v>
      </c>
      <c r="G313" s="145">
        <v>0</v>
      </c>
      <c r="H313" s="473">
        <v>0</v>
      </c>
      <c r="I313" s="473">
        <v>0</v>
      </c>
      <c r="J313" s="466"/>
      <c r="K313" s="13"/>
      <c r="L313" s="13"/>
      <c r="M313" s="13"/>
      <c r="N313" s="13"/>
      <c r="O313" s="13"/>
    </row>
    <row r="314" spans="1:15">
      <c r="A314" s="145">
        <v>977</v>
      </c>
      <c r="B314" s="560" t="s">
        <v>527</v>
      </c>
      <c r="C314" s="473">
        <v>971</v>
      </c>
      <c r="D314" s="558" t="s">
        <v>230</v>
      </c>
      <c r="E314" s="558" t="s">
        <v>185</v>
      </c>
      <c r="F314" s="317">
        <v>1298</v>
      </c>
      <c r="G314" s="145">
        <v>0</v>
      </c>
      <c r="H314" s="473">
        <v>0</v>
      </c>
      <c r="I314" s="473">
        <v>0</v>
      </c>
      <c r="J314" s="466"/>
      <c r="K314" s="13"/>
      <c r="L314" s="13"/>
      <c r="M314" s="13"/>
      <c r="N314" s="13"/>
      <c r="O314" s="13"/>
    </row>
    <row r="315" spans="1:15">
      <c r="A315" s="145">
        <v>978</v>
      </c>
      <c r="B315" s="560" t="s">
        <v>528</v>
      </c>
      <c r="C315" s="473">
        <v>1840</v>
      </c>
      <c r="D315" s="558">
        <v>57</v>
      </c>
      <c r="E315" s="558" t="s">
        <v>330</v>
      </c>
      <c r="F315" s="317">
        <v>2285</v>
      </c>
      <c r="G315" s="145">
        <v>0</v>
      </c>
      <c r="H315" s="473">
        <v>0</v>
      </c>
      <c r="I315" s="473">
        <v>0</v>
      </c>
      <c r="J315" s="466"/>
      <c r="K315" s="13"/>
      <c r="L315" s="13"/>
      <c r="M315" s="13"/>
      <c r="N315" s="13"/>
      <c r="O315" s="13"/>
    </row>
    <row r="316" spans="1:15">
      <c r="A316" s="145">
        <v>979</v>
      </c>
      <c r="B316" s="560" t="s">
        <v>529</v>
      </c>
      <c r="C316" s="473">
        <v>1400</v>
      </c>
      <c r="D316" s="558">
        <v>70</v>
      </c>
      <c r="E316" s="558" t="s">
        <v>340</v>
      </c>
      <c r="F316" s="317">
        <v>1703</v>
      </c>
      <c r="G316" s="145">
        <v>0</v>
      </c>
      <c r="H316" s="473">
        <v>0</v>
      </c>
      <c r="I316" s="473">
        <v>0</v>
      </c>
      <c r="J316" s="466"/>
      <c r="K316" s="13"/>
      <c r="L316" s="13"/>
      <c r="M316" s="13"/>
      <c r="N316" s="13"/>
      <c r="O316" s="13"/>
    </row>
    <row r="317" spans="1:15">
      <c r="A317" s="145">
        <v>980</v>
      </c>
      <c r="B317" s="560" t="s">
        <v>530</v>
      </c>
      <c r="C317" s="473">
        <v>1300</v>
      </c>
      <c r="D317" s="558">
        <v>127</v>
      </c>
      <c r="E317" s="558" t="s">
        <v>340</v>
      </c>
      <c r="F317" s="317">
        <v>1660</v>
      </c>
      <c r="G317" s="145">
        <v>0</v>
      </c>
      <c r="H317" s="473">
        <v>0</v>
      </c>
      <c r="I317" s="473">
        <v>0</v>
      </c>
      <c r="J317" s="466"/>
      <c r="K317" s="13"/>
      <c r="L317" s="13"/>
      <c r="M317" s="13"/>
      <c r="N317" s="13"/>
      <c r="O317" s="13"/>
    </row>
    <row r="318" spans="1:15">
      <c r="A318" s="145">
        <v>981</v>
      </c>
      <c r="B318" s="560" t="s">
        <v>531</v>
      </c>
      <c r="C318" s="473">
        <v>1250</v>
      </c>
      <c r="D318" s="558">
        <v>134</v>
      </c>
      <c r="E318" s="558" t="s">
        <v>340</v>
      </c>
      <c r="F318" s="317">
        <v>1617</v>
      </c>
      <c r="G318" s="145">
        <v>0</v>
      </c>
      <c r="H318" s="473">
        <v>0</v>
      </c>
      <c r="I318" s="473">
        <v>0</v>
      </c>
      <c r="J318" s="466"/>
      <c r="K318" s="13"/>
      <c r="L318" s="13"/>
      <c r="M318" s="13"/>
      <c r="N318" s="13"/>
      <c r="O318" s="13"/>
    </row>
    <row r="319" spans="1:15">
      <c r="A319" s="145">
        <v>982</v>
      </c>
      <c r="B319" s="560" t="s">
        <v>532</v>
      </c>
      <c r="C319" s="473">
        <v>1740</v>
      </c>
      <c r="D319" s="558">
        <v>70</v>
      </c>
      <c r="E319" s="558" t="s">
        <v>393</v>
      </c>
      <c r="F319" s="317">
        <v>2120</v>
      </c>
      <c r="G319" s="145">
        <v>0</v>
      </c>
      <c r="H319" s="473">
        <v>0</v>
      </c>
      <c r="I319" s="473">
        <v>0</v>
      </c>
      <c r="J319" s="466"/>
      <c r="K319" s="13"/>
      <c r="L319" s="13"/>
      <c r="M319" s="13"/>
      <c r="N319" s="13"/>
      <c r="O319" s="13"/>
    </row>
    <row r="320" spans="1:15">
      <c r="A320" s="145">
        <v>983</v>
      </c>
      <c r="B320" s="560" t="s">
        <v>533</v>
      </c>
      <c r="C320" s="473">
        <v>1170</v>
      </c>
      <c r="D320" s="558">
        <v>144</v>
      </c>
      <c r="E320" s="558" t="s">
        <v>185</v>
      </c>
      <c r="F320" s="317">
        <v>1314</v>
      </c>
      <c r="G320" s="145">
        <v>0</v>
      </c>
      <c r="H320" s="473">
        <v>0</v>
      </c>
      <c r="I320" s="473">
        <v>0</v>
      </c>
      <c r="J320" s="466"/>
      <c r="K320" s="13"/>
      <c r="L320" s="13"/>
      <c r="M320" s="13"/>
      <c r="N320" s="13"/>
      <c r="O320" s="13"/>
    </row>
    <row r="321" spans="1:15">
      <c r="A321" s="145">
        <v>984</v>
      </c>
      <c r="B321" s="560" t="s">
        <v>534</v>
      </c>
      <c r="C321" s="473">
        <v>690</v>
      </c>
      <c r="D321" s="558" t="s">
        <v>230</v>
      </c>
      <c r="E321" s="558" t="s">
        <v>185</v>
      </c>
      <c r="F321" s="317">
        <v>1017</v>
      </c>
      <c r="G321" s="145">
        <v>0</v>
      </c>
      <c r="H321" s="473">
        <v>0</v>
      </c>
      <c r="I321" s="473">
        <v>0</v>
      </c>
      <c r="J321" s="466"/>
      <c r="K321" s="13"/>
      <c r="L321" s="13"/>
      <c r="M321" s="13"/>
      <c r="N321" s="13"/>
      <c r="O321" s="13"/>
    </row>
    <row r="322" spans="1:15">
      <c r="A322" s="145">
        <v>985</v>
      </c>
      <c r="B322" s="560" t="s">
        <v>535</v>
      </c>
      <c r="C322" s="473">
        <v>2913</v>
      </c>
      <c r="D322" s="558">
        <v>0</v>
      </c>
      <c r="E322" s="558" t="s">
        <v>185</v>
      </c>
      <c r="F322" s="317">
        <v>2913</v>
      </c>
      <c r="G322" s="145">
        <v>0</v>
      </c>
      <c r="H322" s="473">
        <v>0</v>
      </c>
      <c r="I322" s="473">
        <v>0</v>
      </c>
      <c r="J322" s="466"/>
      <c r="K322" s="13"/>
      <c r="L322" s="13"/>
      <c r="M322" s="13"/>
      <c r="N322" s="13"/>
      <c r="O322" s="13"/>
    </row>
    <row r="323" spans="1:15">
      <c r="A323" s="145">
        <v>986</v>
      </c>
      <c r="B323" s="560" t="s">
        <v>536</v>
      </c>
      <c r="C323" s="473">
        <v>644</v>
      </c>
      <c r="D323" s="558" t="s">
        <v>230</v>
      </c>
      <c r="E323" s="558" t="s">
        <v>185</v>
      </c>
      <c r="F323" s="317">
        <v>971</v>
      </c>
      <c r="G323" s="145">
        <v>0</v>
      </c>
      <c r="H323" s="473">
        <v>0</v>
      </c>
      <c r="I323" s="473">
        <v>0</v>
      </c>
      <c r="J323" s="466"/>
      <c r="K323" s="13"/>
      <c r="L323" s="13"/>
      <c r="M323" s="13"/>
      <c r="N323" s="13"/>
      <c r="O323" s="13"/>
    </row>
    <row r="324" spans="1:15">
      <c r="A324" s="145">
        <v>987</v>
      </c>
      <c r="B324" s="560" t="s">
        <v>356</v>
      </c>
      <c r="C324" s="473">
        <v>1170</v>
      </c>
      <c r="D324" s="558">
        <v>144</v>
      </c>
      <c r="E324" s="558" t="s">
        <v>185</v>
      </c>
      <c r="F324" s="317">
        <v>1314</v>
      </c>
      <c r="G324" s="145">
        <v>0</v>
      </c>
      <c r="H324" s="473">
        <v>0</v>
      </c>
      <c r="I324" s="473">
        <v>0</v>
      </c>
      <c r="J324" s="466"/>
      <c r="K324" s="13"/>
      <c r="L324" s="13"/>
      <c r="M324" s="13"/>
      <c r="N324" s="13"/>
      <c r="O324" s="13"/>
    </row>
    <row r="325" spans="1:15">
      <c r="A325" s="145">
        <v>988</v>
      </c>
      <c r="B325" s="560" t="s">
        <v>537</v>
      </c>
      <c r="C325" s="473">
        <v>2600</v>
      </c>
      <c r="D325" s="558">
        <v>0</v>
      </c>
      <c r="E325" s="558" t="s">
        <v>185</v>
      </c>
      <c r="F325" s="317">
        <v>2600</v>
      </c>
      <c r="G325" s="145">
        <v>0</v>
      </c>
      <c r="H325" s="473">
        <v>0</v>
      </c>
      <c r="I325" s="473">
        <v>0</v>
      </c>
      <c r="J325" s="466"/>
      <c r="K325" s="13"/>
      <c r="L325" s="13"/>
      <c r="M325" s="13"/>
      <c r="N325" s="13"/>
      <c r="O325" s="13"/>
    </row>
    <row r="326" spans="1:15">
      <c r="A326" s="145">
        <v>989</v>
      </c>
      <c r="B326" s="560" t="s">
        <v>538</v>
      </c>
      <c r="C326" s="473">
        <v>2840</v>
      </c>
      <c r="D326" s="558">
        <v>0</v>
      </c>
      <c r="E326" s="558" t="s">
        <v>185</v>
      </c>
      <c r="F326" s="317">
        <v>2840</v>
      </c>
      <c r="G326" s="145">
        <v>0</v>
      </c>
      <c r="H326" s="473">
        <v>0</v>
      </c>
      <c r="I326" s="473">
        <v>0</v>
      </c>
      <c r="J326" s="466"/>
      <c r="K326" s="13"/>
      <c r="L326" s="13"/>
      <c r="M326" s="13"/>
      <c r="N326" s="13"/>
      <c r="O326" s="13"/>
    </row>
    <row r="327" spans="1:15">
      <c r="A327" s="145">
        <v>990</v>
      </c>
      <c r="B327" s="560" t="s">
        <v>539</v>
      </c>
      <c r="C327" s="473">
        <v>2100</v>
      </c>
      <c r="D327" s="558">
        <v>23</v>
      </c>
      <c r="E327" s="558" t="s">
        <v>185</v>
      </c>
      <c r="F327" s="317">
        <v>2123</v>
      </c>
      <c r="G327" s="145">
        <v>0</v>
      </c>
      <c r="H327" s="473">
        <v>0</v>
      </c>
      <c r="I327" s="473">
        <v>0</v>
      </c>
      <c r="J327" s="466"/>
      <c r="K327" s="13"/>
      <c r="L327" s="13"/>
      <c r="M327" s="13"/>
      <c r="N327" s="13"/>
      <c r="O327" s="13"/>
    </row>
    <row r="328" spans="1:15">
      <c r="A328" s="145">
        <v>991</v>
      </c>
      <c r="B328" s="560" t="s">
        <v>540</v>
      </c>
      <c r="C328" s="473">
        <v>1850</v>
      </c>
      <c r="D328" s="558">
        <v>55</v>
      </c>
      <c r="E328" s="558" t="s">
        <v>185</v>
      </c>
      <c r="F328" s="317">
        <v>1905</v>
      </c>
      <c r="G328" s="145">
        <v>0</v>
      </c>
      <c r="H328" s="473">
        <v>0</v>
      </c>
      <c r="I328" s="473">
        <v>0</v>
      </c>
      <c r="J328" s="466"/>
      <c r="K328" s="13"/>
      <c r="L328" s="13"/>
      <c r="M328" s="13"/>
      <c r="N328" s="13"/>
      <c r="O328" s="13"/>
    </row>
    <row r="329" spans="1:15">
      <c r="A329" s="145">
        <v>992</v>
      </c>
      <c r="B329" s="560" t="s">
        <v>541</v>
      </c>
      <c r="C329" s="473">
        <v>1500</v>
      </c>
      <c r="D329" s="558">
        <v>0</v>
      </c>
      <c r="E329" s="558" t="s">
        <v>340</v>
      </c>
      <c r="F329" s="317">
        <v>1733</v>
      </c>
      <c r="G329" s="145">
        <v>0</v>
      </c>
      <c r="H329" s="473">
        <v>0</v>
      </c>
      <c r="I329" s="473">
        <v>0</v>
      </c>
      <c r="J329" s="466"/>
      <c r="K329" s="13"/>
      <c r="L329" s="13"/>
      <c r="M329" s="13"/>
      <c r="N329" s="13"/>
      <c r="O329" s="13"/>
    </row>
    <row r="330" spans="1:15">
      <c r="A330" s="145">
        <v>993</v>
      </c>
      <c r="B330" s="560" t="s">
        <v>542</v>
      </c>
      <c r="C330" s="473">
        <v>2913</v>
      </c>
      <c r="D330" s="558">
        <v>0</v>
      </c>
      <c r="E330" s="558" t="s">
        <v>185</v>
      </c>
      <c r="F330" s="317">
        <v>2913</v>
      </c>
      <c r="G330" s="145">
        <v>0</v>
      </c>
      <c r="H330" s="473">
        <v>0</v>
      </c>
      <c r="I330" s="473">
        <v>0</v>
      </c>
      <c r="J330" s="466"/>
      <c r="K330" s="13"/>
      <c r="L330" s="13"/>
      <c r="M330" s="13"/>
      <c r="N330" s="13"/>
      <c r="O330" s="13"/>
    </row>
    <row r="331" spans="1:15">
      <c r="A331" s="145">
        <v>994</v>
      </c>
      <c r="B331" s="560" t="s">
        <v>543</v>
      </c>
      <c r="C331" s="473">
        <v>1580</v>
      </c>
      <c r="D331" s="558">
        <v>90</v>
      </c>
      <c r="E331" s="558" t="s">
        <v>182</v>
      </c>
      <c r="F331" s="317" t="s">
        <v>183</v>
      </c>
      <c r="G331" s="145">
        <v>0</v>
      </c>
      <c r="H331" s="473">
        <v>0</v>
      </c>
      <c r="I331" s="473">
        <v>0</v>
      </c>
      <c r="J331" s="466"/>
      <c r="K331" s="13"/>
      <c r="L331" s="13"/>
      <c r="M331" s="13"/>
      <c r="N331" s="13"/>
      <c r="O331" s="13"/>
    </row>
    <row r="332" spans="1:15">
      <c r="A332" s="145">
        <v>995</v>
      </c>
      <c r="B332" s="560" t="s">
        <v>544</v>
      </c>
      <c r="C332" s="473">
        <v>1564</v>
      </c>
      <c r="D332" s="558">
        <v>93</v>
      </c>
      <c r="E332" s="558" t="s">
        <v>185</v>
      </c>
      <c r="F332" s="317">
        <v>1657</v>
      </c>
      <c r="G332" s="145">
        <v>0</v>
      </c>
      <c r="H332" s="473">
        <v>0</v>
      </c>
      <c r="I332" s="473">
        <v>0</v>
      </c>
      <c r="J332" s="466"/>
      <c r="K332" s="13"/>
      <c r="L332" s="13"/>
      <c r="M332" s="13"/>
      <c r="N332" s="13"/>
      <c r="O332" s="13"/>
    </row>
    <row r="333" spans="1:15">
      <c r="A333" s="145">
        <v>996</v>
      </c>
      <c r="B333" s="560" t="s">
        <v>246</v>
      </c>
      <c r="C333" s="473">
        <v>1480</v>
      </c>
      <c r="D333" s="558">
        <v>104</v>
      </c>
      <c r="E333" s="558" t="s">
        <v>185</v>
      </c>
      <c r="F333" s="317">
        <v>1584</v>
      </c>
      <c r="G333" s="145">
        <v>0</v>
      </c>
      <c r="H333" s="473">
        <v>0</v>
      </c>
      <c r="I333" s="473">
        <v>0</v>
      </c>
      <c r="J333" s="466"/>
      <c r="K333" s="13"/>
      <c r="L333" s="13"/>
      <c r="M333" s="13"/>
      <c r="N333" s="13"/>
      <c r="O333" s="13"/>
    </row>
    <row r="334" spans="1:15">
      <c r="A334" s="145">
        <v>997</v>
      </c>
      <c r="B334" s="560" t="s">
        <v>545</v>
      </c>
      <c r="C334" s="473">
        <v>1564</v>
      </c>
      <c r="D334" s="558">
        <v>93</v>
      </c>
      <c r="E334" s="558" t="s">
        <v>185</v>
      </c>
      <c r="F334" s="317">
        <v>1657</v>
      </c>
      <c r="G334" s="145">
        <v>0</v>
      </c>
      <c r="H334" s="473">
        <v>0</v>
      </c>
      <c r="I334" s="473">
        <v>0</v>
      </c>
      <c r="J334" s="466"/>
      <c r="K334" s="13"/>
      <c r="L334" s="13"/>
      <c r="M334" s="13"/>
      <c r="N334" s="13"/>
      <c r="O334" s="13"/>
    </row>
    <row r="335" spans="1:15">
      <c r="A335" s="145">
        <v>998</v>
      </c>
      <c r="B335" s="560" t="s">
        <v>546</v>
      </c>
      <c r="C335" s="473">
        <v>2220</v>
      </c>
      <c r="D335" s="558">
        <v>7</v>
      </c>
      <c r="E335" s="558" t="s">
        <v>185</v>
      </c>
      <c r="F335" s="317">
        <v>2227</v>
      </c>
      <c r="G335" s="145">
        <v>0</v>
      </c>
      <c r="H335" s="473">
        <v>0</v>
      </c>
      <c r="I335" s="473">
        <v>0</v>
      </c>
      <c r="J335" s="466"/>
      <c r="K335" s="13"/>
      <c r="L335" s="13"/>
      <c r="M335" s="13"/>
      <c r="N335" s="13"/>
      <c r="O335" s="13"/>
    </row>
    <row r="336" spans="1:15">
      <c r="A336" s="145">
        <v>999</v>
      </c>
      <c r="B336" s="560" t="s">
        <v>547</v>
      </c>
      <c r="C336" s="473">
        <v>1250</v>
      </c>
      <c r="D336" s="558">
        <v>134</v>
      </c>
      <c r="E336" s="558" t="s">
        <v>340</v>
      </c>
      <c r="F336" s="317">
        <v>1617</v>
      </c>
      <c r="G336" s="145">
        <v>0</v>
      </c>
      <c r="H336" s="473">
        <v>0</v>
      </c>
      <c r="I336" s="473">
        <v>0</v>
      </c>
      <c r="J336" s="466"/>
      <c r="K336" s="13"/>
      <c r="L336" s="13"/>
      <c r="M336" s="13"/>
      <c r="N336" s="13"/>
      <c r="O336" s="13"/>
    </row>
    <row r="337" spans="1:15">
      <c r="A337" s="13"/>
      <c r="B337" s="13"/>
      <c r="C337" s="13"/>
      <c r="D337" s="517"/>
      <c r="E337" s="517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>
      <c r="A338" s="13"/>
      <c r="B338" s="13"/>
      <c r="C338" s="13"/>
      <c r="D338" s="517"/>
      <c r="E338" s="517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>
      <c r="A339" s="13"/>
      <c r="B339" s="13"/>
      <c r="C339" s="13"/>
      <c r="D339" s="517"/>
      <c r="E339" s="517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>
      <c r="A340" s="13"/>
      <c r="B340" s="13"/>
      <c r="C340" s="13"/>
      <c r="D340" s="517"/>
      <c r="E340" s="517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</sheetData>
  <sheetProtection password="DFB3" sheet="1" objects="1" scenarios="1" selectLockedCells="1"/>
  <hyperlinks>
    <hyperlink ref="B1" r:id="rId1" location="'recibo de sueldo'!A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70</vt:i4>
      </vt:variant>
    </vt:vector>
  </HeadingPairs>
  <TitlesOfParts>
    <vt:vector size="72" baseType="lpstr">
      <vt:lpstr>Recibo</vt:lpstr>
      <vt:lpstr>cargos</vt:lpstr>
      <vt:lpstr>adicdir2016</vt:lpstr>
      <vt:lpstr>adichsmedia</vt:lpstr>
      <vt:lpstr>adicnina</vt:lpstr>
      <vt:lpstr>Aumento1</vt:lpstr>
      <vt:lpstr>Aumento2</vt:lpstr>
      <vt:lpstr>Aumento3</vt:lpstr>
      <vt:lpstr>Aumento4</vt:lpstr>
      <vt:lpstr>Aumento5</vt:lpstr>
      <vt:lpstr>aumento6</vt:lpstr>
      <vt:lpstr>Aumentomar21</vt:lpstr>
      <vt:lpstr>canthor06med</vt:lpstr>
      <vt:lpstr>canthor06sup</vt:lpstr>
      <vt:lpstr>canthorincmed</vt:lpstr>
      <vt:lpstr>canthorincsup</vt:lpstr>
      <vt:lpstr>canthormed</vt:lpstr>
      <vt:lpstr>canthorsup</vt:lpstr>
      <vt:lpstr>cantkm</vt:lpstr>
      <vt:lpstr>cantkmhm</vt:lpstr>
      <vt:lpstr>cantkmhs</vt:lpstr>
      <vt:lpstr>codigo06cargosdic22</vt:lpstr>
      <vt:lpstr>codigo06cargosene20</vt:lpstr>
      <vt:lpstr>codigo06cargosfeb21</vt:lpstr>
      <vt:lpstr>compbas16</vt:lpstr>
      <vt:lpstr>compbas2016</vt:lpstr>
      <vt:lpstr>compdir16</vt:lpstr>
      <vt:lpstr>escalaañosantig</vt:lpstr>
      <vt:lpstr>escalaporcantig</vt:lpstr>
      <vt:lpstr>indicedic21</vt:lpstr>
      <vt:lpstr>indiceene20</vt:lpstr>
      <vt:lpstr>indiceene22</vt:lpstr>
      <vt:lpstr>indicemar21</vt:lpstr>
      <vt:lpstr>indiceproljordic21</vt:lpstr>
      <vt:lpstr>indiceproljorene20</vt:lpstr>
      <vt:lpstr>indiceproljorene22</vt:lpstr>
      <vt:lpstr>indiceproljormar21</vt:lpstr>
      <vt:lpstr>kmsem</vt:lpstr>
      <vt:lpstr>kmsemhsmed</vt:lpstr>
      <vt:lpstr>kmsemhssup</vt:lpstr>
      <vt:lpstr>nina</vt:lpstr>
      <vt:lpstr>nombrecargo</vt:lpstr>
      <vt:lpstr>numcargo</vt:lpstr>
      <vt:lpstr>poragmer</vt:lpstr>
      <vt:lpstr>porant</vt:lpstr>
      <vt:lpstr>porantigcargo</vt:lpstr>
      <vt:lpstr>porantighormed</vt:lpstr>
      <vt:lpstr>porantighorsup</vt:lpstr>
      <vt:lpstr>porjub</vt:lpstr>
      <vt:lpstr>porley</vt:lpstr>
      <vt:lpstr>poros</vt:lpstr>
      <vt:lpstr>porzonacargo</vt:lpstr>
      <vt:lpstr>porzonahsmed</vt:lpstr>
      <vt:lpstr>punbascar</vt:lpstr>
      <vt:lpstr>punbascargo</vt:lpstr>
      <vt:lpstr>punbashormed</vt:lpstr>
      <vt:lpstr>punbashorsup</vt:lpstr>
      <vt:lpstr>punjorcomcargo</vt:lpstr>
      <vt:lpstr>punproljorcargo</vt:lpstr>
      <vt:lpstr>puntardifcargo</vt:lpstr>
      <vt:lpstr>puntosadicnina</vt:lpstr>
      <vt:lpstr>PUNTOSbasicos</vt:lpstr>
      <vt:lpstr>puntosproljor</vt:lpstr>
      <vt:lpstr>puntostardif</vt:lpstr>
      <vt:lpstr>totalrem1</vt:lpstr>
      <vt:lpstr>totalrem2</vt:lpstr>
      <vt:lpstr>totalrem3</vt:lpstr>
      <vt:lpstr>totalrem4</vt:lpstr>
      <vt:lpstr>totalrem5</vt:lpstr>
      <vt:lpstr>totalremene22</vt:lpstr>
      <vt:lpstr>totalremfeb21</vt:lpstr>
      <vt:lpstr>totalremmar20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</dc:creator>
  <cp:lastModifiedBy>Victor</cp:lastModifiedBy>
  <dcterms:created xsi:type="dcterms:W3CDTF">2022-02-04T04:38:20Z</dcterms:created>
  <dcterms:modified xsi:type="dcterms:W3CDTF">2022-02-11T00:11:45Z</dcterms:modified>
</cp:coreProperties>
</file>