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tabRatio="593" activeTab="0"/>
  </bookViews>
  <sheets>
    <sheet name="Haberes jubilados" sheetId="1" r:id="rId1"/>
    <sheet name="Cargos" sheetId="2" r:id="rId2"/>
    <sheet name="Para varios cargos" sheetId="3" state="hidden" r:id="rId3"/>
    <sheet name="Hoja1" sheetId="4" state="hidden" r:id="rId4"/>
    <sheet name="Hoja2" sheetId="5" state="hidden" r:id="rId5"/>
  </sheets>
  <externalReferences>
    <externalReference r:id="rId8"/>
    <externalReference r:id="rId9"/>
  </externalReferences>
  <definedNames>
    <definedName name="adicdir">'Cargos'!$K$3:$K$336</definedName>
    <definedName name="adicdir2013">'Cargos'!$L$3:$L$336</definedName>
    <definedName name="adicdir2014">'Cargos'!$M$3:$M$336</definedName>
    <definedName name="adicdir2016">'Cargos'!$N$3:$N$336</definedName>
    <definedName name="adicdir2022">'Cargos'!$O$3:$O$336</definedName>
    <definedName name="adicdirvarios1">'Para varios cargos'!$J$48</definedName>
    <definedName name="adicdirvarios2">'Para varios cargos'!$J$126</definedName>
    <definedName name="adicdirvarios3">'Para varios cargos'!$J$205</definedName>
    <definedName name="adicdirvarios4">'Para varios cargos'!$J$284</definedName>
    <definedName name="adichsmedia">'Haberes jubilados'!$D$242</definedName>
    <definedName name="adicnina">'Cargos'!$T$3:$T$336</definedName>
    <definedName name="aumento1">'Haberes jubilados'!$J$66</definedName>
    <definedName name="aumento10">'Haberes jubilados'!$J$62</definedName>
    <definedName name="Aumento2">'Haberes jubilados'!$J$67</definedName>
    <definedName name="Aumento3">'Haberes jubilados'!$J$68</definedName>
    <definedName name="Aumento4">'Haberes jubilados'!$J$69</definedName>
    <definedName name="aumento5">'Haberes jubilados'!$L$66</definedName>
    <definedName name="aumento6">'Haberes jubilados'!$L$67</definedName>
    <definedName name="Aumento7">'Haberes jubilados'!$L$68</definedName>
    <definedName name="Aumento8">'Haberes jubilados'!$L$69</definedName>
    <definedName name="aumentoenero23">'Haberes jubilados'!$N$66</definedName>
    <definedName name="cargosingreso">'Haberes jubilados'!$C$118</definedName>
    <definedName name="cargosproljor">'Haberes jubilados'!#REF!</definedName>
    <definedName name="cod06cargosago17">'Haberes jubilados'!#REF!</definedName>
    <definedName name="cod06cargosdic21">'Haberes jubilados'!$C$103:$C$114</definedName>
    <definedName name="cod06cargosene23">'Haberes jubilados'!$C$71:$C$82</definedName>
    <definedName name="cod06cargosfeb21">'Haberes jubilados'!$C$87:$C$98</definedName>
    <definedName name="cod06dic21">'Haberes jubilados'!#REF!</definedName>
    <definedName name="cod06ene20">'Haberes jubilados'!#REF!</definedName>
    <definedName name="cod06ene22">'Haberes jubilados'!$C$64</definedName>
    <definedName name="cod06ene23">'Haberes jubilados'!$C$64</definedName>
    <definedName name="cod06feb21">'Haberes jubilados'!#REF!</definedName>
    <definedName name="cod06horas">'Haberes jubilados'!#REF!</definedName>
    <definedName name="compbasico">'Haberes jubilados'!#REF!</definedName>
    <definedName name="compbasico2013">'Haberes jubilados'!$H$123</definedName>
    <definedName name="compbasico2014">'Haberes jubilados'!#REF!</definedName>
    <definedName name="compbasico2015">'Haberes jubilados'!$F$121</definedName>
    <definedName name="compbasico2016">'Haberes jubilados'!$G$123</definedName>
    <definedName name="compbasicovarios1">'Para varios cargos'!$I$48</definedName>
    <definedName name="compbasicovarios2">'Para varios cargos'!$I$126</definedName>
    <definedName name="compbasicovarios3">'Para varios cargos'!$I$205</definedName>
    <definedName name="compbasicovarios4">'Para varios cargos'!$I$284</definedName>
    <definedName name="cuartocargo">'Para varios cargos'!$E$281</definedName>
    <definedName name="frac">'Haberes jubilados'!$F$124</definedName>
    <definedName name="frac1">'Para varios cargos'!$I$51</definedName>
    <definedName name="frac2">'Para varios cargos'!$I$129</definedName>
    <definedName name="frac3">'Para varios cargos'!$I$208</definedName>
    <definedName name="frac4">'Para varios cargos'!$I$287</definedName>
    <definedName name="horasmedia">'Haberes jubilados'!$B$234</definedName>
    <definedName name="horassuperior">'Haberes jubilados'!$B$338</definedName>
    <definedName name="indiceene23">'Haberes jubilados'!$C$59</definedName>
    <definedName name="indiceproljorene23">'Haberes jubilados'!$C$62</definedName>
    <definedName name="infladic">'Haberes jubilados'!#REF!</definedName>
    <definedName name="inflajun">'Haberes jubilados'!#REF!</definedName>
    <definedName name="inflasep">'Haberes jubilados'!#REF!</definedName>
    <definedName name="instructivo">'Haberes jubilados'!#REF!</definedName>
    <definedName name="jorcom">'Cargos'!$S$3:$S$336</definedName>
    <definedName name="nina">'Haberes jubilados'!$H$126</definedName>
    <definedName name="nombrecargo">'Cargos'!$B$3:$B$336</definedName>
    <definedName name="nomprovcar">'Haberes jubilados'!#REF!</definedName>
    <definedName name="nomprovhsmed">'Haberes jubilados'!#REF!</definedName>
    <definedName name="nomprovhssup">'Haberes jubilados'!#REF!</definedName>
    <definedName name="numcargo">'[1]Cargos'!$A$3:$A$335</definedName>
    <definedName name="numerocargo">'Cargos'!$A$3:$A$336</definedName>
    <definedName name="numhorasmed">'Haberes jubilados'!$D$238</definedName>
    <definedName name="numhorassup">'Haberes jubilados'!$D$342</definedName>
    <definedName name="porant">'Haberes jubilados'!$B$71:$B$82</definedName>
    <definedName name="porantvar1">'Para varios cargos'!$E$11:$E$22</definedName>
    <definedName name="porantvar2">'Para varios cargos'!$E$88:$E$99</definedName>
    <definedName name="porantvar3">'Para varios cargos'!$E$168:$E$179</definedName>
    <definedName name="porantvar4">'Para varios cargos'!$E$246:$E$257</definedName>
    <definedName name="porcantigcargo">'Haberes jubilados'!$D$130</definedName>
    <definedName name="porcantighorasmed">'Haberes jubilados'!$D$239</definedName>
    <definedName name="porcantigsup">'Haberes jubilados'!$D$343</definedName>
    <definedName name="porczona">'Haberes jubilados'!$B$124</definedName>
    <definedName name="porjubcar">'Haberes jubilados'!$F$126</definedName>
    <definedName name="porjubhormed">'Haberes jubilados'!$D$240</definedName>
    <definedName name="porjubhorsup">'Haberes jubilados'!$D$344</definedName>
    <definedName name="porjubvarcar">'Para varios cargos'!$F$6</definedName>
    <definedName name="primercargo">'Para varios cargos'!$E$45</definedName>
    <definedName name="proljor">'Cargos'!$R$3:$R$336</definedName>
    <definedName name="proljorcargo">'Cargos'!$P$3:$P$336</definedName>
    <definedName name="punbascar">'Haberes jubilados'!#REF!</definedName>
    <definedName name="punbascargo">'Cargos'!$C$3:$C$336</definedName>
    <definedName name="punbasjub">'Haberes jubilados'!$D$132</definedName>
    <definedName name="punbasjubvarios1">'Para varios cargos'!$F$58</definedName>
    <definedName name="punbasjubvarios2">'Para varios cargos'!$F$136</definedName>
    <definedName name="punbasjubvarios3">'Para varios cargos'!$F$215</definedName>
    <definedName name="punbasjubvarios4">'Para varios cargos'!$F$294</definedName>
    <definedName name="punproljor">'Haberes jubilados'!#REF!</definedName>
    <definedName name="puntardifvar1">'Para varios cargos'!$F$48</definedName>
    <definedName name="puntardifvar2">'Para varios cargos'!$F$126</definedName>
    <definedName name="puntardifvar3">'Para varios cargos'!$F$205</definedName>
    <definedName name="puntardifvar4">'Para varios cargos'!$F$284</definedName>
    <definedName name="punto_índice">'[2]Prop 24 feb 06'!$D$57</definedName>
    <definedName name="puntoindice">'Haberes jubilados'!#REF!</definedName>
    <definedName name="puntosadicdir">'Haberes jubilados'!#REF!</definedName>
    <definedName name="puntosadicdir2013">'Haberes jubilados'!#REF!</definedName>
    <definedName name="puntosadicdir2014">'Haberes jubilados'!#REF!</definedName>
    <definedName name="puntosadicdir2016">'Haberes jubilados'!$G$121</definedName>
    <definedName name="puntosadicdir2022">'Haberes jubilados'!$I$121</definedName>
    <definedName name="puntosadicnina">'Haberes jubilados'!$H$121</definedName>
    <definedName name="PUNTOSbasicos">'Haberes jubilados'!$B$121</definedName>
    <definedName name="puntosbasicoscargo">'Cargos'!$C$3:$C$336</definedName>
    <definedName name="puntoscompbas2013">'Cargos'!$F$3:$F$336</definedName>
    <definedName name="puntoscompbas2014">'Cargos'!$G$3:$G$336</definedName>
    <definedName name="puntoscompbas2015">'Cargos'!$H$3:$H$336</definedName>
    <definedName name="puntoscompbas2016">'Cargos'!$J$3:$J$336</definedName>
    <definedName name="puntoscompbasico">'Cargos'!$E$3:$E$336</definedName>
    <definedName name="puntosjornadacompleta">'Haberes jubilados'!$E$121</definedName>
    <definedName name="puntosproljor">'Haberes jubilados'!$G$132</definedName>
    <definedName name="puntosproljornada">'Haberes jubilados'!$D$121</definedName>
    <definedName name="puntosproljorvarios1">'Para varios cargos'!$I$58</definedName>
    <definedName name="puntosproljorvarios2">'Para varios cargos'!$I$136</definedName>
    <definedName name="puntosproljorvarios3">'Para varios cargos'!$I$215</definedName>
    <definedName name="puntosproljorvarios4">'Para varios cargos'!$I$294</definedName>
    <definedName name="puntostareadifer">'Haberes jubilados'!$C$121</definedName>
    <definedName name="puntostotalhorassup">'Haberes jubilados'!$D$393</definedName>
    <definedName name="puntotalhorasmed">'Haberes jubilados'!$D$291</definedName>
    <definedName name="recibofinal">'Para varios cargos'!$G$321</definedName>
    <definedName name="segundocargo">'Para varios cargos'!$E$123</definedName>
    <definedName name="solohorassup">'Haberes jubilados'!$D$345</definedName>
    <definedName name="tardif">'Cargos'!$Q$3:$Q$336</definedName>
    <definedName name="tercercargo">'Para varios cargos'!$E$202</definedName>
    <definedName name="valor_prol_jor">'[2]Prop 24 feb 06'!$D$63</definedName>
    <definedName name="viejocompbasico">'Cargos'!$D$3:$D$336</definedName>
  </definedNames>
  <calcPr fullCalcOnLoad="1"/>
</workbook>
</file>

<file path=xl/comments1.xml><?xml version="1.0" encoding="utf-8"?>
<comments xmlns="http://schemas.openxmlformats.org/spreadsheetml/2006/main">
  <authors>
    <author>V?ctor</author>
    <author>vicky</author>
    <author>Victor</author>
  </authors>
  <commentList>
    <comment ref="A121" authorId="0">
      <text>
        <r>
          <rPr>
            <sz val="10"/>
            <rFont val="Tahoma"/>
            <family val="2"/>
          </rPr>
          <t>Si no saben el número del cargo, lo pueden buscar en la hoja cargos, cuya pestaña aparece en parte inferior izquierda de la pantalla.</t>
        </r>
      </text>
    </comment>
    <comment ref="B12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E124" authorId="0">
      <text>
        <r>
          <rPr>
            <sz val="8"/>
            <rFont val="Tahoma"/>
            <family val="2"/>
          </rPr>
          <t>Si trabajaron en el mismo cargo en los últimos 10 años, dejar el 120. De lo contraro fraccionar con la cantidad de meses.</t>
        </r>
      </text>
    </comment>
    <comment ref="D13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he encontrado otros valores en algunos recibos.</t>
        </r>
      </text>
    </comment>
    <comment ref="D242" authorId="1">
      <text>
        <r>
          <rPr>
            <b/>
            <sz val="10"/>
            <rFont val="Tahoma"/>
            <family val="2"/>
          </rPr>
          <t>Victor:
Si sólo cobrás por horas poné 100%, si cobrás también por cargo poné 0%.</t>
        </r>
      </text>
    </comment>
    <comment ref="C403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Indicar si la cantidad de horas de este código es diferente a la cantidad de horas totales, si no corresponde porque se cobra en cargo, poner 0 en este lugar.</t>
        </r>
      </text>
    </comment>
    <comment ref="D345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Si sólo cobrás por horas poné 100%, si cobrás también por cargo poné 0%.</t>
        </r>
      </text>
    </comment>
    <comment ref="B240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Si te jubilaste sólo con horas, si no tenés que restarle el porcentaje de tiempo de los últimos 10 años que tuviste cargo.</t>
        </r>
      </text>
    </comment>
  </commentList>
</comments>
</file>

<file path=xl/comments3.xml><?xml version="1.0" encoding="utf-8"?>
<comments xmlns="http://schemas.openxmlformats.org/spreadsheetml/2006/main">
  <authors>
    <author>V?ctor</author>
  </authors>
  <commentList>
    <comment ref="D4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5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5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5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12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12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13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13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0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0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1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1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8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8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8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9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<sst xmlns="http://schemas.openxmlformats.org/spreadsheetml/2006/main" count="1002" uniqueCount="540">
  <si>
    <t>MENU</t>
  </si>
  <si>
    <t>horas nivel medio</t>
  </si>
  <si>
    <t>horas nivel superior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</si>
  <si>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</si>
  <si>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</si>
  <si>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</si>
  <si>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</si>
  <si>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</si>
  <si>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</si>
  <si>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</si>
  <si>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</si>
  <si>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</si>
  <si>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</si>
  <si>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</si>
  <si>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</si>
  <si>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</si>
  <si>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</si>
  <si>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</si>
  <si>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</si>
  <si>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</si>
  <si>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</si>
  <si>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</si>
  <si>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</si>
  <si>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</si>
  <si>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</si>
  <si>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</si>
  <si>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</si>
  <si>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</si>
  <si>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</si>
  <si>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</si>
  <si>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</si>
  <si>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</si>
  <si>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</si>
  <si>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</si>
  <si>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</si>
  <si>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</si>
  <si>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</si>
  <si>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</si>
  <si>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</si>
  <si>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</si>
  <si>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</si>
  <si>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</si>
  <si>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</si>
  <si>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</si>
  <si>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</si>
  <si>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</si>
  <si>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</si>
  <si>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</si>
  <si>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</si>
  <si>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</si>
  <si>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</si>
  <si>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</si>
  <si>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</si>
  <si>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</si>
  <si>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</si>
  <si>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</si>
  <si>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</si>
  <si>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</si>
  <si>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</si>
  <si>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</si>
  <si>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</si>
  <si>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</si>
  <si>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</si>
  <si>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</si>
  <si>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</si>
  <si>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</si>
  <si>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</si>
  <si>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</si>
  <si>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</si>
  <si>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</si>
  <si>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</si>
  <si>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</si>
  <si>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</si>
  <si>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</si>
  <si>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</si>
  <si>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</si>
  <si>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</si>
  <si>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</si>
  <si>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</si>
  <si>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</si>
  <si>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</si>
  <si>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</si>
  <si>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</si>
  <si>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</si>
  <si>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</si>
  <si>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</si>
  <si>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</si>
  <si>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</si>
  <si>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</si>
  <si>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</si>
  <si>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</si>
  <si>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</si>
  <si>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</si>
  <si>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</si>
  <si>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</si>
  <si>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</si>
  <si>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</si>
  <si>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</si>
  <si>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</si>
  <si>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</si>
  <si>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</si>
  <si>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</si>
  <si>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</si>
  <si>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</si>
  <si>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</si>
  <si>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</si>
  <si>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</si>
  <si>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</si>
  <si>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</si>
  <si>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</si>
  <si>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</si>
  <si>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</si>
  <si>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</si>
  <si>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</si>
  <si>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</si>
  <si>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</si>
  <si>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</si>
  <si>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</si>
  <si>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</si>
  <si>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</si>
  <si>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</si>
  <si>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</si>
  <si>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</si>
  <si>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</si>
  <si>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</si>
  <si>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</si>
  <si>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</si>
  <si>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</si>
  <si>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</si>
  <si>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</si>
  <si>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</si>
  <si>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</si>
  <si>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</si>
  <si>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</si>
  <si>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</si>
  <si>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</si>
  <si>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</si>
  <si>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</si>
  <si>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</si>
  <si>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</si>
  <si>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</si>
  <si>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</si>
  <si>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</si>
  <si>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</si>
  <si>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</si>
  <si>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</si>
  <si>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</si>
  <si>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</si>
  <si>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</si>
  <si>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</si>
  <si>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</si>
  <si>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</si>
  <si>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</si>
  <si>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</si>
  <si>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</si>
  <si>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</si>
  <si>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</si>
  <si>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</si>
  <si>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</si>
  <si>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</si>
  <si>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</si>
  <si>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</si>
  <si>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</si>
  <si>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</si>
  <si>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</si>
  <si>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</si>
  <si>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</si>
  <si>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</si>
  <si>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</si>
  <si>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</si>
  <si>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</si>
  <si>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</si>
  <si>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</si>
  <si>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</si>
  <si>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</si>
  <si>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</si>
  <si>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</si>
  <si>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</si>
  <si>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</si>
  <si>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</si>
  <si>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</si>
  <si>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</si>
  <si>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</si>
  <si>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</si>
  <si>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</si>
  <si>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</si>
  <si>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</si>
  <si>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</si>
  <si>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</si>
  <si>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</si>
  <si>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</si>
  <si>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</si>
  <si>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</si>
  <si>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</si>
  <si>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</si>
  <si>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</si>
  <si>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</si>
  <si>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</si>
  <si>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</si>
  <si>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</si>
  <si>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</si>
  <si>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</si>
  <si>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</si>
  <si>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</si>
  <si>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</si>
  <si>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</si>
  <si>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</si>
  <si>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</si>
  <si>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</si>
  <si>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</si>
  <si>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</si>
  <si>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</si>
  <si>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</si>
  <si>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</si>
  <si>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</si>
  <si>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</si>
  <si>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</si>
  <si>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</si>
  <si>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</si>
  <si>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</si>
  <si>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</si>
  <si>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</si>
  <si>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</si>
  <si>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</si>
  <si>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</si>
  <si>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</si>
  <si>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</si>
  <si>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</si>
  <si>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</si>
  <si>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</si>
  <si>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</si>
  <si>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</si>
  <si>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</si>
  <si>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</si>
  <si>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</si>
  <si>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</si>
  <si>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</si>
  <si>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</si>
  <si>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</si>
  <si>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</si>
  <si>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</si>
  <si>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</si>
  <si>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</si>
  <si>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</si>
  <si>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</si>
  <si>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</si>
  <si>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</si>
  <si>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</si>
  <si>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</si>
  <si>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</si>
  <si>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</si>
  <si>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</si>
  <si>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</si>
  <si>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</si>
  <si>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</si>
  <si>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</si>
  <si>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</si>
  <si>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</si>
  <si>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</si>
  <si>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</si>
  <si>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</si>
  <si>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</si>
  <si>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</si>
  <si>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</si>
  <si>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</si>
  <si>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</si>
  <si>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</si>
  <si>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</si>
  <si>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</si>
  <si>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</si>
  <si>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</si>
  <si>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</si>
  <si>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</si>
  <si>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</si>
  <si>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</si>
  <si>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</si>
  <si>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</si>
  <si>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</si>
  <si>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</si>
  <si>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</si>
  <si>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</si>
  <si>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</si>
  <si>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</si>
  <si>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</si>
  <si>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</si>
  <si>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</si>
  <si>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</si>
  <si>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</si>
  <si>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</si>
  <si>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</si>
  <si>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</si>
  <si>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</si>
  <si>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</si>
  <si>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</si>
  <si>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</si>
  <si>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</si>
  <si>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</si>
  <si>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</si>
  <si>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</si>
  <si>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</si>
  <si>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</si>
  <si>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</si>
  <si>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</si>
  <si>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</si>
  <si>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</si>
  <si>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</si>
  <si>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</si>
  <si>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</si>
  <si>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</si>
  <si>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</si>
  <si>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</si>
  <si>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</si>
  <si>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</si>
  <si>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</si>
  <si>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</si>
  <si>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</si>
  <si>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</si>
  <si>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</si>
  <si>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</si>
  <si>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</si>
  <si>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</si>
  <si>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</si>
  <si>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</si>
  <si>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>número para luego ingresarlo en el lugar especificado.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</si>
  <si>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</si>
  <si>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</si>
  <si>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</si>
  <si>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</si>
  <si>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</si>
  <si>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</si>
  <si>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</si>
  <si>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</si>
  <si>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</si>
  <si>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</si>
  <si>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</si>
  <si>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victorhutt@victorhutt.com.ar</t>
  </si>
  <si>
    <t>Control 120 meses: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</si>
  <si>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</si>
  <si>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</si>
  <si>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</si>
  <si>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</si>
  <si>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</si>
  <si>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</si>
  <si>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</si>
  <si>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</si>
  <si>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</si>
  <si>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</si>
  <si>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</si>
  <si>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</si>
  <si>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</si>
  <si>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</si>
  <si>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</si>
  <si>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</si>
  <si>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</si>
  <si>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</si>
  <si>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</si>
  <si>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</si>
  <si>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</si>
  <si>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Recibo Final</t>
  </si>
  <si>
    <t>Autor</t>
  </si>
  <si>
    <t>Dec 1266/08 Art 4º</t>
  </si>
  <si>
    <t>Porcentaje de jubilación</t>
  </si>
  <si>
    <t>Aumento</t>
  </si>
  <si>
    <t>Aumento porcentual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</si>
  <si>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</si>
  <si>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</si>
  <si>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</si>
  <si>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Debe sumar 120 meses</t>
  </si>
  <si>
    <t>Los meses se refieren a aumentos a activos, Los jubilados lo recibirán 30 o 60 días después</t>
  </si>
  <si>
    <t>VICEDIRECTOR 1ERA. CAT. C.E.F.</t>
  </si>
  <si>
    <t>REGENTE 1ERA. CAT. C.E.F.</t>
  </si>
  <si>
    <t>Adic directivos</t>
  </si>
  <si>
    <t>otro código</t>
  </si>
  <si>
    <t>Salario hasta febrero 2011</t>
  </si>
  <si>
    <t>Salario Desde marzo de 2.011</t>
  </si>
  <si>
    <t>cod06feb11varios1</t>
  </si>
  <si>
    <t>cod06mar11varios1</t>
  </si>
  <si>
    <t>cod06feb11varios2</t>
  </si>
  <si>
    <t>cod06mar11varios2</t>
  </si>
  <si>
    <t>cod06feb11varios3</t>
  </si>
  <si>
    <t>cod06mar11varios3</t>
  </si>
  <si>
    <t>cod06feb11varios4</t>
  </si>
  <si>
    <t>cod06mar11varios4</t>
  </si>
  <si>
    <t>Adicional Directivos</t>
  </si>
  <si>
    <t>De acuerdo al aumento de Marzo de 2011</t>
  </si>
  <si>
    <t>Otro código</t>
  </si>
  <si>
    <t>Adic Directivos media</t>
  </si>
  <si>
    <t>Desc AGMER 1 %</t>
  </si>
  <si>
    <t>Puntos Comp basico 2013</t>
  </si>
  <si>
    <t>Secretario Esc. Nivel Inicial 1ra CAT</t>
  </si>
  <si>
    <t>Vicedirector DPTO. Aplicación 2da CAT</t>
  </si>
  <si>
    <t>Director Jardín de Infantes</t>
  </si>
  <si>
    <t>Vicedirector Nivel Inicial 1ra Categoría</t>
  </si>
  <si>
    <t xml:space="preserve"> </t>
  </si>
  <si>
    <t>Adic</t>
  </si>
  <si>
    <t>viejo Comp basico</t>
  </si>
  <si>
    <t>repito cargo</t>
  </si>
  <si>
    <t>Adicional directivos</t>
  </si>
  <si>
    <t>Nina</t>
  </si>
  <si>
    <t>Director Dpto. Aplicación 1ra Cat.</t>
  </si>
  <si>
    <t>Vicedirector Dpto Aplicación 1ra CAT</t>
  </si>
  <si>
    <t>Secretario 3ra. CAT Educ. Jóvenes y Adultos</t>
  </si>
  <si>
    <t>adic dir 2014</t>
  </si>
  <si>
    <t>MAESTRO JARDÍN MATERNAL JORNADA EXTENDIDA</t>
  </si>
  <si>
    <t>puntos comp bas 2014</t>
  </si>
  <si>
    <t>Volver al simulador</t>
  </si>
  <si>
    <t>Adic dir 2013</t>
  </si>
  <si>
    <t>TOT 1 Y 2</t>
  </si>
  <si>
    <t>RECTOR INSTITUTO SUPERIOR</t>
  </si>
  <si>
    <t>SECRETARIO INSTITUTO SUPERIOR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</si>
  <si>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</si>
  <si>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</si>
  <si>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</si>
  <si>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</si>
  <si>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</si>
  <si>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</si>
  <si>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</si>
  <si>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</si>
  <si>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</si>
  <si>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</si>
  <si>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 xml:space="preserve"> JEFE DE UNS Y PRODUCCIÓN 1ERA CAT.</t>
  </si>
  <si>
    <t xml:space="preserve"> JEFE DE UNS Y PRODUCCIÓN 2DA CAT.</t>
  </si>
  <si>
    <t xml:space="preserve"> JEFE DE UNS Y PRODUCCIÓN 3ERA CAT. </t>
  </si>
  <si>
    <t>SUPERVISOR EDUCACIÓN ARTÍSTICA</t>
  </si>
  <si>
    <t>SUPERVISOR ESCOLAR DE ZONA</t>
  </si>
  <si>
    <t xml:space="preserve"> SUPERVISOR ESCOLAR EDUC. TECNOLÓGICA</t>
  </si>
  <si>
    <t xml:space="preserve"> DIRECTOR DEL S.A.I.E.</t>
  </si>
  <si>
    <t xml:space="preserve"> DIRECTOR ESCUELA ESPECIAL JORNADA COMPLETA</t>
  </si>
  <si>
    <t xml:space="preserve"> VICEDIRECTOR ESCUELA ESPECIAL JORNADA COMPLETA</t>
  </si>
  <si>
    <t>DIRECTOR NIVEL INICIAL 1ERA CON PROLONGACIÓN</t>
  </si>
  <si>
    <t>DIRECTOR NIVEL INICIAL 2DA CON PROLONGACIÓN</t>
  </si>
  <si>
    <t>VICEDIRECTOR NIVEL INICIAL 1ERA CON PROLONGACIÓN</t>
  </si>
  <si>
    <t>Director Dpto. Aplicación 2DA Cat.</t>
  </si>
  <si>
    <t>JEFE DE DEPARTAMENTO TÉCNICO Y SUPERVISIÓN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</si>
  <si>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</si>
  <si>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</si>
  <si>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</si>
  <si>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</si>
  <si>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</si>
  <si>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SECRETARIO ACADÉMICO</t>
  </si>
  <si>
    <t>SECRETARIA DE ESC DE 2DA CATEGORÍA JORN COMP</t>
  </si>
  <si>
    <t xml:space="preserve"> VICEDIRECTOR ESC. CAP TECNICA 1ERA CATEGORIA</t>
  </si>
  <si>
    <t xml:space="preserve"> DIRECTOR ESC NIVIEL INICIAL 1RA CATEGORÍA</t>
  </si>
  <si>
    <t>VICEDIRECTOR ESC N INICIAL 2DA CATEG</t>
  </si>
  <si>
    <t>SECRETARIO ESC NIV INICIAL 1RA CATEG</t>
  </si>
  <si>
    <t>SECRETARIO ESC NIV INICIAL 2DA CATEG</t>
  </si>
  <si>
    <t>SECRETARIO ESC NIV INICIAL 3RA CATEG</t>
  </si>
  <si>
    <t xml:space="preserve"> VICERECTOR ESC DE 3RA CATEGORÍA</t>
  </si>
  <si>
    <t>SECRETARIO ESC DE 3RA CATEGORÍA</t>
  </si>
  <si>
    <t>puntos comp bas 2015</t>
  </si>
  <si>
    <t>Sueldo básico docente</t>
  </si>
  <si>
    <t>antiggüedad</t>
  </si>
  <si>
    <t>Dto. 770/12 art 5</t>
  </si>
  <si>
    <t>traslado cod 188</t>
  </si>
  <si>
    <t>dto 626/10 art 5</t>
  </si>
  <si>
    <t>hs cátedra</t>
  </si>
  <si>
    <t>antigüedad</t>
  </si>
  <si>
    <t>redondeo en mas</t>
  </si>
  <si>
    <t>salario familiar</t>
  </si>
  <si>
    <t>ayuda esc x unica vez</t>
  </si>
  <si>
    <t>federación jubilados</t>
  </si>
  <si>
    <t>serv sepelio iaps</t>
  </si>
  <si>
    <t>aporte osplad</t>
  </si>
  <si>
    <t>cuota agmer</t>
  </si>
  <si>
    <t>prestamo nvo bersa</t>
  </si>
  <si>
    <t>dto casa iapv</t>
  </si>
  <si>
    <t>E13*0,0025</t>
  </si>
  <si>
    <t>E13*0,007</t>
  </si>
  <si>
    <t>E13*0,03</t>
  </si>
  <si>
    <t>E13*0,01</t>
  </si>
  <si>
    <t>Adic hs media (Cod 18 en activos)</t>
  </si>
  <si>
    <t>adic dir 2016</t>
  </si>
  <si>
    <t>Comp Direct 2016</t>
  </si>
  <si>
    <t>puntos comp bas 2016</t>
  </si>
  <si>
    <t>comp básico 2015</t>
  </si>
  <si>
    <t>Directivo Nina??</t>
  </si>
  <si>
    <t>Adic Esc Nina</t>
  </si>
  <si>
    <t>Adicional Nina</t>
  </si>
  <si>
    <t>CARGOS</t>
  </si>
  <si>
    <t>MEDIO AGUINALDO</t>
  </si>
  <si>
    <t>Código 550</t>
  </si>
  <si>
    <t>Total Descuentos</t>
  </si>
  <si>
    <t>1: Si; 0: No</t>
  </si>
  <si>
    <t xml:space="preserve">Simulador  salarial </t>
  </si>
  <si>
    <t>DTO. N1462/18 DOCENT</t>
  </si>
  <si>
    <t xml:space="preserve"> MAESTRO ESPECIAL DEPARTAMENTO APLICACIÓN</t>
  </si>
  <si>
    <t xml:space="preserve">Líquido </t>
  </si>
  <si>
    <t>Aumento1</t>
  </si>
  <si>
    <t>Aumento2</t>
  </si>
  <si>
    <t>Aumento3</t>
  </si>
  <si>
    <t>Aumento4</t>
  </si>
  <si>
    <t>Jubilado</t>
  </si>
  <si>
    <t>Aum porcentual</t>
  </si>
  <si>
    <t>424/428</t>
  </si>
  <si>
    <t>Adic Dec 173/21 (cod 38 activos)</t>
  </si>
  <si>
    <t>Jubilado solo horas? Lee comentario</t>
  </si>
  <si>
    <t>100%: Si ; 0%: No</t>
  </si>
  <si>
    <t>Aumento5</t>
  </si>
  <si>
    <t>Aumento6</t>
  </si>
  <si>
    <t>Aumento mensual</t>
  </si>
  <si>
    <t>Aumento a feb 21</t>
  </si>
  <si>
    <t>Aumento acumulado anual</t>
  </si>
  <si>
    <t>Porcentaje anual</t>
  </si>
  <si>
    <t>Aum a feb 21 porc</t>
  </si>
  <si>
    <t>huttvictor@gmail.com</t>
  </si>
  <si>
    <r>
      <t>Si encuentran errores, por favor avisenme.</t>
    </r>
    <r>
      <rPr>
        <sz val="11"/>
        <color indexed="17"/>
        <rFont val="Arial"/>
        <family val="2"/>
      </rPr>
      <t xml:space="preserve"> huttvictor@gmail.com</t>
    </r>
  </si>
  <si>
    <t>Simulaciones oferta sin confirmación por decreto</t>
  </si>
  <si>
    <r>
      <t xml:space="preserve">Se deben completar los datos en </t>
    </r>
    <r>
      <rPr>
        <b/>
        <sz val="11"/>
        <color indexed="10"/>
        <rFont val="Arial"/>
        <family val="2"/>
      </rPr>
      <t xml:space="preserve">rojo, </t>
    </r>
    <r>
      <rPr>
        <sz val="11"/>
        <rFont val="Arial"/>
        <family val="2"/>
      </rPr>
      <t>lo demás se calcula todo solo.</t>
    </r>
  </si>
  <si>
    <t xml:space="preserve">que aparece en la parte inferior de la pantalla y buscar su </t>
  </si>
  <si>
    <t>Acumulado porcentual</t>
  </si>
  <si>
    <t>Director Esc Nocturna de J. y Ad. En contexto de Priv de libertad</t>
  </si>
  <si>
    <t>518,0</t>
  </si>
  <si>
    <t>adic dir 2022</t>
  </si>
  <si>
    <t>Comp direct 2022</t>
  </si>
  <si>
    <t>Realizado de acuerdo al informe de prensa</t>
  </si>
  <si>
    <t>Podría tener errores</t>
  </si>
  <si>
    <t>Sirve para evaluar la oferta en sus valores de aumento</t>
  </si>
  <si>
    <t>Jubilado/a</t>
  </si>
  <si>
    <t>Aumento7</t>
  </si>
  <si>
    <t>Aumento8</t>
  </si>
  <si>
    <t>aumentoenero23</t>
  </si>
  <si>
    <t>indiceene23</t>
  </si>
  <si>
    <t>indiceproljorene23</t>
  </si>
  <si>
    <t>cod06ene23</t>
  </si>
  <si>
    <r>
      <t xml:space="preserve">Salario docente jubilado Entre Ríos </t>
    </r>
    <r>
      <rPr>
        <b/>
        <u val="single"/>
        <sz val="18"/>
        <color indexed="18"/>
        <rFont val="Arial"/>
        <family val="2"/>
      </rPr>
      <t xml:space="preserve"> (2023)</t>
    </r>
  </si>
  <si>
    <t>Feb 23 (8%)</t>
  </si>
  <si>
    <t>Mar 23 (19%)</t>
  </si>
  <si>
    <t>May 23 (13%)</t>
  </si>
  <si>
    <t>Jun 23 (7%)</t>
  </si>
  <si>
    <t>De acuerdo a paritaria 6 jul 23, con inflaciones supuestas</t>
  </si>
  <si>
    <t>Los porcentajes de aumento indicados en cada mes son acumulados anuales</t>
  </si>
  <si>
    <t>Quién suponga inflaciones distintas puede modificarlas aquí abajo</t>
  </si>
  <si>
    <t>Jul 23 (7%)</t>
  </si>
  <si>
    <t>Ago 23 (7%)</t>
  </si>
  <si>
    <t>Con Retroactivo</t>
  </si>
  <si>
    <t>Incluye diferencia de aguinaldo</t>
  </si>
  <si>
    <t>Retroactivo</t>
  </si>
  <si>
    <t>Con correcciones realizadas el 12/7 e IPC Junio del 6%</t>
  </si>
  <si>
    <t>Se realizan simulaciones con inflación de julio no conocidas.</t>
  </si>
  <si>
    <t>En cajero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</si>
</sst>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#,##0.00\ _€"/>
    <numFmt numFmtId="174" formatCode="0.0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&quot;$&quot;\ * #,##0.000_ ;_ &quot;$&quot;\ * \-#,##0.0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%"/>
    <numFmt numFmtId="191" formatCode="0.0000%"/>
    <numFmt numFmtId="192" formatCode="0.00000%"/>
    <numFmt numFmtId="193" formatCode="0.000000%"/>
    <numFmt numFmtId="194" formatCode="#,##0.0000"/>
    <numFmt numFmtId="195" formatCode="#,##0_ ;\-#,##0\ "/>
    <numFmt numFmtId="196" formatCode="_ &quot;$&quot;\ * #,##0.0000_ ;_ &quot;$&quot;\ * \-#,##0.0000_ ;_ &quot;$&quot;\ * &quot;-&quot;??_ ;_ @_ "/>
    <numFmt numFmtId="197" formatCode="_ &quot;$&quot;\ * #,##0.00000_ ;_ &quot;$&quot;\ * \-#,##0.00000_ ;_ &quot;$&quot;\ * &quot;-&quot;??_ ;_ @_ "/>
    <numFmt numFmtId="198" formatCode="_ &quot;$&quot;\ * #,##0.000000_ ;_ &quot;$&quot;\ * \-#,##0.000000_ ;_ &quot;$&quot;\ * &quot;-&quot;??_ ;_ @_ "/>
    <numFmt numFmtId="199" formatCode="_ &quot;$&quot;\ * #,##0.0000000_ ;_ &quot;$&quot;\ * \-#,##0.0000000_ ;_ &quot;$&quot;\ * &quot;-&quot;??_ ;_ @_ "/>
    <numFmt numFmtId="200" formatCode="_ &quot;$&quot;\ * #,##0.00000000_ ;_ &quot;$&quot;\ * \-#,##0.00000000_ ;_ &quot;$&quot;\ * &quot;-&quot;??_ ;_ @_ "/>
    <numFmt numFmtId="201" formatCode="_ &quot;$&quot;\ * #,##0.000000000_ ;_ &quot;$&quot;\ * \-#,##0.000000000_ ;_ &quot;$&quot;\ * &quot;-&quot;??_ ;_ @_ "/>
    <numFmt numFmtId="202" formatCode="#,##0.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[$-2C0A]dddd\,\ d\ &quot;de&quot;\ mmmm\ &quot;de&quot;\ yyyy"/>
    <numFmt numFmtId="210" formatCode="_-&quot;$&quot;\ * #,##0.000_-;\-&quot;$&quot;\ * #,##0.000_-;_-&quot;$&quot;\ * &quot;-&quot;??_-;_-@_-"/>
  </numFmts>
  <fonts count="175">
    <font>
      <sz val="10"/>
      <name val="Arial"/>
      <family val="0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15"/>
      <name val="Arial"/>
      <family val="2"/>
    </font>
    <font>
      <b/>
      <sz val="12"/>
      <color indexed="15"/>
      <name val="Arial"/>
      <family val="2"/>
    </font>
    <font>
      <b/>
      <sz val="10"/>
      <color indexed="53"/>
      <name val="Arial"/>
      <family val="2"/>
    </font>
    <font>
      <b/>
      <sz val="16"/>
      <color indexed="13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12"/>
      <color indexed="52"/>
      <name val="Arial"/>
      <family val="2"/>
    </font>
    <font>
      <b/>
      <sz val="10"/>
      <name val="Tahoma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8"/>
      <name val="Arial"/>
      <family val="2"/>
    </font>
    <font>
      <b/>
      <u val="single"/>
      <sz val="20"/>
      <color indexed="12"/>
      <name val="Arial"/>
      <family val="2"/>
    </font>
    <font>
      <b/>
      <u val="single"/>
      <sz val="18"/>
      <color indexed="1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2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8"/>
      <name val="Calibri"/>
      <family val="2"/>
    </font>
    <font>
      <sz val="24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53"/>
      <name val="Arial"/>
      <family val="2"/>
    </font>
    <font>
      <sz val="11"/>
      <color indexed="10"/>
      <name val="Arial"/>
      <family val="2"/>
    </font>
    <font>
      <sz val="10"/>
      <color indexed="55"/>
      <name val="Arial"/>
      <family val="2"/>
    </font>
    <font>
      <sz val="12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24"/>
      <color indexed="8"/>
      <name val="Arial"/>
      <family val="2"/>
    </font>
    <font>
      <b/>
      <sz val="12"/>
      <color indexed="30"/>
      <name val="Arial"/>
      <family val="2"/>
    </font>
    <font>
      <b/>
      <sz val="20"/>
      <color indexed="10"/>
      <name val="Arial"/>
      <family val="2"/>
    </font>
    <font>
      <b/>
      <sz val="18"/>
      <color indexed="9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0"/>
      <color theme="1"/>
      <name val="Calibri"/>
      <family val="2"/>
    </font>
    <font>
      <sz val="24"/>
      <color rgb="FFFF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9" tint="-0.24997000396251678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u val="single"/>
      <sz val="14"/>
      <color rgb="FF0000CC"/>
      <name val="Arial"/>
      <family val="2"/>
    </font>
    <font>
      <sz val="10"/>
      <color theme="0" tint="-0.3499799966812134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8"/>
      <color rgb="FF0000CC"/>
      <name val="Arial"/>
      <family val="2"/>
    </font>
    <font>
      <sz val="10"/>
      <color theme="4" tint="-0.4999699890613556"/>
      <name val="Arial"/>
      <family val="2"/>
    </font>
    <font>
      <sz val="9"/>
      <color theme="1"/>
      <name val="Arial"/>
      <family val="2"/>
    </font>
    <font>
      <sz val="24"/>
      <color theme="1"/>
      <name val="Arial"/>
      <family val="2"/>
    </font>
    <font>
      <b/>
      <u val="single"/>
      <sz val="18"/>
      <color theme="4" tint="-0.4999699890613556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20"/>
      <color rgb="FFFF0000"/>
      <name val="Arial"/>
      <family val="2"/>
    </font>
    <font>
      <b/>
      <sz val="18"/>
      <color rgb="FFFFFFFF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/>
      <right/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7"/>
      </left>
      <right/>
      <top style="thick">
        <color indexed="17"/>
      </top>
      <bottom style="thick">
        <color indexed="17"/>
      </bottom>
    </border>
    <border>
      <left style="thin"/>
      <right/>
      <top style="thick">
        <color indexed="17"/>
      </top>
      <bottom style="thick">
        <color indexed="17"/>
      </bottom>
    </border>
    <border>
      <left/>
      <right/>
      <top/>
      <bottom style="thick">
        <color indexed="1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ck">
        <color indexed="39"/>
      </top>
      <bottom/>
    </border>
    <border>
      <left style="thick">
        <color indexed="39"/>
      </left>
      <right/>
      <top/>
      <bottom/>
    </border>
    <border>
      <left/>
      <right/>
      <top/>
      <bottom style="thick">
        <color indexed="39"/>
      </bottom>
    </border>
    <border>
      <left/>
      <right style="thick">
        <color indexed="39"/>
      </right>
      <top style="thick">
        <color indexed="39"/>
      </top>
      <bottom/>
    </border>
    <border>
      <left/>
      <right style="thick">
        <color indexed="39"/>
      </right>
      <top/>
      <bottom/>
    </border>
    <border>
      <left/>
      <right style="thick">
        <color indexed="39"/>
      </right>
      <top/>
      <bottom style="thick">
        <color indexed="39"/>
      </bottom>
    </border>
    <border>
      <left style="thick">
        <color indexed="39"/>
      </left>
      <right/>
      <top/>
      <bottom style="thick">
        <color indexed="39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ck">
        <color indexed="39"/>
      </left>
      <right/>
      <top style="thick">
        <color indexed="39"/>
      </top>
      <bottom/>
    </border>
    <border>
      <left style="thick">
        <color indexed="12"/>
      </left>
      <right/>
      <top style="thick">
        <color indexed="12"/>
      </top>
      <bottom/>
    </border>
    <border>
      <left style="thick">
        <color indexed="12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12"/>
      </left>
      <right/>
      <top style="medium">
        <color indexed="12"/>
      </top>
      <bottom/>
    </border>
    <border>
      <left style="thick">
        <color indexed="51"/>
      </left>
      <right/>
      <top style="thick">
        <color indexed="52"/>
      </top>
      <bottom style="thick">
        <color indexed="52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n"/>
      <right style="medium">
        <color theme="8" tint="-0.24993999302387238"/>
      </right>
      <top style="thin"/>
      <bottom style="thin"/>
    </border>
    <border>
      <left style="thin"/>
      <right style="medium">
        <color theme="8" tint="-0.24993999302387238"/>
      </right>
      <top style="thin"/>
      <bottom/>
    </border>
    <border>
      <left/>
      <right style="medium">
        <color theme="8" tint="-0.24993999302387238"/>
      </right>
      <top style="medium"/>
      <bottom style="medium"/>
    </border>
    <border>
      <left/>
      <right style="medium">
        <color theme="8" tint="-0.24993999302387238"/>
      </right>
      <top style="thick">
        <color indexed="17"/>
      </top>
      <bottom style="thick">
        <color indexed="17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 style="medium">
        <color indexed="10"/>
      </bottom>
    </border>
    <border>
      <left/>
      <right style="medium">
        <color theme="8" tint="-0.24993999302387238"/>
      </right>
      <top/>
      <bottom style="medium"/>
    </border>
    <border>
      <left style="thin"/>
      <right style="medium">
        <color theme="8" tint="-0.24993999302387238"/>
      </right>
      <top style="medium"/>
      <bottom style="thin"/>
    </border>
    <border>
      <left style="thin"/>
      <right style="medium">
        <color theme="8" tint="-0.24993999302387238"/>
      </right>
      <top/>
      <bottom style="thin"/>
    </border>
    <border>
      <left style="medium"/>
      <right style="medium">
        <color theme="8" tint="-0.24993999302387238"/>
      </right>
      <top style="medium"/>
      <bottom style="medium"/>
    </border>
    <border>
      <left style="thick">
        <color rgb="FF00B050"/>
      </left>
      <right style="medium">
        <color theme="8" tint="-0.24993999302387238"/>
      </right>
      <top style="thick">
        <color rgb="FF00B050"/>
      </top>
      <bottom/>
    </border>
    <border>
      <left style="thick">
        <color rgb="FF00B050"/>
      </left>
      <right style="medium">
        <color theme="8" tint="-0.24993999302387238"/>
      </right>
      <top/>
      <bottom style="thick">
        <color rgb="FF00B050"/>
      </bottom>
    </border>
    <border>
      <left style="thick">
        <color theme="9" tint="-0.24993999302387238"/>
      </left>
      <right style="medium">
        <color theme="8" tint="-0.24993999302387238"/>
      </right>
      <top style="thick">
        <color theme="9" tint="-0.24993999302387238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/>
      <bottom style="thin"/>
    </border>
    <border>
      <left style="thick">
        <color theme="9" tint="-0.24993999302387238"/>
      </left>
      <right style="medium">
        <color theme="8" tint="-0.24993999302387238"/>
      </right>
      <top style="thin"/>
      <bottom style="thin"/>
    </border>
    <border>
      <left style="thick">
        <color theme="9" tint="-0.24993999302387238"/>
      </left>
      <right style="medium">
        <color theme="8" tint="-0.24993999302387238"/>
      </right>
      <top style="medium"/>
      <bottom style="medium"/>
    </border>
    <border>
      <left style="thick">
        <color theme="9" tint="-0.24993999302387238"/>
      </left>
      <right style="medium">
        <color theme="8" tint="-0.24993999302387238"/>
      </right>
      <top style="medium"/>
      <bottom style="thick">
        <color theme="9" tint="-0.24993999302387238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/>
    </border>
    <border>
      <left/>
      <right style="medium">
        <color theme="8" tint="-0.24993999302387238"/>
      </right>
      <top style="thick">
        <color indexed="12"/>
      </top>
      <bottom/>
    </border>
    <border>
      <left/>
      <right style="medium">
        <color theme="8" tint="-0.24993999302387238"/>
      </right>
      <top/>
      <bottom style="thick">
        <color indexed="39"/>
      </bottom>
    </border>
    <border>
      <left style="double">
        <color rgb="FF00B050"/>
      </left>
      <right style="thin">
        <color rgb="FF00B050"/>
      </right>
      <top style="double">
        <color rgb="FF00B050"/>
      </top>
      <bottom style="double">
        <color rgb="FF00B050"/>
      </bottom>
    </border>
    <border>
      <left style="medium"/>
      <right style="medium">
        <color theme="8" tint="-0.24993999302387238"/>
      </right>
      <top/>
      <bottom/>
    </border>
    <border>
      <left style="medium"/>
      <right style="medium">
        <color theme="8" tint="-0.24993999302387238"/>
      </right>
      <top/>
      <bottom style="medium"/>
    </border>
    <border>
      <left>
        <color indexed="63"/>
      </left>
      <right>
        <color indexed="63"/>
      </right>
      <top style="thick">
        <color theme="9" tint="-0.2499399930238723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00B050"/>
      </right>
      <top style="thick">
        <color rgb="FF00B050"/>
      </top>
      <bottom/>
    </border>
    <border>
      <left style="thin"/>
      <right style="thick">
        <color rgb="FF00B050"/>
      </right>
      <top/>
      <bottom style="thick">
        <color rgb="FF00B050"/>
      </bottom>
    </border>
    <border>
      <left style="thin"/>
      <right style="thick">
        <color theme="9" tint="-0.24993999302387238"/>
      </right>
      <top style="thick">
        <color theme="9" tint="-0.24993999302387238"/>
      </top>
      <bottom>
        <color indexed="63"/>
      </bottom>
    </border>
    <border>
      <left style="thin"/>
      <right style="thick">
        <color theme="9" tint="-0.24993999302387238"/>
      </right>
      <top>
        <color indexed="63"/>
      </top>
      <bottom>
        <color indexed="63"/>
      </bottom>
    </border>
    <border>
      <left style="thin"/>
      <right style="thick">
        <color theme="9" tint="-0.24993999302387238"/>
      </right>
      <top/>
      <bottom style="thin"/>
    </border>
    <border>
      <left style="thin"/>
      <right style="thick">
        <color theme="9" tint="-0.24993999302387238"/>
      </right>
      <top style="medium"/>
      <bottom style="medium"/>
    </border>
    <border>
      <left style="thin"/>
      <right style="thick">
        <color theme="9" tint="-0.24993999302387238"/>
      </right>
      <top style="medium"/>
      <bottom style="thick">
        <color theme="9" tint="-0.2499399930238723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/>
    </border>
    <border>
      <left>
        <color indexed="63"/>
      </left>
      <right>
        <color indexed="63"/>
      </right>
      <top/>
      <bottom style="thick">
        <color rgb="FF00B050"/>
      </bottom>
    </border>
    <border>
      <left>
        <color indexed="63"/>
      </left>
      <right>
        <color indexed="63"/>
      </right>
      <top style="medium"/>
      <bottom style="thick">
        <color theme="9" tint="-0.24993999302387238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>
        <color indexed="63"/>
      </left>
      <right style="medium">
        <color theme="8" tint="-0.24993999302387238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theme="8" tint="-0.2499399930238723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 style="thin"/>
      <right style="thin"/>
      <top style="medium"/>
      <bottom style="thin"/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 style="thick">
        <color rgb="FFFFFF00"/>
      </bottom>
    </border>
    <border>
      <left/>
      <right/>
      <top/>
      <bottom style="thick">
        <color rgb="FFFFFF00"/>
      </bottom>
    </border>
    <border>
      <left>
        <color indexed="63"/>
      </left>
      <right style="thick">
        <color rgb="FFFFFF00"/>
      </right>
      <top>
        <color indexed="63"/>
      </top>
      <bottom style="thick">
        <color rgb="FFFFFF00"/>
      </bottom>
    </border>
    <border>
      <left style="thin"/>
      <right style="double">
        <color rgb="FF00B050"/>
      </right>
      <top style="double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thick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 style="thick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20" fillId="20" borderId="0" applyNumberFormat="0" applyBorder="0" applyAlignment="0" applyProtection="0"/>
    <xf numFmtId="0" fontId="121" fillId="21" borderId="1" applyNumberFormat="0" applyAlignment="0" applyProtection="0"/>
    <xf numFmtId="0" fontId="122" fillId="22" borderId="2" applyNumberFormat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0" applyNumberFormat="0" applyFill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7" borderId="0" applyNumberFormat="0" applyBorder="0" applyAlignment="0" applyProtection="0"/>
    <xf numFmtId="0" fontId="119" fillId="28" borderId="0" applyNumberFormat="0" applyBorder="0" applyAlignment="0" applyProtection="0"/>
    <xf numFmtId="0" fontId="126" fillId="29" borderId="1" applyNumberFormat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0" fillId="21" borderId="6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7" applyNumberFormat="0" applyFill="0" applyAlignment="0" applyProtection="0"/>
    <xf numFmtId="0" fontId="125" fillId="0" borderId="8" applyNumberFormat="0" applyFill="0" applyAlignment="0" applyProtection="0"/>
    <xf numFmtId="0" fontId="135" fillId="0" borderId="9" applyNumberFormat="0" applyFill="0" applyAlignment="0" applyProtection="0"/>
  </cellStyleXfs>
  <cellXfs count="959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0" fillId="33" borderId="11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18" fillId="0" borderId="1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23" fillId="0" borderId="10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73" fontId="18" fillId="0" borderId="12" xfId="51" applyNumberFormat="1" applyFont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29" fillId="33" borderId="11" xfId="0" applyFont="1" applyFill="1" applyBorder="1" applyAlignment="1" applyProtection="1">
      <alignment/>
      <protection/>
    </xf>
    <xf numFmtId="0" fontId="8" fillId="0" borderId="0" xfId="46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46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1" fontId="17" fillId="0" borderId="22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/>
      <protection/>
    </xf>
    <xf numFmtId="9" fontId="0" fillId="0" borderId="14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3" fillId="0" borderId="20" xfId="0" applyNumberFormat="1" applyFont="1" applyBorder="1" applyAlignment="1" applyProtection="1">
      <alignment/>
      <protection/>
    </xf>
    <xf numFmtId="2" fontId="27" fillId="0" borderId="17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 locked="0"/>
    </xf>
    <xf numFmtId="2" fontId="18" fillId="0" borderId="12" xfId="0" applyNumberFormat="1" applyFont="1" applyBorder="1" applyAlignment="1" applyProtection="1">
      <alignment horizontal="left"/>
      <protection locked="0"/>
    </xf>
    <xf numFmtId="9" fontId="16" fillId="0" borderId="24" xfId="0" applyNumberFormat="1" applyFont="1" applyBorder="1" applyAlignment="1" applyProtection="1">
      <alignment horizontal="center"/>
      <protection locked="0"/>
    </xf>
    <xf numFmtId="0" fontId="3" fillId="36" borderId="25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9" fontId="20" fillId="38" borderId="27" xfId="55" applyFont="1" applyFill="1" applyBorder="1" applyAlignment="1" applyProtection="1">
      <alignment/>
      <protection/>
    </xf>
    <xf numFmtId="9" fontId="20" fillId="38" borderId="15" xfId="55" applyFont="1" applyFill="1" applyBorder="1" applyAlignment="1" applyProtection="1">
      <alignment/>
      <protection/>
    </xf>
    <xf numFmtId="9" fontId="20" fillId="39" borderId="15" xfId="55" applyFont="1" applyFill="1" applyBorder="1" applyAlignment="1" applyProtection="1">
      <alignment/>
      <protection/>
    </xf>
    <xf numFmtId="9" fontId="20" fillId="39" borderId="28" xfId="55" applyFont="1" applyFill="1" applyBorder="1" applyAlignment="1" applyProtection="1">
      <alignment/>
      <protection/>
    </xf>
    <xf numFmtId="0" fontId="3" fillId="40" borderId="29" xfId="0" applyFont="1" applyFill="1" applyBorder="1" applyAlignment="1" applyProtection="1">
      <alignment horizontal="right"/>
      <protection/>
    </xf>
    <xf numFmtId="0" fontId="3" fillId="40" borderId="30" xfId="0" applyFont="1" applyFill="1" applyBorder="1" applyAlignment="1" applyProtection="1">
      <alignment/>
      <protection/>
    </xf>
    <xf numFmtId="9" fontId="18" fillId="41" borderId="31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9" fontId="20" fillId="34" borderId="0" xfId="55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41" fillId="37" borderId="32" xfId="0" applyFont="1" applyFill="1" applyBorder="1" applyAlignment="1" applyProtection="1">
      <alignment/>
      <protection/>
    </xf>
    <xf numFmtId="0" fontId="42" fillId="37" borderId="33" xfId="0" applyFont="1" applyFill="1" applyBorder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/>
    </xf>
    <xf numFmtId="9" fontId="0" fillId="34" borderId="0" xfId="55" applyFont="1" applyFill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2" fontId="0" fillId="34" borderId="0" xfId="0" applyNumberFormat="1" applyFill="1" applyBorder="1" applyAlignment="1" applyProtection="1">
      <alignment/>
      <protection/>
    </xf>
    <xf numFmtId="2" fontId="14" fillId="34" borderId="0" xfId="0" applyNumberFormat="1" applyFont="1" applyFill="1" applyBorder="1" applyAlignment="1" applyProtection="1">
      <alignment horizontal="right"/>
      <protection/>
    </xf>
    <xf numFmtId="172" fontId="21" fillId="34" borderId="0" xfId="0" applyNumberFormat="1" applyFont="1" applyFill="1" applyBorder="1" applyAlignment="1" applyProtection="1">
      <alignment/>
      <protection/>
    </xf>
    <xf numFmtId="10" fontId="21" fillId="34" borderId="0" xfId="55" applyNumberFormat="1" applyFont="1" applyFill="1" applyBorder="1" applyAlignment="1" applyProtection="1">
      <alignment horizontal="right"/>
      <protection/>
    </xf>
    <xf numFmtId="9" fontId="20" fillId="39" borderId="0" xfId="55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9" fontId="16" fillId="0" borderId="24" xfId="0" applyNumberFormat="1" applyFont="1" applyFill="1" applyBorder="1" applyAlignment="1" applyProtection="1">
      <alignment horizontal="center"/>
      <protection locked="0"/>
    </xf>
    <xf numFmtId="1" fontId="0" fillId="39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9" fontId="0" fillId="39" borderId="0" xfId="55" applyFont="1" applyFill="1" applyAlignment="1" applyProtection="1">
      <alignment/>
      <protection/>
    </xf>
    <xf numFmtId="9" fontId="20" fillId="35" borderId="0" xfId="55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16" fillId="35" borderId="0" xfId="0" applyFont="1" applyFill="1" applyBorder="1" applyAlignment="1" applyProtection="1">
      <alignment horizontal="center"/>
      <protection/>
    </xf>
    <xf numFmtId="9" fontId="0" fillId="35" borderId="0" xfId="55" applyFont="1" applyFill="1" applyAlignment="1" applyProtection="1">
      <alignment/>
      <protection/>
    </xf>
    <xf numFmtId="9" fontId="20" fillId="44" borderId="0" xfId="55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16" fillId="44" borderId="0" xfId="0" applyFont="1" applyFill="1" applyBorder="1" applyAlignment="1" applyProtection="1">
      <alignment horizontal="center"/>
      <protection/>
    </xf>
    <xf numFmtId="9" fontId="0" fillId="44" borderId="0" xfId="55" applyFont="1" applyFill="1" applyAlignment="1" applyProtection="1">
      <alignment/>
      <protection/>
    </xf>
    <xf numFmtId="0" fontId="9" fillId="41" borderId="20" xfId="0" applyFont="1" applyFill="1" applyBorder="1" applyAlignment="1" applyProtection="1">
      <alignment/>
      <protection/>
    </xf>
    <xf numFmtId="0" fontId="43" fillId="41" borderId="16" xfId="0" applyFont="1" applyFill="1" applyBorder="1" applyAlignment="1">
      <alignment/>
    </xf>
    <xf numFmtId="0" fontId="44" fillId="41" borderId="16" xfId="0" applyFont="1" applyFill="1" applyBorder="1" applyAlignment="1" applyProtection="1">
      <alignment/>
      <protection/>
    </xf>
    <xf numFmtId="0" fontId="9" fillId="41" borderId="17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0" fontId="9" fillId="41" borderId="0" xfId="0" applyFont="1" applyFill="1" applyBorder="1" applyAlignment="1" applyProtection="1">
      <alignment/>
      <protection/>
    </xf>
    <xf numFmtId="2" fontId="27" fillId="0" borderId="0" xfId="0" applyNumberFormat="1" applyFont="1" applyBorder="1" applyAlignment="1" applyProtection="1">
      <alignment horizontal="center"/>
      <protection/>
    </xf>
    <xf numFmtId="0" fontId="22" fillId="0" borderId="34" xfId="0" applyFont="1" applyBorder="1" applyAlignment="1">
      <alignment/>
    </xf>
    <xf numFmtId="0" fontId="48" fillId="34" borderId="34" xfId="46" applyFont="1" applyFill="1" applyBorder="1" applyAlignment="1" applyProtection="1">
      <alignment/>
      <protection/>
    </xf>
    <xf numFmtId="0" fontId="48" fillId="39" borderId="34" xfId="46" applyFont="1" applyFill="1" applyBorder="1" applyAlignment="1" applyProtection="1">
      <alignment/>
      <protection/>
    </xf>
    <xf numFmtId="0" fontId="49" fillId="35" borderId="34" xfId="46" applyFont="1" applyFill="1" applyBorder="1" applyAlignment="1" applyProtection="1">
      <alignment/>
      <protection/>
    </xf>
    <xf numFmtId="0" fontId="48" fillId="44" borderId="34" xfId="46" applyFont="1" applyFill="1" applyBorder="1" applyAlignment="1" applyProtection="1">
      <alignment/>
      <protection/>
    </xf>
    <xf numFmtId="0" fontId="30" fillId="0" borderId="34" xfId="46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9" fontId="20" fillId="38" borderId="35" xfId="55" applyFont="1" applyFill="1" applyBorder="1" applyAlignment="1" applyProtection="1">
      <alignment/>
      <protection/>
    </xf>
    <xf numFmtId="9" fontId="20" fillId="38" borderId="36" xfId="55" applyFont="1" applyFill="1" applyBorder="1" applyAlignment="1" applyProtection="1">
      <alignment/>
      <protection/>
    </xf>
    <xf numFmtId="9" fontId="20" fillId="39" borderId="36" xfId="55" applyFont="1" applyFill="1" applyBorder="1" applyAlignment="1" applyProtection="1">
      <alignment/>
      <protection/>
    </xf>
    <xf numFmtId="9" fontId="20" fillId="39" borderId="37" xfId="55" applyFont="1" applyFill="1" applyBorder="1" applyAlignment="1" applyProtection="1">
      <alignment/>
      <protection/>
    </xf>
    <xf numFmtId="2" fontId="0" fillId="0" borderId="38" xfId="0" applyNumberFormat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0" fillId="0" borderId="0" xfId="55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172" fontId="50" fillId="0" borderId="0" xfId="0" applyNumberFormat="1" applyFont="1" applyFill="1" applyBorder="1" applyAlignment="1" applyProtection="1">
      <alignment/>
      <protection/>
    </xf>
    <xf numFmtId="10" fontId="50" fillId="0" borderId="0" xfId="55" applyNumberFormat="1" applyFont="1" applyFill="1" applyAlignment="1">
      <alignment/>
    </xf>
    <xf numFmtId="0" fontId="2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23" fillId="39" borderId="0" xfId="0" applyFont="1" applyFill="1" applyBorder="1" applyAlignment="1" applyProtection="1">
      <alignment/>
      <protection/>
    </xf>
    <xf numFmtId="0" fontId="3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right"/>
      <protection/>
    </xf>
    <xf numFmtId="172" fontId="0" fillId="39" borderId="0" xfId="0" applyNumberFormat="1" applyFill="1" applyBorder="1" applyAlignment="1" applyProtection="1">
      <alignment/>
      <protection/>
    </xf>
    <xf numFmtId="2" fontId="14" fillId="39" borderId="0" xfId="0" applyNumberFormat="1" applyFont="1" applyFill="1" applyBorder="1" applyAlignment="1" applyProtection="1">
      <alignment horizontal="right"/>
      <protection/>
    </xf>
    <xf numFmtId="172" fontId="21" fillId="39" borderId="0" xfId="0" applyNumberFormat="1" applyFont="1" applyFill="1" applyBorder="1" applyAlignment="1" applyProtection="1">
      <alignment/>
      <protection/>
    </xf>
    <xf numFmtId="10" fontId="21" fillId="39" borderId="0" xfId="55" applyNumberFormat="1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 applyProtection="1">
      <alignment horizontal="right"/>
      <protection/>
    </xf>
    <xf numFmtId="0" fontId="33" fillId="34" borderId="0" xfId="0" applyFont="1" applyFill="1" applyBorder="1" applyAlignment="1" applyProtection="1">
      <alignment/>
      <protection/>
    </xf>
    <xf numFmtId="0" fontId="33" fillId="39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2" fontId="3" fillId="35" borderId="0" xfId="0" applyNumberFormat="1" applyFont="1" applyFill="1" applyBorder="1" applyAlignment="1" applyProtection="1">
      <alignment/>
      <protection/>
    </xf>
    <xf numFmtId="2" fontId="27" fillId="35" borderId="0" xfId="0" applyNumberFormat="1" applyFont="1" applyFill="1" applyBorder="1" applyAlignment="1" applyProtection="1">
      <alignment horizontal="center"/>
      <protection/>
    </xf>
    <xf numFmtId="10" fontId="27" fillId="35" borderId="0" xfId="55" applyNumberFormat="1" applyFont="1" applyFill="1" applyBorder="1" applyAlignment="1" applyProtection="1">
      <alignment horizontal="center"/>
      <protection/>
    </xf>
    <xf numFmtId="0" fontId="3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2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/>
      <protection/>
    </xf>
    <xf numFmtId="2" fontId="0" fillId="44" borderId="0" xfId="0" applyNumberFormat="1" applyFill="1" applyBorder="1" applyAlignment="1" applyProtection="1">
      <alignment/>
      <protection/>
    </xf>
    <xf numFmtId="0" fontId="0" fillId="44" borderId="0" xfId="0" applyFill="1" applyBorder="1" applyAlignment="1" applyProtection="1">
      <alignment horizontal="right"/>
      <protection/>
    </xf>
    <xf numFmtId="172" fontId="3" fillId="44" borderId="0" xfId="0" applyNumberFormat="1" applyFont="1" applyFill="1" applyBorder="1" applyAlignment="1" applyProtection="1">
      <alignment/>
      <protection/>
    </xf>
    <xf numFmtId="2" fontId="27" fillId="44" borderId="0" xfId="0" applyNumberFormat="1" applyFont="1" applyFill="1" applyBorder="1" applyAlignment="1" applyProtection="1">
      <alignment horizontal="center"/>
      <protection/>
    </xf>
    <xf numFmtId="0" fontId="3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 horizontal="right"/>
      <protection/>
    </xf>
    <xf numFmtId="0" fontId="6" fillId="43" borderId="0" xfId="0" applyFont="1" applyFill="1" applyAlignment="1">
      <alignment/>
    </xf>
    <xf numFmtId="0" fontId="51" fillId="43" borderId="0" xfId="0" applyFont="1" applyFill="1" applyAlignment="1">
      <alignment/>
    </xf>
    <xf numFmtId="2" fontId="18" fillId="0" borderId="1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8" fillId="39" borderId="39" xfId="0" applyFont="1" applyFill="1" applyBorder="1" applyAlignment="1" applyProtection="1">
      <alignment/>
      <protection/>
    </xf>
    <xf numFmtId="0" fontId="38" fillId="39" borderId="40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9" fillId="39" borderId="40" xfId="46" applyFont="1" applyFill="1" applyBorder="1" applyAlignment="1" applyProtection="1">
      <alignment/>
      <protection/>
    </xf>
    <xf numFmtId="0" fontId="37" fillId="39" borderId="40" xfId="46" applyFont="1" applyFill="1" applyBorder="1" applyAlignment="1" applyProtection="1">
      <alignment/>
      <protection/>
    </xf>
    <xf numFmtId="0" fontId="38" fillId="39" borderId="41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0" fontId="3" fillId="45" borderId="0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18" fillId="0" borderId="10" xfId="0" applyNumberFormat="1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28" fillId="46" borderId="42" xfId="0" applyFont="1" applyFill="1" applyBorder="1" applyAlignment="1" applyProtection="1">
      <alignment/>
      <protection/>
    </xf>
    <xf numFmtId="0" fontId="28" fillId="46" borderId="43" xfId="0" applyFont="1" applyFill="1" applyBorder="1" applyAlignment="1" applyProtection="1">
      <alignment/>
      <protection/>
    </xf>
    <xf numFmtId="0" fontId="0" fillId="46" borderId="44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right"/>
      <protection/>
    </xf>
    <xf numFmtId="172" fontId="0" fillId="46" borderId="0" xfId="0" applyNumberFormat="1" applyFill="1" applyBorder="1" applyAlignment="1" applyProtection="1">
      <alignment/>
      <protection/>
    </xf>
    <xf numFmtId="2" fontId="14" fillId="46" borderId="0" xfId="0" applyNumberFormat="1" applyFont="1" applyFill="1" applyBorder="1" applyAlignment="1" applyProtection="1">
      <alignment horizontal="right"/>
      <protection/>
    </xf>
    <xf numFmtId="172" fontId="21" fillId="46" borderId="0" xfId="0" applyNumberFormat="1" applyFont="1" applyFill="1" applyBorder="1" applyAlignment="1" applyProtection="1">
      <alignment/>
      <protection/>
    </xf>
    <xf numFmtId="10" fontId="21" fillId="46" borderId="0" xfId="55" applyNumberFormat="1" applyFont="1" applyFill="1" applyBorder="1" applyAlignment="1" applyProtection="1">
      <alignment horizontal="right"/>
      <protection/>
    </xf>
    <xf numFmtId="0" fontId="39" fillId="39" borderId="45" xfId="46" applyFont="1" applyFill="1" applyBorder="1" applyAlignment="1" applyProtection="1">
      <alignment/>
      <protection/>
    </xf>
    <xf numFmtId="0" fontId="40" fillId="46" borderId="46" xfId="0" applyFont="1" applyFill="1" applyBorder="1" applyAlignment="1">
      <alignment/>
    </xf>
    <xf numFmtId="0" fontId="18" fillId="39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/>
      <protection/>
    </xf>
    <xf numFmtId="0" fontId="16" fillId="44" borderId="0" xfId="0" applyFont="1" applyFill="1" applyBorder="1" applyAlignment="1" applyProtection="1">
      <alignment/>
      <protection locked="0"/>
    </xf>
    <xf numFmtId="0" fontId="18" fillId="4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53" fillId="46" borderId="41" xfId="0" applyFon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/>
      <protection/>
    </xf>
    <xf numFmtId="2" fontId="22" fillId="46" borderId="0" xfId="0" applyNumberFormat="1" applyFont="1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1" fontId="20" fillId="42" borderId="0" xfId="0" applyNumberFormat="1" applyFont="1" applyFill="1" applyBorder="1" applyAlignment="1" applyProtection="1">
      <alignment horizontal="center"/>
      <protection/>
    </xf>
    <xf numFmtId="0" fontId="55" fillId="37" borderId="20" xfId="0" applyFont="1" applyFill="1" applyBorder="1" applyAlignment="1" applyProtection="1">
      <alignment/>
      <protection locked="0"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172" fontId="4" fillId="0" borderId="0" xfId="55" applyNumberFormat="1" applyFont="1" applyBorder="1" applyAlignment="1" applyProtection="1">
      <alignment horizontal="center"/>
      <protection/>
    </xf>
    <xf numFmtId="172" fontId="3" fillId="41" borderId="47" xfId="0" applyNumberFormat="1" applyFont="1" applyFill="1" applyBorder="1" applyAlignment="1" applyProtection="1">
      <alignment/>
      <protection/>
    </xf>
    <xf numFmtId="2" fontId="4" fillId="41" borderId="48" xfId="0" applyNumberFormat="1" applyFont="1" applyFill="1" applyBorder="1" applyAlignment="1" applyProtection="1">
      <alignment horizontal="center"/>
      <protection/>
    </xf>
    <xf numFmtId="172" fontId="3" fillId="41" borderId="49" xfId="0" applyNumberFormat="1" applyFont="1" applyFill="1" applyBorder="1" applyAlignment="1" applyProtection="1">
      <alignment/>
      <protection/>
    </xf>
    <xf numFmtId="172" fontId="4" fillId="41" borderId="50" xfId="55" applyNumberFormat="1" applyFont="1" applyFill="1" applyBorder="1" applyAlignment="1" applyProtection="1">
      <alignment horizontal="center"/>
      <protection/>
    </xf>
    <xf numFmtId="0" fontId="56" fillId="43" borderId="0" xfId="0" applyFont="1" applyFill="1" applyAlignment="1">
      <alignment/>
    </xf>
    <xf numFmtId="0" fontId="57" fillId="43" borderId="0" xfId="0" applyFont="1" applyFill="1" applyAlignment="1">
      <alignment/>
    </xf>
    <xf numFmtId="0" fontId="58" fillId="47" borderId="20" xfId="0" applyFont="1" applyFill="1" applyBorder="1" applyAlignment="1">
      <alignment/>
    </xf>
    <xf numFmtId="0" fontId="58" fillId="47" borderId="16" xfId="0" applyFont="1" applyFill="1" applyBorder="1" applyAlignment="1">
      <alignment/>
    </xf>
    <xf numFmtId="0" fontId="59" fillId="43" borderId="0" xfId="0" applyFont="1" applyFill="1" applyAlignment="1">
      <alignment/>
    </xf>
    <xf numFmtId="9" fontId="20" fillId="43" borderId="0" xfId="55" applyFont="1" applyFill="1" applyBorder="1" applyAlignment="1" applyProtection="1">
      <alignment/>
      <protection/>
    </xf>
    <xf numFmtId="0" fontId="20" fillId="43" borderId="0" xfId="0" applyFont="1" applyFill="1" applyBorder="1" applyAlignment="1" applyProtection="1">
      <alignment/>
      <protection/>
    </xf>
    <xf numFmtId="0" fontId="11" fillId="43" borderId="0" xfId="0" applyFont="1" applyFill="1" applyBorder="1" applyAlignment="1">
      <alignment horizontal="center"/>
    </xf>
    <xf numFmtId="0" fontId="3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53" fillId="43" borderId="0" xfId="0" applyFont="1" applyFill="1" applyAlignment="1">
      <alignment/>
    </xf>
    <xf numFmtId="9" fontId="9" fillId="47" borderId="17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0" fillId="0" borderId="51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48" borderId="10" xfId="0" applyFill="1" applyBorder="1" applyAlignment="1" applyProtection="1">
      <alignment/>
      <protection/>
    </xf>
    <xf numFmtId="0" fontId="60" fillId="41" borderId="10" xfId="0" applyFont="1" applyFill="1" applyBorder="1" applyAlignment="1" applyProtection="1">
      <alignment horizontal="right"/>
      <protection/>
    </xf>
    <xf numFmtId="0" fontId="60" fillId="41" borderId="1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24" fillId="0" borderId="0" xfId="0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18" fillId="0" borderId="0" xfId="51" applyNumberFormat="1" applyFont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55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173" fontId="18" fillId="0" borderId="0" xfId="51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2" fontId="0" fillId="0" borderId="23" xfId="0" applyNumberFormat="1" applyBorder="1" applyAlignment="1" applyProtection="1">
      <alignment horizontal="left"/>
      <protection/>
    </xf>
    <xf numFmtId="0" fontId="0" fillId="49" borderId="10" xfId="0" applyFill="1" applyBorder="1" applyAlignment="1" applyProtection="1">
      <alignment/>
      <protection/>
    </xf>
    <xf numFmtId="0" fontId="3" fillId="49" borderId="10" xfId="0" applyFont="1" applyFill="1" applyBorder="1" applyAlignment="1" applyProtection="1">
      <alignment/>
      <protection/>
    </xf>
    <xf numFmtId="2" fontId="0" fillId="48" borderId="23" xfId="0" applyNumberFormat="1" applyFill="1" applyBorder="1" applyAlignment="1" applyProtection="1">
      <alignment horizontal="left"/>
      <protection/>
    </xf>
    <xf numFmtId="2" fontId="0" fillId="48" borderId="10" xfId="0" applyNumberFormat="1" applyFill="1" applyBorder="1" applyAlignment="1" applyProtection="1">
      <alignment horizontal="left"/>
      <protection/>
    </xf>
    <xf numFmtId="0" fontId="61" fillId="43" borderId="0" xfId="0" applyFont="1" applyFill="1" applyAlignment="1">
      <alignment/>
    </xf>
    <xf numFmtId="0" fontId="22" fillId="0" borderId="34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3" fillId="39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44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1" borderId="10" xfId="0" applyFill="1" applyBorder="1" applyAlignment="1" applyProtection="1">
      <alignment/>
      <protection/>
    </xf>
    <xf numFmtId="2" fontId="0" fillId="41" borderId="10" xfId="0" applyNumberFormat="1" applyFill="1" applyBorder="1" applyAlignment="1" applyProtection="1">
      <alignment horizontal="left"/>
      <protection/>
    </xf>
    <xf numFmtId="0" fontId="54" fillId="50" borderId="45" xfId="46" applyFont="1" applyFill="1" applyBorder="1" applyAlignment="1" applyProtection="1">
      <alignment/>
      <protection/>
    </xf>
    <xf numFmtId="0" fontId="136" fillId="50" borderId="52" xfId="0" applyFont="1" applyFill="1" applyBorder="1" applyAlignment="1" applyProtection="1">
      <alignment/>
      <protection/>
    </xf>
    <xf numFmtId="0" fontId="136" fillId="46" borderId="39" xfId="0" applyFont="1" applyFill="1" applyBorder="1" applyAlignment="1" applyProtection="1">
      <alignment/>
      <protection/>
    </xf>
    <xf numFmtId="0" fontId="136" fillId="50" borderId="40" xfId="0" applyFont="1" applyFill="1" applyBorder="1" applyAlignment="1" applyProtection="1">
      <alignment/>
      <protection/>
    </xf>
    <xf numFmtId="0" fontId="136" fillId="46" borderId="0" xfId="0" applyFont="1" applyFill="1" applyBorder="1" applyAlignment="1" applyProtection="1">
      <alignment/>
      <protection/>
    </xf>
    <xf numFmtId="0" fontId="137" fillId="50" borderId="40" xfId="46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/>
    </xf>
    <xf numFmtId="2" fontId="0" fillId="50" borderId="0" xfId="0" applyNumberFormat="1" applyFill="1" applyBorder="1" applyAlignment="1" applyProtection="1">
      <alignment horizontal="right"/>
      <protection/>
    </xf>
    <xf numFmtId="0" fontId="0" fillId="5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hidden="1"/>
    </xf>
    <xf numFmtId="0" fontId="4" fillId="0" borderId="53" xfId="0" applyFont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2" fontId="16" fillId="0" borderId="5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138" fillId="0" borderId="12" xfId="0" applyNumberFormat="1" applyFont="1" applyBorder="1" applyAlignment="1" applyProtection="1">
      <alignment/>
      <protection hidden="1"/>
    </xf>
    <xf numFmtId="0" fontId="138" fillId="0" borderId="0" xfId="0" applyNumberFormat="1" applyFont="1" applyAlignment="1" applyProtection="1">
      <alignment/>
      <protection hidden="1"/>
    </xf>
    <xf numFmtId="0" fontId="139" fillId="0" borderId="51" xfId="0" applyNumberFormat="1" applyFont="1" applyBorder="1" applyAlignment="1" applyProtection="1">
      <alignment/>
      <protection hidden="1"/>
    </xf>
    <xf numFmtId="0" fontId="139" fillId="51" borderId="51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39" fillId="0" borderId="0" xfId="0" applyNumberFormat="1" applyFont="1" applyAlignment="1">
      <alignment/>
    </xf>
    <xf numFmtId="2" fontId="6" fillId="50" borderId="0" xfId="0" applyNumberFormat="1" applyFont="1" applyFill="1" applyBorder="1" applyAlignment="1" applyProtection="1">
      <alignment horizontal="left"/>
      <protection/>
    </xf>
    <xf numFmtId="0" fontId="5" fillId="0" borderId="0" xfId="46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0" fillId="0" borderId="55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51" borderId="10" xfId="0" applyFill="1" applyBorder="1" applyAlignment="1" applyProtection="1">
      <alignment/>
      <protection hidden="1"/>
    </xf>
    <xf numFmtId="0" fontId="24" fillId="51" borderId="10" xfId="0" applyFont="1" applyFill="1" applyBorder="1" applyAlignment="1" applyProtection="1">
      <alignment/>
      <protection hidden="1"/>
    </xf>
    <xf numFmtId="0" fontId="0" fillId="51" borderId="23" xfId="0" applyNumberFormat="1" applyFill="1" applyBorder="1" applyAlignment="1" applyProtection="1">
      <alignment/>
      <protection hidden="1"/>
    </xf>
    <xf numFmtId="0" fontId="0" fillId="51" borderId="51" xfId="0" applyNumberFormat="1" applyFill="1" applyBorder="1" applyAlignment="1" applyProtection="1">
      <alignment/>
      <protection hidden="1"/>
    </xf>
    <xf numFmtId="0" fontId="0" fillId="51" borderId="55" xfId="0" applyNumberFormat="1" applyFill="1" applyBorder="1" applyAlignment="1" applyProtection="1">
      <alignment/>
      <protection hidden="1"/>
    </xf>
    <xf numFmtId="0" fontId="0" fillId="51" borderId="15" xfId="0" applyFill="1" applyBorder="1" applyAlignment="1" applyProtection="1">
      <alignment/>
      <protection hidden="1"/>
    </xf>
    <xf numFmtId="0" fontId="0" fillId="51" borderId="10" xfId="0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7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10" fontId="0" fillId="0" borderId="0" xfId="55" applyNumberFormat="1" applyFont="1" applyAlignment="1" applyProtection="1">
      <alignment/>
      <protection/>
    </xf>
    <xf numFmtId="0" fontId="140" fillId="0" borderId="0" xfId="0" applyFont="1" applyAlignment="1">
      <alignment/>
    </xf>
    <xf numFmtId="0" fontId="140" fillId="0" borderId="51" xfId="0" applyNumberFormat="1" applyFont="1" applyBorder="1" applyAlignment="1" applyProtection="1">
      <alignment/>
      <protection hidden="1"/>
    </xf>
    <xf numFmtId="0" fontId="141" fillId="51" borderId="51" xfId="0" applyNumberFormat="1" applyFon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39" fillId="51" borderId="23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51" xfId="0" applyNumberFormat="1" applyFont="1" applyBorder="1" applyAlignment="1" applyProtection="1">
      <alignment/>
      <protection hidden="1"/>
    </xf>
    <xf numFmtId="0" fontId="139" fillId="0" borderId="23" xfId="0" applyNumberFormat="1" applyFont="1" applyBorder="1" applyAlignment="1" applyProtection="1">
      <alignment/>
      <protection hidden="1"/>
    </xf>
    <xf numFmtId="0" fontId="3" fillId="51" borderId="51" xfId="0" applyNumberFormat="1" applyFont="1" applyFill="1" applyBorder="1" applyAlignment="1" applyProtection="1">
      <alignment/>
      <protection hidden="1"/>
    </xf>
    <xf numFmtId="0" fontId="0" fillId="51" borderId="0" xfId="0" applyFill="1" applyAlignment="1">
      <alignment/>
    </xf>
    <xf numFmtId="0" fontId="142" fillId="33" borderId="10" xfId="0" applyFont="1" applyFill="1" applyBorder="1" applyAlignment="1" applyProtection="1">
      <alignment/>
      <protection hidden="1"/>
    </xf>
    <xf numFmtId="0" fontId="140" fillId="33" borderId="10" xfId="0" applyFont="1" applyFill="1" applyBorder="1" applyAlignment="1" applyProtection="1">
      <alignment/>
      <protection hidden="1"/>
    </xf>
    <xf numFmtId="0" fontId="140" fillId="0" borderId="23" xfId="0" applyNumberFormat="1" applyFont="1" applyBorder="1" applyAlignment="1" applyProtection="1">
      <alignment/>
      <protection hidden="1"/>
    </xf>
    <xf numFmtId="0" fontId="141" fillId="0" borderId="51" xfId="0" applyNumberFormat="1" applyFont="1" applyBorder="1" applyAlignment="1" applyProtection="1">
      <alignment/>
      <protection hidden="1"/>
    </xf>
    <xf numFmtId="0" fontId="142" fillId="0" borderId="10" xfId="0" applyFont="1" applyBorder="1" applyAlignment="1" applyProtection="1">
      <alignment/>
      <protection hidden="1"/>
    </xf>
    <xf numFmtId="0" fontId="140" fillId="0" borderId="10" xfId="0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140" fillId="0" borderId="15" xfId="0" applyFont="1" applyBorder="1" applyAlignment="1" applyProtection="1">
      <alignment/>
      <protection hidden="1"/>
    </xf>
    <xf numFmtId="0" fontId="140" fillId="0" borderId="10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39" fillId="0" borderId="0" xfId="0" applyNumberFormat="1" applyFont="1" applyBorder="1" applyAlignment="1" applyProtection="1">
      <alignment/>
      <protection hidden="1"/>
    </xf>
    <xf numFmtId="0" fontId="3" fillId="0" borderId="55" xfId="0" applyNumberFormat="1" applyFont="1" applyBorder="1" applyAlignment="1" applyProtection="1">
      <alignment/>
      <protection hidden="1"/>
    </xf>
    <xf numFmtId="0" fontId="139" fillId="0" borderId="55" xfId="0" applyNumberFormat="1" applyFont="1" applyBorder="1" applyAlignment="1" applyProtection="1">
      <alignment/>
      <protection hidden="1"/>
    </xf>
    <xf numFmtId="0" fontId="0" fillId="0" borderId="57" xfId="0" applyBorder="1" applyAlignment="1">
      <alignment/>
    </xf>
    <xf numFmtId="0" fontId="0" fillId="0" borderId="0" xfId="0" applyFont="1" applyAlignment="1">
      <alignment/>
    </xf>
    <xf numFmtId="0" fontId="0" fillId="28" borderId="0" xfId="0" applyFill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5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52" borderId="58" xfId="0" applyFont="1" applyFill="1" applyBorder="1" applyAlignment="1" applyProtection="1">
      <alignment/>
      <protection/>
    </xf>
    <xf numFmtId="0" fontId="4" fillId="40" borderId="60" xfId="0" applyFont="1" applyFill="1" applyBorder="1" applyAlignment="1" applyProtection="1">
      <alignment horizontal="right"/>
      <protection/>
    </xf>
    <xf numFmtId="0" fontId="4" fillId="52" borderId="59" xfId="0" applyFont="1" applyFill="1" applyBorder="1" applyAlignment="1" applyProtection="1">
      <alignment/>
      <protection/>
    </xf>
    <xf numFmtId="0" fontId="22" fillId="37" borderId="26" xfId="0" applyFont="1" applyFill="1" applyBorder="1" applyAlignment="1" applyProtection="1">
      <alignment/>
      <protection/>
    </xf>
    <xf numFmtId="0" fontId="4" fillId="40" borderId="30" xfId="0" applyFont="1" applyFill="1" applyBorder="1" applyAlignment="1" applyProtection="1">
      <alignment/>
      <protection/>
    </xf>
    <xf numFmtId="0" fontId="4" fillId="36" borderId="25" xfId="0" applyFont="1" applyFill="1" applyBorder="1" applyAlignment="1" applyProtection="1">
      <alignment/>
      <protection/>
    </xf>
    <xf numFmtId="9" fontId="16" fillId="41" borderId="61" xfId="0" applyNumberFormat="1" applyFont="1" applyFill="1" applyBorder="1" applyAlignment="1" applyProtection="1">
      <alignment/>
      <protection locked="0"/>
    </xf>
    <xf numFmtId="0" fontId="38" fillId="37" borderId="16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171" fontId="22" fillId="0" borderId="0" xfId="49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 horizontal="left"/>
      <protection/>
    </xf>
    <xf numFmtId="0" fontId="22" fillId="50" borderId="0" xfId="0" applyFont="1" applyFill="1" applyAlignment="1" applyProtection="1">
      <alignment/>
      <protection/>
    </xf>
    <xf numFmtId="0" fontId="22" fillId="0" borderId="62" xfId="0" applyFont="1" applyBorder="1" applyAlignment="1" applyProtection="1">
      <alignment/>
      <protection/>
    </xf>
    <xf numFmtId="0" fontId="22" fillId="0" borderId="56" xfId="0" applyFont="1" applyBorder="1" applyAlignment="1" applyProtection="1">
      <alignment/>
      <protection/>
    </xf>
    <xf numFmtId="0" fontId="22" fillId="0" borderId="63" xfId="0" applyFont="1" applyBorder="1" applyAlignment="1" applyProtection="1">
      <alignment/>
      <protection/>
    </xf>
    <xf numFmtId="10" fontId="22" fillId="0" borderId="64" xfId="55" applyNumberFormat="1" applyFont="1" applyBorder="1" applyAlignment="1" applyProtection="1">
      <alignment/>
      <protection/>
    </xf>
    <xf numFmtId="9" fontId="22" fillId="0" borderId="56" xfId="55" applyNumberFormat="1" applyFont="1" applyFill="1" applyBorder="1" applyAlignment="1" applyProtection="1">
      <alignment/>
      <protection/>
    </xf>
    <xf numFmtId="10" fontId="143" fillId="0" borderId="56" xfId="55" applyNumberFormat="1" applyFont="1" applyFill="1" applyBorder="1" applyAlignment="1" applyProtection="1">
      <alignment/>
      <protection locked="0"/>
    </xf>
    <xf numFmtId="172" fontId="22" fillId="0" borderId="56" xfId="55" applyNumberFormat="1" applyFont="1" applyFill="1" applyBorder="1" applyAlignment="1" applyProtection="1">
      <alignment/>
      <protection/>
    </xf>
    <xf numFmtId="0" fontId="22" fillId="0" borderId="63" xfId="0" applyFont="1" applyFill="1" applyBorder="1" applyAlignment="1" applyProtection="1">
      <alignment/>
      <protection/>
    </xf>
    <xf numFmtId="0" fontId="4" fillId="0" borderId="65" xfId="0" applyFont="1" applyFill="1" applyBorder="1" applyAlignment="1" applyProtection="1">
      <alignment/>
      <protection/>
    </xf>
    <xf numFmtId="0" fontId="64" fillId="45" borderId="0" xfId="0" applyFont="1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2" fontId="22" fillId="0" borderId="66" xfId="0" applyNumberFormat="1" applyFont="1" applyBorder="1" applyAlignment="1" applyProtection="1">
      <alignment horizontal="left"/>
      <protection/>
    </xf>
    <xf numFmtId="0" fontId="22" fillId="51" borderId="10" xfId="0" applyFont="1" applyFill="1" applyBorder="1" applyAlignment="1" applyProtection="1">
      <alignment horizontal="right"/>
      <protection/>
    </xf>
    <xf numFmtId="0" fontId="38" fillId="37" borderId="0" xfId="0" applyFont="1" applyFill="1" applyBorder="1" applyAlignment="1" applyProtection="1">
      <alignment/>
      <protection/>
    </xf>
    <xf numFmtId="174" fontId="139" fillId="0" borderId="51" xfId="0" applyNumberFormat="1" applyFont="1" applyBorder="1" applyAlignment="1" applyProtection="1">
      <alignment/>
      <protection hidden="1"/>
    </xf>
    <xf numFmtId="0" fontId="24" fillId="0" borderId="0" xfId="0" applyNumberFormat="1" applyFont="1" applyAlignment="1" applyProtection="1">
      <alignment/>
      <protection hidden="1"/>
    </xf>
    <xf numFmtId="9" fontId="16" fillId="37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44" fillId="0" borderId="1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7" fontId="4" fillId="0" borderId="0" xfId="0" applyNumberFormat="1" applyFont="1" applyAlignment="1" applyProtection="1">
      <alignment/>
      <protection/>
    </xf>
    <xf numFmtId="0" fontId="145" fillId="0" borderId="0" xfId="0" applyFont="1" applyAlignment="1" applyProtection="1">
      <alignment/>
      <protection locked="0"/>
    </xf>
    <xf numFmtId="1" fontId="4" fillId="0" borderId="56" xfId="0" applyNumberFormat="1" applyFont="1" applyFill="1" applyBorder="1" applyAlignment="1" applyProtection="1">
      <alignment/>
      <protection/>
    </xf>
    <xf numFmtId="0" fontId="2" fillId="53" borderId="0" xfId="0" applyFont="1" applyFill="1" applyAlignment="1" applyProtection="1">
      <alignment horizontal="left"/>
      <protection/>
    </xf>
    <xf numFmtId="10" fontId="22" fillId="0" borderId="10" xfId="55" applyNumberFormat="1" applyFont="1" applyBorder="1" applyAlignment="1" applyProtection="1">
      <alignment/>
      <protection/>
    </xf>
    <xf numFmtId="0" fontId="22" fillId="51" borderId="14" xfId="0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/>
    </xf>
    <xf numFmtId="1" fontId="146" fillId="0" borderId="10" xfId="0" applyNumberFormat="1" applyFont="1" applyBorder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54" borderId="0" xfId="0" applyFill="1" applyAlignment="1" applyProtection="1">
      <alignment/>
      <protection/>
    </xf>
    <xf numFmtId="0" fontId="22" fillId="54" borderId="0" xfId="0" applyFont="1" applyFill="1" applyAlignment="1" applyProtection="1">
      <alignment/>
      <protection/>
    </xf>
    <xf numFmtId="0" fontId="64" fillId="54" borderId="0" xfId="0" applyFont="1" applyFill="1" applyAlignment="1" applyProtection="1">
      <alignment/>
      <protection/>
    </xf>
    <xf numFmtId="0" fontId="40" fillId="46" borderId="0" xfId="0" applyFont="1" applyFill="1" applyBorder="1" applyAlignment="1" applyProtection="1">
      <alignment/>
      <protection/>
    </xf>
    <xf numFmtId="0" fontId="53" fillId="46" borderId="0" xfId="0" applyFont="1" applyFill="1" applyBorder="1" applyAlignment="1" applyProtection="1">
      <alignment/>
      <protection/>
    </xf>
    <xf numFmtId="1" fontId="146" fillId="0" borderId="0" xfId="0" applyNumberFormat="1" applyFont="1" applyBorder="1" applyAlignment="1">
      <alignment/>
    </xf>
    <xf numFmtId="0" fontId="147" fillId="0" borderId="0" xfId="0" applyFont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0" fontId="0" fillId="46" borderId="0" xfId="0" applyNumberFormat="1" applyFill="1" applyBorder="1" applyAlignment="1" applyProtection="1">
      <alignment/>
      <protection/>
    </xf>
    <xf numFmtId="0" fontId="0" fillId="39" borderId="67" xfId="0" applyFill="1" applyBorder="1" applyAlignment="1" applyProtection="1">
      <alignment/>
      <protection/>
    </xf>
    <xf numFmtId="0" fontId="0" fillId="39" borderId="50" xfId="0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16" fillId="37" borderId="26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2" fontId="22" fillId="0" borderId="68" xfId="0" applyNumberFormat="1" applyFont="1" applyBorder="1" applyAlignment="1" applyProtection="1">
      <alignment horizontal="left"/>
      <protection/>
    </xf>
    <xf numFmtId="2" fontId="16" fillId="0" borderId="69" xfId="0" applyNumberFormat="1" applyFont="1" applyBorder="1" applyAlignment="1" applyProtection="1">
      <alignment horizontal="left"/>
      <protection locked="0"/>
    </xf>
    <xf numFmtId="2" fontId="22" fillId="0" borderId="70" xfId="0" applyNumberFormat="1" applyFont="1" applyBorder="1" applyAlignment="1" applyProtection="1">
      <alignment horizontal="right"/>
      <protection/>
    </xf>
    <xf numFmtId="2" fontId="22" fillId="0" borderId="66" xfId="0" applyNumberFormat="1" applyFont="1" applyBorder="1" applyAlignment="1" applyProtection="1">
      <alignment horizontal="right"/>
      <protection/>
    </xf>
    <xf numFmtId="2" fontId="22" fillId="51" borderId="56" xfId="0" applyNumberFormat="1" applyFont="1" applyFill="1" applyBorder="1" applyAlignment="1" applyProtection="1">
      <alignment horizontal="left"/>
      <protection/>
    </xf>
    <xf numFmtId="2" fontId="22" fillId="19" borderId="56" xfId="0" applyNumberFormat="1" applyFont="1" applyFill="1" applyBorder="1" applyAlignment="1" applyProtection="1">
      <alignment horizontal="left"/>
      <protection/>
    </xf>
    <xf numFmtId="173" fontId="16" fillId="0" borderId="69" xfId="51" applyNumberFormat="1" applyFont="1" applyBorder="1" applyAlignment="1" applyProtection="1">
      <alignment horizontal="right"/>
      <protection locked="0"/>
    </xf>
    <xf numFmtId="0" fontId="0" fillId="39" borderId="71" xfId="0" applyFill="1" applyBorder="1" applyAlignment="1" applyProtection="1">
      <alignment/>
      <protection/>
    </xf>
    <xf numFmtId="0" fontId="19" fillId="0" borderId="71" xfId="0" applyFont="1" applyFill="1" applyBorder="1" applyAlignment="1" applyProtection="1">
      <alignment horizontal="left"/>
      <protection/>
    </xf>
    <xf numFmtId="0" fontId="0" fillId="50" borderId="71" xfId="0" applyFill="1" applyBorder="1" applyAlignment="1" applyProtection="1">
      <alignment/>
      <protection/>
    </xf>
    <xf numFmtId="0" fontId="0" fillId="46" borderId="71" xfId="0" applyFill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71" xfId="0" applyBorder="1" applyAlignment="1" applyProtection="1">
      <alignment horizontal="right"/>
      <protection/>
    </xf>
    <xf numFmtId="0" fontId="0" fillId="0" borderId="71" xfId="0" applyFill="1" applyBorder="1" applyAlignment="1" applyProtection="1">
      <alignment/>
      <protection/>
    </xf>
    <xf numFmtId="1" fontId="0" fillId="42" borderId="71" xfId="0" applyNumberFormat="1" applyFill="1" applyBorder="1" applyAlignment="1" applyProtection="1">
      <alignment/>
      <protection/>
    </xf>
    <xf numFmtId="2" fontId="0" fillId="0" borderId="71" xfId="0" applyNumberFormat="1" applyFont="1" applyBorder="1" applyAlignment="1">
      <alignment horizontal="right"/>
    </xf>
    <xf numFmtId="0" fontId="3" fillId="0" borderId="71" xfId="0" applyFont="1" applyFill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2" borderId="71" xfId="0" applyFill="1" applyBorder="1" applyAlignment="1" applyProtection="1">
      <alignment/>
      <protection/>
    </xf>
    <xf numFmtId="1" fontId="146" fillId="0" borderId="71" xfId="0" applyNumberFormat="1" applyFont="1" applyBorder="1" applyAlignment="1">
      <alignment/>
    </xf>
    <xf numFmtId="0" fontId="4" fillId="0" borderId="71" xfId="0" applyFont="1" applyFill="1" applyBorder="1" applyAlignment="1" applyProtection="1">
      <alignment/>
      <protection/>
    </xf>
    <xf numFmtId="0" fontId="0" fillId="45" borderId="71" xfId="0" applyFill="1" applyBorder="1" applyAlignment="1" applyProtection="1">
      <alignment/>
      <protection/>
    </xf>
    <xf numFmtId="0" fontId="4" fillId="0" borderId="72" xfId="0" applyFont="1" applyBorder="1" applyAlignment="1" applyProtection="1">
      <alignment/>
      <protection/>
    </xf>
    <xf numFmtId="0" fontId="4" fillId="0" borderId="73" xfId="0" applyFont="1" applyBorder="1" applyAlignment="1" applyProtection="1">
      <alignment/>
      <protection/>
    </xf>
    <xf numFmtId="0" fontId="22" fillId="0" borderId="74" xfId="0" applyFont="1" applyBorder="1" applyAlignment="1" applyProtection="1">
      <alignment/>
      <protection/>
    </xf>
    <xf numFmtId="0" fontId="22" fillId="0" borderId="71" xfId="0" applyFont="1" applyFill="1" applyBorder="1" applyAlignment="1" applyProtection="1">
      <alignment/>
      <protection/>
    </xf>
    <xf numFmtId="0" fontId="22" fillId="37" borderId="75" xfId="0" applyFont="1" applyFill="1" applyBorder="1" applyAlignment="1" applyProtection="1">
      <alignment/>
      <protection/>
    </xf>
    <xf numFmtId="9" fontId="16" fillId="0" borderId="76" xfId="0" applyNumberFormat="1" applyFont="1" applyFill="1" applyBorder="1" applyAlignment="1" applyProtection="1">
      <alignment horizontal="center"/>
      <protection locked="0"/>
    </xf>
    <xf numFmtId="1" fontId="4" fillId="0" borderId="77" xfId="0" applyNumberFormat="1" applyFont="1" applyFill="1" applyBorder="1" applyAlignment="1" applyProtection="1">
      <alignment/>
      <protection/>
    </xf>
    <xf numFmtId="0" fontId="22" fillId="0" borderId="78" xfId="0" applyFont="1" applyBorder="1" applyAlignment="1" applyProtection="1">
      <alignment/>
      <protection/>
    </xf>
    <xf numFmtId="0" fontId="22" fillId="0" borderId="72" xfId="0" applyFont="1" applyBorder="1" applyAlignment="1" applyProtection="1">
      <alignment/>
      <protection/>
    </xf>
    <xf numFmtId="0" fontId="22" fillId="0" borderId="72" xfId="0" applyFont="1" applyFill="1" applyBorder="1" applyAlignment="1" applyProtection="1">
      <alignment/>
      <protection/>
    </xf>
    <xf numFmtId="49" fontId="22" fillId="51" borderId="79" xfId="0" applyNumberFormat="1" applyFont="1" applyFill="1" applyBorder="1" applyAlignment="1" applyProtection="1">
      <alignment horizontal="left"/>
      <protection/>
    </xf>
    <xf numFmtId="0" fontId="62" fillId="0" borderId="72" xfId="0" applyFont="1" applyBorder="1" applyAlignment="1" applyProtection="1">
      <alignment/>
      <protection/>
    </xf>
    <xf numFmtId="0" fontId="148" fillId="0" borderId="71" xfId="0" applyFont="1" applyBorder="1" applyAlignment="1">
      <alignment/>
    </xf>
    <xf numFmtId="0" fontId="22" fillId="0" borderId="73" xfId="0" applyFont="1" applyBorder="1" applyAlignment="1" applyProtection="1">
      <alignment/>
      <protection/>
    </xf>
    <xf numFmtId="0" fontId="4" fillId="0" borderId="80" xfId="0" applyFont="1" applyBorder="1" applyAlignment="1" applyProtection="1">
      <alignment/>
      <protection/>
    </xf>
    <xf numFmtId="9" fontId="22" fillId="0" borderId="79" xfId="0" applyNumberFormat="1" applyFont="1" applyBorder="1" applyAlignment="1" applyProtection="1">
      <alignment/>
      <protection/>
    </xf>
    <xf numFmtId="172" fontId="4" fillId="0" borderId="80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 locked="0"/>
    </xf>
    <xf numFmtId="0" fontId="149" fillId="55" borderId="81" xfId="0" applyFont="1" applyFill="1" applyBorder="1" applyAlignment="1" applyProtection="1">
      <alignment/>
      <protection/>
    </xf>
    <xf numFmtId="0" fontId="149" fillId="55" borderId="82" xfId="0" applyFont="1" applyFill="1" applyBorder="1" applyAlignment="1" applyProtection="1">
      <alignment/>
      <protection/>
    </xf>
    <xf numFmtId="2" fontId="150" fillId="56" borderId="83" xfId="0" applyNumberFormat="1" applyFont="1" applyFill="1" applyBorder="1" applyAlignment="1" applyProtection="1">
      <alignment/>
      <protection/>
    </xf>
    <xf numFmtId="2" fontId="22" fillId="0" borderId="84" xfId="0" applyNumberFormat="1" applyFont="1" applyBorder="1" applyAlignment="1" applyProtection="1">
      <alignment/>
      <protection/>
    </xf>
    <xf numFmtId="2" fontId="4" fillId="0" borderId="84" xfId="0" applyNumberFormat="1" applyFont="1" applyBorder="1" applyAlignment="1" applyProtection="1">
      <alignment/>
      <protection/>
    </xf>
    <xf numFmtId="9" fontId="22" fillId="0" borderId="85" xfId="0" applyNumberFormat="1" applyFont="1" applyBorder="1" applyAlignment="1" applyProtection="1">
      <alignment/>
      <protection/>
    </xf>
    <xf numFmtId="0" fontId="22" fillId="0" borderId="86" xfId="0" applyFont="1" applyBorder="1" applyAlignment="1" applyProtection="1">
      <alignment/>
      <protection/>
    </xf>
    <xf numFmtId="0" fontId="4" fillId="0" borderId="87" xfId="0" applyFont="1" applyBorder="1" applyAlignment="1" applyProtection="1">
      <alignment/>
      <protection/>
    </xf>
    <xf numFmtId="0" fontId="22" fillId="0" borderId="84" xfId="0" applyFont="1" applyBorder="1" applyAlignment="1" applyProtection="1">
      <alignment/>
      <protection/>
    </xf>
    <xf numFmtId="172" fontId="4" fillId="0" borderId="88" xfId="0" applyNumberFormat="1" applyFont="1" applyBorder="1" applyAlignment="1" applyProtection="1">
      <alignment/>
      <protection/>
    </xf>
    <xf numFmtId="0" fontId="64" fillId="54" borderId="71" xfId="0" applyFont="1" applyFill="1" applyBorder="1" applyAlignment="1" applyProtection="1">
      <alignment/>
      <protection/>
    </xf>
    <xf numFmtId="0" fontId="22" fillId="50" borderId="71" xfId="0" applyFont="1" applyFill="1" applyBorder="1" applyAlignment="1" applyProtection="1">
      <alignment/>
      <protection/>
    </xf>
    <xf numFmtId="0" fontId="16" fillId="0" borderId="89" xfId="0" applyFont="1" applyBorder="1" applyAlignment="1" applyProtection="1">
      <alignment horizontal="center"/>
      <protection locked="0"/>
    </xf>
    <xf numFmtId="9" fontId="16" fillId="0" borderId="76" xfId="0" applyNumberFormat="1" applyFont="1" applyBorder="1" applyAlignment="1" applyProtection="1">
      <alignment horizontal="center"/>
      <protection locked="0"/>
    </xf>
    <xf numFmtId="9" fontId="16" fillId="37" borderId="80" xfId="0" applyNumberFormat="1" applyFont="1" applyFill="1" applyBorder="1" applyAlignment="1" applyProtection="1">
      <alignment/>
      <protection locked="0"/>
    </xf>
    <xf numFmtId="1" fontId="4" fillId="0" borderId="77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/>
    </xf>
    <xf numFmtId="0" fontId="4" fillId="0" borderId="71" xfId="0" applyFont="1" applyBorder="1" applyAlignment="1" applyProtection="1">
      <alignment/>
      <protection/>
    </xf>
    <xf numFmtId="0" fontId="22" fillId="54" borderId="71" xfId="0" applyFont="1" applyFill="1" applyBorder="1" applyAlignment="1" applyProtection="1">
      <alignment/>
      <protection/>
    </xf>
    <xf numFmtId="9" fontId="16" fillId="0" borderId="76" xfId="55" applyFont="1" applyBorder="1" applyAlignment="1" applyProtection="1">
      <alignment horizontal="center"/>
      <protection locked="0"/>
    </xf>
    <xf numFmtId="2" fontId="4" fillId="0" borderId="77" xfId="0" applyNumberFormat="1" applyFont="1" applyBorder="1" applyAlignment="1" applyProtection="1">
      <alignment/>
      <protection/>
    </xf>
    <xf numFmtId="0" fontId="40" fillId="46" borderId="90" xfId="0" applyFont="1" applyFill="1" applyBorder="1" applyAlignment="1" applyProtection="1">
      <alignment/>
      <protection/>
    </xf>
    <xf numFmtId="0" fontId="40" fillId="46" borderId="71" xfId="0" applyFont="1" applyFill="1" applyBorder="1" applyAlignment="1" applyProtection="1">
      <alignment/>
      <protection/>
    </xf>
    <xf numFmtId="0" fontId="53" fillId="46" borderId="91" xfId="0" applyFont="1" applyFill="1" applyBorder="1" applyAlignment="1" applyProtection="1">
      <alignment/>
      <protection/>
    </xf>
    <xf numFmtId="0" fontId="151" fillId="0" borderId="71" xfId="0" applyFont="1" applyBorder="1" applyAlignment="1" applyProtection="1">
      <alignment/>
      <protection/>
    </xf>
    <xf numFmtId="0" fontId="0" fillId="0" borderId="71" xfId="0" applyBorder="1" applyAlignment="1" applyProtection="1">
      <alignment/>
      <protection locked="0"/>
    </xf>
    <xf numFmtId="0" fontId="68" fillId="37" borderId="80" xfId="0" applyFont="1" applyFill="1" applyBorder="1" applyAlignment="1" applyProtection="1">
      <alignment/>
      <protection locked="0"/>
    </xf>
    <xf numFmtId="0" fontId="152" fillId="51" borderId="92" xfId="0" applyFont="1" applyFill="1" applyBorder="1" applyAlignment="1" applyProtection="1">
      <alignment horizontal="center" vertical="center"/>
      <protection/>
    </xf>
    <xf numFmtId="10" fontId="22" fillId="0" borderId="0" xfId="55" applyNumberFormat="1" applyFont="1" applyFill="1" applyAlignment="1" applyProtection="1">
      <alignment/>
      <protection/>
    </xf>
    <xf numFmtId="0" fontId="153" fillId="39" borderId="93" xfId="46" applyFont="1" applyFill="1" applyBorder="1" applyAlignment="1" applyProtection="1">
      <alignment/>
      <protection/>
    </xf>
    <xf numFmtId="0" fontId="153" fillId="39" borderId="94" xfId="46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154" fillId="0" borderId="23" xfId="0" applyNumberFormat="1" applyFont="1" applyBorder="1" applyAlignment="1" applyProtection="1">
      <alignment/>
      <protection hidden="1"/>
    </xf>
    <xf numFmtId="172" fontId="4" fillId="0" borderId="0" xfId="0" applyNumberFormat="1" applyFont="1" applyBorder="1" applyAlignment="1" applyProtection="1">
      <alignment/>
      <protection locked="0"/>
    </xf>
    <xf numFmtId="2" fontId="150" fillId="56" borderId="95" xfId="0" applyNumberFormat="1" applyFont="1" applyFill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22" fillId="5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 locked="0"/>
    </xf>
    <xf numFmtId="9" fontId="16" fillId="37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2" fillId="54" borderId="0" xfId="0" applyFont="1" applyFill="1" applyBorder="1" applyAlignment="1" applyProtection="1">
      <alignment/>
      <protection/>
    </xf>
    <xf numFmtId="9" fontId="16" fillId="0" borderId="0" xfId="55" applyFont="1" applyBorder="1" applyAlignment="1" applyProtection="1">
      <alignment horizontal="center"/>
      <protection locked="0"/>
    </xf>
    <xf numFmtId="2" fontId="22" fillId="0" borderId="96" xfId="0" applyNumberFormat="1" applyFont="1" applyBorder="1" applyAlignment="1" applyProtection="1">
      <alignment horizontal="left"/>
      <protection/>
    </xf>
    <xf numFmtId="2" fontId="22" fillId="0" borderId="38" xfId="0" applyNumberFormat="1" applyFont="1" applyBorder="1" applyAlignment="1" applyProtection="1">
      <alignment horizontal="left"/>
      <protection/>
    </xf>
    <xf numFmtId="2" fontId="22" fillId="0" borderId="96" xfId="0" applyNumberFormat="1" applyFont="1" applyFill="1" applyBorder="1" applyAlignment="1" applyProtection="1">
      <alignment horizontal="left"/>
      <protection/>
    </xf>
    <xf numFmtId="2" fontId="22" fillId="51" borderId="97" xfId="0" applyNumberFormat="1" applyFont="1" applyFill="1" applyBorder="1" applyAlignment="1" applyProtection="1">
      <alignment horizontal="left"/>
      <protection/>
    </xf>
    <xf numFmtId="2" fontId="16" fillId="0" borderId="98" xfId="0" applyNumberFormat="1" applyFont="1" applyBorder="1" applyAlignment="1" applyProtection="1">
      <alignment horizontal="left"/>
      <protection locked="0"/>
    </xf>
    <xf numFmtId="2" fontId="4" fillId="0" borderId="99" xfId="0" applyNumberFormat="1" applyFont="1" applyBorder="1" applyAlignment="1" applyProtection="1">
      <alignment horizontal="center"/>
      <protection/>
    </xf>
    <xf numFmtId="2" fontId="22" fillId="0" borderId="100" xfId="0" applyNumberFormat="1" applyFont="1" applyBorder="1" applyAlignment="1" applyProtection="1">
      <alignment horizontal="right"/>
      <protection/>
    </xf>
    <xf numFmtId="2" fontId="22" fillId="0" borderId="38" xfId="0" applyNumberFormat="1" applyFont="1" applyBorder="1" applyAlignment="1" applyProtection="1">
      <alignment horizontal="right"/>
      <protection/>
    </xf>
    <xf numFmtId="2" fontId="16" fillId="0" borderId="98" xfId="0" applyNumberFormat="1" applyFont="1" applyBorder="1" applyAlignment="1" applyProtection="1">
      <alignment horizontal="right"/>
      <protection locked="0"/>
    </xf>
    <xf numFmtId="2" fontId="4" fillId="0" borderId="101" xfId="0" applyNumberFormat="1" applyFont="1" applyBorder="1" applyAlignment="1" applyProtection="1">
      <alignment horizontal="left"/>
      <protection/>
    </xf>
    <xf numFmtId="0" fontId="4" fillId="0" borderId="102" xfId="0" applyFont="1" applyFill="1" applyBorder="1" applyAlignment="1" applyProtection="1">
      <alignment/>
      <protection/>
    </xf>
    <xf numFmtId="2" fontId="149" fillId="55" borderId="103" xfId="0" applyNumberFormat="1" applyFont="1" applyFill="1" applyBorder="1" applyAlignment="1" applyProtection="1">
      <alignment/>
      <protection/>
    </xf>
    <xf numFmtId="10" fontId="149" fillId="55" borderId="104" xfId="55" applyNumberFormat="1" applyFont="1" applyFill="1" applyBorder="1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57" fillId="56" borderId="105" xfId="0" applyFont="1" applyFill="1" applyBorder="1" applyAlignment="1" applyProtection="1">
      <alignment/>
      <protection locked="0"/>
    </xf>
    <xf numFmtId="0" fontId="22" fillId="0" borderId="106" xfId="0" applyFont="1" applyFill="1" applyBorder="1" applyAlignment="1" applyProtection="1">
      <alignment/>
      <protection/>
    </xf>
    <xf numFmtId="2" fontId="4" fillId="0" borderId="106" xfId="0" applyNumberFormat="1" applyFont="1" applyFill="1" applyBorder="1" applyAlignment="1" applyProtection="1">
      <alignment/>
      <protection/>
    </xf>
    <xf numFmtId="2" fontId="22" fillId="0" borderId="107" xfId="0" applyNumberFormat="1" applyFont="1" applyBorder="1" applyAlignment="1" applyProtection="1">
      <alignment horizontal="right"/>
      <protection/>
    </xf>
    <xf numFmtId="2" fontId="4" fillId="0" borderId="108" xfId="0" applyNumberFormat="1" applyFont="1" applyBorder="1" applyAlignment="1" applyProtection="1">
      <alignment horizontal="center"/>
      <protection/>
    </xf>
    <xf numFmtId="2" fontId="4" fillId="0" borderId="106" xfId="0" applyNumberFormat="1" applyFont="1" applyBorder="1" applyAlignment="1" applyProtection="1">
      <alignment horizontal="left"/>
      <protection/>
    </xf>
    <xf numFmtId="2" fontId="66" fillId="0" borderId="109" xfId="0" applyNumberFormat="1" applyFont="1" applyBorder="1" applyAlignment="1" applyProtection="1">
      <alignment horizontal="center"/>
      <protection/>
    </xf>
    <xf numFmtId="0" fontId="0" fillId="0" borderId="102" xfId="0" applyBorder="1" applyAlignment="1" applyProtection="1">
      <alignment/>
      <protection locked="0"/>
    </xf>
    <xf numFmtId="0" fontId="64" fillId="54" borderId="102" xfId="0" applyFont="1" applyFill="1" applyBorder="1" applyAlignment="1" applyProtection="1">
      <alignment/>
      <protection/>
    </xf>
    <xf numFmtId="0" fontId="22" fillId="50" borderId="102" xfId="0" applyFont="1" applyFill="1" applyBorder="1" applyAlignment="1" applyProtection="1">
      <alignment/>
      <protection/>
    </xf>
    <xf numFmtId="0" fontId="22" fillId="0" borderId="102" xfId="0" applyFont="1" applyFill="1" applyBorder="1" applyAlignment="1" applyProtection="1">
      <alignment/>
      <protection/>
    </xf>
    <xf numFmtId="2" fontId="22" fillId="19" borderId="10" xfId="0" applyNumberFormat="1" applyFont="1" applyFill="1" applyBorder="1" applyAlignment="1" applyProtection="1">
      <alignment horizontal="left"/>
      <protection/>
    </xf>
    <xf numFmtId="173" fontId="16" fillId="0" borderId="98" xfId="51" applyNumberFormat="1" applyFont="1" applyBorder="1" applyAlignment="1" applyProtection="1">
      <alignment horizontal="right"/>
      <protection locked="0"/>
    </xf>
    <xf numFmtId="2" fontId="4" fillId="0" borderId="99" xfId="0" applyNumberFormat="1" applyFont="1" applyBorder="1" applyAlignment="1" applyProtection="1">
      <alignment horizontal="right"/>
      <protection/>
    </xf>
    <xf numFmtId="0" fontId="4" fillId="0" borderId="102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2" fontId="4" fillId="0" borderId="67" xfId="0" applyNumberFormat="1" applyFont="1" applyBorder="1" applyAlignment="1" applyProtection="1">
      <alignment/>
      <protection/>
    </xf>
    <xf numFmtId="0" fontId="22" fillId="51" borderId="10" xfId="0" applyFont="1" applyFill="1" applyBorder="1" applyAlignment="1" applyProtection="1">
      <alignment horizontal="left"/>
      <protection/>
    </xf>
    <xf numFmtId="0" fontId="148" fillId="0" borderId="10" xfId="0" applyFont="1" applyBorder="1" applyAlignment="1">
      <alignment/>
    </xf>
    <xf numFmtId="0" fontId="155" fillId="0" borderId="10" xfId="0" applyFont="1" applyBorder="1" applyAlignment="1">
      <alignment/>
    </xf>
    <xf numFmtId="9" fontId="22" fillId="0" borderId="10" xfId="0" applyNumberFormat="1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9" fontId="22" fillId="0" borderId="10" xfId="55" applyNumberFormat="1" applyFont="1" applyFill="1" applyBorder="1" applyAlignment="1" applyProtection="1">
      <alignment/>
      <protection/>
    </xf>
    <xf numFmtId="10" fontId="143" fillId="0" borderId="10" xfId="55" applyNumberFormat="1" applyFont="1" applyFill="1" applyBorder="1" applyAlignment="1" applyProtection="1">
      <alignment/>
      <protection locked="0"/>
    </xf>
    <xf numFmtId="172" fontId="22" fillId="0" borderId="10" xfId="55" applyNumberFormat="1" applyFont="1" applyFill="1" applyBorder="1" applyAlignment="1" applyProtection="1">
      <alignment/>
      <protection/>
    </xf>
    <xf numFmtId="0" fontId="22" fillId="0" borderId="110" xfId="0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 horizontal="left"/>
      <protection locked="0"/>
    </xf>
    <xf numFmtId="2" fontId="22" fillId="0" borderId="10" xfId="0" applyNumberFormat="1" applyFont="1" applyBorder="1" applyAlignment="1" applyProtection="1">
      <alignment horizontal="right"/>
      <protection/>
    </xf>
    <xf numFmtId="9" fontId="22" fillId="0" borderId="14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62" fillId="51" borderId="111" xfId="0" applyNumberFormat="1" applyFont="1" applyFill="1" applyBorder="1" applyAlignment="1" applyProtection="1">
      <alignment horizontal="left"/>
      <protection/>
    </xf>
    <xf numFmtId="0" fontId="149" fillId="0" borderId="71" xfId="0" applyFont="1" applyFill="1" applyBorder="1" applyAlignment="1" applyProtection="1">
      <alignment/>
      <protection/>
    </xf>
    <xf numFmtId="0" fontId="22" fillId="50" borderId="55" xfId="0" applyFont="1" applyFill="1" applyBorder="1" applyAlignment="1" applyProtection="1">
      <alignment/>
      <protection/>
    </xf>
    <xf numFmtId="0" fontId="22" fillId="50" borderId="57" xfId="0" applyFont="1" applyFill="1" applyBorder="1" applyAlignment="1" applyProtection="1">
      <alignment/>
      <protection/>
    </xf>
    <xf numFmtId="0" fontId="148" fillId="50" borderId="0" xfId="0" applyFont="1" applyFill="1" applyBorder="1" applyAlignment="1">
      <alignment/>
    </xf>
    <xf numFmtId="0" fontId="4" fillId="50" borderId="0" xfId="0" applyFont="1" applyFill="1" applyBorder="1" applyAlignment="1" applyProtection="1">
      <alignment/>
      <protection/>
    </xf>
    <xf numFmtId="9" fontId="22" fillId="50" borderId="57" xfId="0" applyNumberFormat="1" applyFont="1" applyFill="1" applyBorder="1" applyAlignment="1" applyProtection="1">
      <alignment/>
      <protection/>
    </xf>
    <xf numFmtId="0" fontId="22" fillId="50" borderId="51" xfId="0" applyFont="1" applyFill="1" applyBorder="1" applyAlignment="1" applyProtection="1">
      <alignment/>
      <protection/>
    </xf>
    <xf numFmtId="0" fontId="4" fillId="50" borderId="16" xfId="0" applyFont="1" applyFill="1" applyBorder="1" applyAlignment="1" applyProtection="1">
      <alignment/>
      <protection/>
    </xf>
    <xf numFmtId="172" fontId="4" fillId="50" borderId="0" xfId="0" applyNumberFormat="1" applyFont="1" applyFill="1" applyBorder="1" applyAlignment="1" applyProtection="1">
      <alignment/>
      <protection locked="0"/>
    </xf>
    <xf numFmtId="0" fontId="149" fillId="50" borderId="112" xfId="0" applyFont="1" applyFill="1" applyBorder="1" applyAlignment="1" applyProtection="1">
      <alignment/>
      <protection/>
    </xf>
    <xf numFmtId="0" fontId="149" fillId="50" borderId="113" xfId="0" applyFont="1" applyFill="1" applyBorder="1" applyAlignment="1" applyProtection="1">
      <alignment/>
      <protection/>
    </xf>
    <xf numFmtId="2" fontId="150" fillId="50" borderId="95" xfId="0" applyNumberFormat="1" applyFont="1" applyFill="1" applyBorder="1" applyAlignment="1" applyProtection="1">
      <alignment/>
      <protection/>
    </xf>
    <xf numFmtId="2" fontId="22" fillId="50" borderId="0" xfId="0" applyNumberFormat="1" applyFont="1" applyFill="1" applyBorder="1" applyAlignment="1" applyProtection="1">
      <alignment/>
      <protection/>
    </xf>
    <xf numFmtId="2" fontId="4" fillId="50" borderId="0" xfId="0" applyNumberFormat="1" applyFont="1" applyFill="1" applyBorder="1" applyAlignment="1" applyProtection="1">
      <alignment/>
      <protection/>
    </xf>
    <xf numFmtId="172" fontId="4" fillId="50" borderId="114" xfId="0" applyNumberFormat="1" applyFont="1" applyFill="1" applyBorder="1" applyAlignment="1" applyProtection="1">
      <alignment/>
      <protection/>
    </xf>
    <xf numFmtId="0" fontId="64" fillId="50" borderId="0" xfId="0" applyFont="1" applyFill="1" applyBorder="1" applyAlignment="1" applyProtection="1">
      <alignment/>
      <protection/>
    </xf>
    <xf numFmtId="0" fontId="16" fillId="50" borderId="0" xfId="0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/>
      <protection locked="0"/>
    </xf>
    <xf numFmtId="1" fontId="4" fillId="50" borderId="0" xfId="0" applyNumberFormat="1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 locked="0"/>
    </xf>
    <xf numFmtId="9" fontId="16" fillId="50" borderId="0" xfId="55" applyFont="1" applyFill="1" applyBorder="1" applyAlignment="1" applyProtection="1">
      <alignment horizontal="center"/>
      <protection locked="0"/>
    </xf>
    <xf numFmtId="17" fontId="67" fillId="57" borderId="0" xfId="0" applyNumberFormat="1" applyFont="1" applyFill="1" applyBorder="1" applyAlignment="1" applyProtection="1" quotePrefix="1">
      <alignment horizontal="center"/>
      <protection/>
    </xf>
    <xf numFmtId="0" fontId="10" fillId="58" borderId="48" xfId="0" applyFont="1" applyFill="1" applyBorder="1" applyAlignment="1">
      <alignment vertical="center" wrapText="1"/>
    </xf>
    <xf numFmtId="170" fontId="0" fillId="0" borderId="10" xfId="0" applyNumberFormat="1" applyFont="1" applyBorder="1" applyAlignment="1" applyProtection="1">
      <alignment/>
      <protection/>
    </xf>
    <xf numFmtId="9" fontId="0" fillId="0" borderId="10" xfId="0" applyNumberFormat="1" applyFont="1" applyBorder="1" applyAlignment="1" applyProtection="1">
      <alignment/>
      <protection/>
    </xf>
    <xf numFmtId="0" fontId="156" fillId="0" borderId="0" xfId="0" applyFont="1" applyFill="1" applyAlignment="1" applyProtection="1">
      <alignment/>
      <protection/>
    </xf>
    <xf numFmtId="0" fontId="144" fillId="0" borderId="71" xfId="0" applyFon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0" fontId="144" fillId="0" borderId="71" xfId="0" applyFont="1" applyFill="1" applyBorder="1" applyAlignment="1" applyProtection="1">
      <alignment/>
      <protection/>
    </xf>
    <xf numFmtId="0" fontId="157" fillId="0" borderId="71" xfId="0" applyFont="1" applyFill="1" applyBorder="1" applyAlignment="1" applyProtection="1">
      <alignment/>
      <protection/>
    </xf>
    <xf numFmtId="9" fontId="16" fillId="37" borderId="0" xfId="55" applyFont="1" applyFill="1" applyBorder="1" applyAlignment="1" applyProtection="1">
      <alignment/>
      <protection locked="0"/>
    </xf>
    <xf numFmtId="9" fontId="16" fillId="37" borderId="71" xfId="55" applyFont="1" applyFill="1" applyBorder="1" applyAlignment="1" applyProtection="1">
      <alignment/>
      <protection locked="0"/>
    </xf>
    <xf numFmtId="0" fontId="158" fillId="59" borderId="10" xfId="0" applyFont="1" applyFill="1" applyBorder="1" applyAlignment="1" applyProtection="1">
      <alignment/>
      <protection/>
    </xf>
    <xf numFmtId="0" fontId="148" fillId="59" borderId="10" xfId="0" applyFont="1" applyFill="1" applyBorder="1" applyAlignment="1">
      <alignment/>
    </xf>
    <xf numFmtId="0" fontId="71" fillId="37" borderId="0" xfId="0" applyFont="1" applyFill="1" applyBorder="1" applyAlignment="1" applyProtection="1">
      <alignment/>
      <protection locked="0"/>
    </xf>
    <xf numFmtId="0" fontId="22" fillId="0" borderId="102" xfId="0" applyFont="1" applyBorder="1" applyAlignment="1" applyProtection="1">
      <alignment/>
      <protection/>
    </xf>
    <xf numFmtId="0" fontId="159" fillId="0" borderId="115" xfId="0" applyFont="1" applyBorder="1" applyAlignment="1">
      <alignment horizontal="right" wrapText="1"/>
    </xf>
    <xf numFmtId="0" fontId="159" fillId="0" borderId="116" xfId="0" applyFont="1" applyBorder="1" applyAlignment="1">
      <alignment horizontal="right" wrapText="1"/>
    </xf>
    <xf numFmtId="0" fontId="159" fillId="0" borderId="117" xfId="0" applyFont="1" applyBorder="1" applyAlignment="1">
      <alignment horizontal="right" wrapText="1"/>
    </xf>
    <xf numFmtId="0" fontId="160" fillId="0" borderId="0" xfId="0" applyFont="1" applyAlignment="1">
      <alignment/>
    </xf>
    <xf numFmtId="0" fontId="160" fillId="60" borderId="0" xfId="0" applyFont="1" applyFill="1" applyAlignment="1">
      <alignment/>
    </xf>
    <xf numFmtId="0" fontId="156" fillId="59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51" xfId="0" applyFont="1" applyFill="1" applyBorder="1" applyAlignment="1" applyProtection="1">
      <alignment/>
      <protection/>
    </xf>
    <xf numFmtId="0" fontId="144" fillId="50" borderId="0" xfId="0" applyFont="1" applyFill="1" applyBorder="1" applyAlignment="1" applyProtection="1">
      <alignment/>
      <protection locked="0"/>
    </xf>
    <xf numFmtId="0" fontId="22" fillId="50" borderId="118" xfId="0" applyFont="1" applyFill="1" applyBorder="1" applyAlignment="1" applyProtection="1">
      <alignment/>
      <protection/>
    </xf>
    <xf numFmtId="0" fontId="22" fillId="50" borderId="23" xfId="0" applyFont="1" applyFill="1" applyBorder="1" applyAlignment="1" applyProtection="1">
      <alignment/>
      <protection/>
    </xf>
    <xf numFmtId="0" fontId="22" fillId="50" borderId="97" xfId="0" applyFont="1" applyFill="1" applyBorder="1" applyAlignment="1" applyProtection="1">
      <alignment/>
      <protection/>
    </xf>
    <xf numFmtId="49" fontId="22" fillId="50" borderId="97" xfId="0" applyNumberFormat="1" applyFont="1" applyFill="1" applyBorder="1" applyAlignment="1" applyProtection="1">
      <alignment horizontal="left"/>
      <protection/>
    </xf>
    <xf numFmtId="0" fontId="62" fillId="50" borderId="23" xfId="0" applyFont="1" applyFill="1" applyBorder="1" applyAlignment="1" applyProtection="1">
      <alignment/>
      <protection/>
    </xf>
    <xf numFmtId="0" fontId="22" fillId="50" borderId="10" xfId="0" applyFont="1" applyFill="1" applyBorder="1" applyAlignment="1" applyProtection="1">
      <alignment/>
      <protection/>
    </xf>
    <xf numFmtId="0" fontId="155" fillId="50" borderId="10" xfId="0" applyFont="1" applyFill="1" applyBorder="1" applyAlignment="1">
      <alignment/>
    </xf>
    <xf numFmtId="9" fontId="22" fillId="50" borderId="10" xfId="0" applyNumberFormat="1" applyFont="1" applyFill="1" applyBorder="1" applyAlignment="1" applyProtection="1">
      <alignment/>
      <protection/>
    </xf>
    <xf numFmtId="0" fontId="22" fillId="50" borderId="18" xfId="0" applyFont="1" applyFill="1" applyBorder="1" applyAlignment="1" applyProtection="1">
      <alignment/>
      <protection/>
    </xf>
    <xf numFmtId="9" fontId="16" fillId="50" borderId="0" xfId="55" applyFont="1" applyFill="1" applyBorder="1" applyAlignment="1" applyProtection="1">
      <alignment/>
      <protection locked="0"/>
    </xf>
    <xf numFmtId="0" fontId="22" fillId="50" borderId="56" xfId="0" applyFont="1" applyFill="1" applyBorder="1" applyAlignment="1" applyProtection="1">
      <alignment horizontal="left"/>
      <protection/>
    </xf>
    <xf numFmtId="0" fontId="148" fillId="50" borderId="56" xfId="0" applyFont="1" applyFill="1" applyBorder="1" applyAlignment="1">
      <alignment/>
    </xf>
    <xf numFmtId="0" fontId="4" fillId="50" borderId="22" xfId="0" applyFont="1" applyFill="1" applyBorder="1" applyAlignment="1" applyProtection="1">
      <alignment/>
      <protection/>
    </xf>
    <xf numFmtId="0" fontId="157" fillId="50" borderId="0" xfId="0" applyFont="1" applyFill="1" applyBorder="1" applyAlignment="1" applyProtection="1">
      <alignment/>
      <protection/>
    </xf>
    <xf numFmtId="0" fontId="155" fillId="50" borderId="0" xfId="0" applyFont="1" applyFill="1" applyBorder="1" applyAlignment="1">
      <alignment/>
    </xf>
    <xf numFmtId="9" fontId="22" fillId="50" borderId="97" xfId="0" applyNumberFormat="1" applyFont="1" applyFill="1" applyBorder="1" applyAlignment="1" applyProtection="1">
      <alignment/>
      <protection/>
    </xf>
    <xf numFmtId="0" fontId="149" fillId="50" borderId="0" xfId="0" applyFont="1" applyFill="1" applyBorder="1" applyAlignment="1" applyProtection="1">
      <alignment/>
      <protection/>
    </xf>
    <xf numFmtId="0" fontId="22" fillId="0" borderId="71" xfId="0" applyFont="1" applyBorder="1" applyAlignment="1" applyProtection="1">
      <alignment/>
      <protection/>
    </xf>
    <xf numFmtId="0" fontId="149" fillId="61" borderId="81" xfId="0" applyFont="1" applyFill="1" applyBorder="1" applyAlignment="1" applyProtection="1">
      <alignment/>
      <protection/>
    </xf>
    <xf numFmtId="2" fontId="149" fillId="61" borderId="103" xfId="0" applyNumberFormat="1" applyFont="1" applyFill="1" applyBorder="1" applyAlignment="1" applyProtection="1">
      <alignment/>
      <protection/>
    </xf>
    <xf numFmtId="0" fontId="149" fillId="61" borderId="82" xfId="0" applyFont="1" applyFill="1" applyBorder="1" applyAlignment="1" applyProtection="1">
      <alignment/>
      <protection/>
    </xf>
    <xf numFmtId="10" fontId="149" fillId="61" borderId="104" xfId="55" applyNumberFormat="1" applyFont="1" applyFill="1" applyBorder="1" applyAlignment="1" applyProtection="1">
      <alignment/>
      <protection/>
    </xf>
    <xf numFmtId="10" fontId="149" fillId="0" borderId="102" xfId="55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51" borderId="0" xfId="0" applyFont="1" applyFill="1" applyAlignment="1" applyProtection="1">
      <alignment/>
      <protection/>
    </xf>
    <xf numFmtId="0" fontId="22" fillId="0" borderId="119" xfId="0" applyFont="1" applyFill="1" applyBorder="1" applyAlignment="1" applyProtection="1">
      <alignment/>
      <protection/>
    </xf>
    <xf numFmtId="0" fontId="152" fillId="51" borderId="119" xfId="0" applyFont="1" applyFill="1" applyBorder="1" applyAlignment="1" applyProtection="1">
      <alignment horizontal="center" vertical="center"/>
      <protection/>
    </xf>
    <xf numFmtId="170" fontId="161" fillId="0" borderId="119" xfId="0" applyNumberFormat="1" applyFont="1" applyFill="1" applyBorder="1" applyAlignment="1" applyProtection="1">
      <alignment vertical="center"/>
      <protection/>
    </xf>
    <xf numFmtId="0" fontId="22" fillId="50" borderId="119" xfId="0" applyFont="1" applyFill="1" applyBorder="1" applyAlignment="1" applyProtection="1">
      <alignment/>
      <protection/>
    </xf>
    <xf numFmtId="2" fontId="0" fillId="0" borderId="119" xfId="0" applyNumberFormat="1" applyBorder="1" applyAlignment="1" applyProtection="1">
      <alignment/>
      <protection/>
    </xf>
    <xf numFmtId="0" fontId="156" fillId="0" borderId="119" xfId="0" applyFont="1" applyFill="1" applyBorder="1" applyAlignment="1" applyProtection="1">
      <alignment/>
      <protection/>
    </xf>
    <xf numFmtId="0" fontId="144" fillId="0" borderId="119" xfId="0" applyFont="1" applyFill="1" applyBorder="1" applyAlignment="1" applyProtection="1">
      <alignment/>
      <protection locked="0"/>
    </xf>
    <xf numFmtId="0" fontId="22" fillId="0" borderId="119" xfId="0" applyFont="1" applyBorder="1" applyAlignment="1" applyProtection="1">
      <alignment/>
      <protection/>
    </xf>
    <xf numFmtId="2" fontId="22" fillId="0" borderId="119" xfId="0" applyNumberFormat="1" applyFont="1" applyBorder="1" applyAlignment="1" applyProtection="1">
      <alignment horizontal="left"/>
      <protection/>
    </xf>
    <xf numFmtId="0" fontId="22" fillId="0" borderId="119" xfId="0" applyFont="1" applyFill="1" applyBorder="1" applyAlignment="1" applyProtection="1">
      <alignment horizontal="right"/>
      <protection/>
    </xf>
    <xf numFmtId="2" fontId="22" fillId="0" borderId="119" xfId="0" applyNumberFormat="1" applyFont="1" applyFill="1" applyBorder="1" applyAlignment="1" applyProtection="1">
      <alignment horizontal="left"/>
      <protection/>
    </xf>
    <xf numFmtId="0" fontId="22" fillId="51" borderId="119" xfId="0" applyFont="1" applyFill="1" applyBorder="1" applyAlignment="1" applyProtection="1">
      <alignment horizontal="right"/>
      <protection/>
    </xf>
    <xf numFmtId="49" fontId="22" fillId="51" borderId="119" xfId="0" applyNumberFormat="1" applyFont="1" applyFill="1" applyBorder="1" applyAlignment="1" applyProtection="1">
      <alignment horizontal="left"/>
      <protection/>
    </xf>
    <xf numFmtId="2" fontId="22" fillId="51" borderId="119" xfId="0" applyNumberFormat="1" applyFont="1" applyFill="1" applyBorder="1" applyAlignment="1" applyProtection="1">
      <alignment horizontal="left"/>
      <protection/>
    </xf>
    <xf numFmtId="49" fontId="22" fillId="50" borderId="119" xfId="0" applyNumberFormat="1" applyFont="1" applyFill="1" applyBorder="1" applyAlignment="1" applyProtection="1">
      <alignment horizontal="left"/>
      <protection/>
    </xf>
    <xf numFmtId="0" fontId="62" fillId="0" borderId="119" xfId="0" applyFont="1" applyBorder="1" applyAlignment="1" applyProtection="1">
      <alignment/>
      <protection/>
    </xf>
    <xf numFmtId="0" fontId="62" fillId="50" borderId="119" xfId="0" applyFont="1" applyFill="1" applyBorder="1" applyAlignment="1" applyProtection="1">
      <alignment/>
      <protection/>
    </xf>
    <xf numFmtId="0" fontId="148" fillId="0" borderId="119" xfId="0" applyFont="1" applyBorder="1" applyAlignment="1">
      <alignment/>
    </xf>
    <xf numFmtId="2" fontId="62" fillId="51" borderId="119" xfId="0" applyNumberFormat="1" applyFont="1" applyFill="1" applyBorder="1" applyAlignment="1" applyProtection="1">
      <alignment horizontal="left"/>
      <protection/>
    </xf>
    <xf numFmtId="0" fontId="148" fillId="50" borderId="119" xfId="0" applyFont="1" applyFill="1" applyBorder="1" applyAlignment="1">
      <alignment/>
    </xf>
    <xf numFmtId="2" fontId="16" fillId="0" borderId="119" xfId="0" applyNumberFormat="1" applyFont="1" applyBorder="1" applyAlignment="1" applyProtection="1">
      <alignment horizontal="left"/>
      <protection locked="0"/>
    </xf>
    <xf numFmtId="2" fontId="22" fillId="50" borderId="119" xfId="0" applyNumberFormat="1" applyFont="1" applyFill="1" applyBorder="1" applyAlignment="1" applyProtection="1">
      <alignment/>
      <protection/>
    </xf>
    <xf numFmtId="0" fontId="155" fillId="0" borderId="119" xfId="0" applyFont="1" applyBorder="1" applyAlignment="1">
      <alignment/>
    </xf>
    <xf numFmtId="2" fontId="4" fillId="0" borderId="119" xfId="0" applyNumberFormat="1" applyFont="1" applyBorder="1" applyAlignment="1" applyProtection="1">
      <alignment horizontal="center"/>
      <protection/>
    </xf>
    <xf numFmtId="0" fontId="155" fillId="50" borderId="119" xfId="0" applyFont="1" applyFill="1" applyBorder="1" applyAlignment="1">
      <alignment/>
    </xf>
    <xf numFmtId="0" fontId="4" fillId="50" borderId="119" xfId="0" applyFont="1" applyFill="1" applyBorder="1" applyAlignment="1" applyProtection="1">
      <alignment/>
      <protection/>
    </xf>
    <xf numFmtId="10" fontId="22" fillId="0" borderId="119" xfId="55" applyNumberFormat="1" applyFont="1" applyBorder="1" applyAlignment="1" applyProtection="1">
      <alignment/>
      <protection/>
    </xf>
    <xf numFmtId="9" fontId="22" fillId="0" borderId="119" xfId="0" applyNumberFormat="1" applyFont="1" applyBorder="1" applyAlignment="1" applyProtection="1">
      <alignment/>
      <protection/>
    </xf>
    <xf numFmtId="2" fontId="22" fillId="0" borderId="119" xfId="0" applyNumberFormat="1" applyFont="1" applyBorder="1" applyAlignment="1" applyProtection="1">
      <alignment horizontal="right"/>
      <protection/>
    </xf>
    <xf numFmtId="9" fontId="22" fillId="50" borderId="119" xfId="0" applyNumberFormat="1" applyFont="1" applyFill="1" applyBorder="1" applyAlignment="1" applyProtection="1">
      <alignment/>
      <protection/>
    </xf>
    <xf numFmtId="9" fontId="22" fillId="0" borderId="119" xfId="55" applyNumberFormat="1" applyFont="1" applyFill="1" applyBorder="1" applyAlignment="1" applyProtection="1">
      <alignment/>
      <protection/>
    </xf>
    <xf numFmtId="10" fontId="143" fillId="0" borderId="119" xfId="55" applyNumberFormat="1" applyFont="1" applyFill="1" applyBorder="1" applyAlignment="1" applyProtection="1">
      <alignment/>
      <protection locked="0"/>
    </xf>
    <xf numFmtId="172" fontId="22" fillId="0" borderId="119" xfId="55" applyNumberFormat="1" applyFont="1" applyFill="1" applyBorder="1" applyAlignment="1" applyProtection="1">
      <alignment/>
      <protection/>
    </xf>
    <xf numFmtId="2" fontId="16" fillId="0" borderId="119" xfId="0" applyNumberFormat="1" applyFont="1" applyBorder="1" applyAlignment="1" applyProtection="1">
      <alignment horizontal="right"/>
      <protection locked="0"/>
    </xf>
    <xf numFmtId="0" fontId="4" fillId="0" borderId="119" xfId="0" applyFont="1" applyBorder="1" applyAlignment="1" applyProtection="1">
      <alignment/>
      <protection/>
    </xf>
    <xf numFmtId="0" fontId="4" fillId="0" borderId="119" xfId="0" applyFont="1" applyFill="1" applyBorder="1" applyAlignment="1" applyProtection="1">
      <alignment/>
      <protection/>
    </xf>
    <xf numFmtId="2" fontId="4" fillId="0" borderId="119" xfId="0" applyNumberFormat="1" applyFont="1" applyBorder="1" applyAlignment="1" applyProtection="1">
      <alignment horizontal="left"/>
      <protection/>
    </xf>
    <xf numFmtId="0" fontId="22" fillId="0" borderId="119" xfId="0" applyFont="1" applyBorder="1" applyAlignment="1" applyProtection="1">
      <alignment horizontal="right"/>
      <protection/>
    </xf>
    <xf numFmtId="172" fontId="4" fillId="0" borderId="119" xfId="0" applyNumberFormat="1" applyFont="1" applyBorder="1" applyAlignment="1" applyProtection="1">
      <alignment/>
      <protection/>
    </xf>
    <xf numFmtId="172" fontId="4" fillId="50" borderId="119" xfId="0" applyNumberFormat="1" applyFont="1" applyFill="1" applyBorder="1" applyAlignment="1" applyProtection="1">
      <alignment/>
      <protection/>
    </xf>
    <xf numFmtId="172" fontId="4" fillId="0" borderId="119" xfId="0" applyNumberFormat="1" applyFont="1" applyBorder="1" applyAlignment="1" applyProtection="1">
      <alignment/>
      <protection locked="0"/>
    </xf>
    <xf numFmtId="2" fontId="27" fillId="0" borderId="119" xfId="0" applyNumberFormat="1" applyFont="1" applyBorder="1" applyAlignment="1" applyProtection="1">
      <alignment horizontal="center"/>
      <protection locked="0"/>
    </xf>
    <xf numFmtId="172" fontId="4" fillId="50" borderId="119" xfId="0" applyNumberFormat="1" applyFont="1" applyFill="1" applyBorder="1" applyAlignment="1" applyProtection="1">
      <alignment/>
      <protection locked="0"/>
    </xf>
    <xf numFmtId="0" fontId="22" fillId="0" borderId="119" xfId="0" applyFont="1" applyFill="1" applyBorder="1" applyAlignment="1" applyProtection="1">
      <alignment/>
      <protection locked="0"/>
    </xf>
    <xf numFmtId="0" fontId="149" fillId="55" borderId="119" xfId="0" applyFont="1" applyFill="1" applyBorder="1" applyAlignment="1" applyProtection="1">
      <alignment/>
      <protection/>
    </xf>
    <xf numFmtId="2" fontId="149" fillId="55" borderId="119" xfId="0" applyNumberFormat="1" applyFont="1" applyFill="1" applyBorder="1" applyAlignment="1" applyProtection="1">
      <alignment/>
      <protection/>
    </xf>
    <xf numFmtId="0" fontId="149" fillId="50" borderId="119" xfId="0" applyFont="1" applyFill="1" applyBorder="1" applyAlignment="1" applyProtection="1">
      <alignment/>
      <protection/>
    </xf>
    <xf numFmtId="10" fontId="22" fillId="0" borderId="119" xfId="55" applyNumberFormat="1" applyFont="1" applyFill="1" applyBorder="1" applyAlignment="1" applyProtection="1">
      <alignment/>
      <protection/>
    </xf>
    <xf numFmtId="10" fontId="149" fillId="55" borderId="119" xfId="55" applyNumberFormat="1" applyFont="1" applyFill="1" applyBorder="1" applyAlignment="1" applyProtection="1">
      <alignment/>
      <protection/>
    </xf>
    <xf numFmtId="0" fontId="149" fillId="61" borderId="119" xfId="0" applyFont="1" applyFill="1" applyBorder="1" applyAlignment="1" applyProtection="1">
      <alignment/>
      <protection/>
    </xf>
    <xf numFmtId="2" fontId="149" fillId="61" borderId="119" xfId="0" applyNumberFormat="1" applyFont="1" applyFill="1" applyBorder="1" applyAlignment="1" applyProtection="1">
      <alignment/>
      <protection/>
    </xf>
    <xf numFmtId="10" fontId="149" fillId="61" borderId="119" xfId="55" applyNumberFormat="1" applyFont="1" applyFill="1" applyBorder="1" applyAlignment="1" applyProtection="1">
      <alignment/>
      <protection/>
    </xf>
    <xf numFmtId="10" fontId="149" fillId="0" borderId="119" xfId="55" applyNumberFormat="1" applyFont="1" applyFill="1" applyBorder="1" applyAlignment="1" applyProtection="1">
      <alignment/>
      <protection/>
    </xf>
    <xf numFmtId="0" fontId="149" fillId="0" borderId="119" xfId="0" applyFont="1" applyFill="1" applyBorder="1" applyAlignment="1" applyProtection="1">
      <alignment/>
      <protection/>
    </xf>
    <xf numFmtId="172" fontId="149" fillId="61" borderId="119" xfId="55" applyNumberFormat="1" applyFont="1" applyFill="1" applyBorder="1" applyAlignment="1" applyProtection="1">
      <alignment/>
      <protection/>
    </xf>
    <xf numFmtId="0" fontId="0" fillId="0" borderId="119" xfId="0" applyBorder="1" applyAlignment="1" applyProtection="1">
      <alignment/>
      <protection/>
    </xf>
    <xf numFmtId="0" fontId="0" fillId="50" borderId="119" xfId="0" applyFill="1" applyBorder="1" applyAlignment="1" applyProtection="1">
      <alignment/>
      <protection/>
    </xf>
    <xf numFmtId="2" fontId="150" fillId="56" borderId="119" xfId="0" applyNumberFormat="1" applyFont="1" applyFill="1" applyBorder="1" applyAlignment="1" applyProtection="1">
      <alignment/>
      <protection/>
    </xf>
    <xf numFmtId="0" fontId="57" fillId="56" borderId="119" xfId="0" applyFont="1" applyFill="1" applyBorder="1" applyAlignment="1" applyProtection="1">
      <alignment/>
      <protection locked="0"/>
    </xf>
    <xf numFmtId="2" fontId="150" fillId="50" borderId="119" xfId="0" applyNumberFormat="1" applyFont="1" applyFill="1" applyBorder="1" applyAlignment="1" applyProtection="1">
      <alignment/>
      <protection/>
    </xf>
    <xf numFmtId="2" fontId="22" fillId="0" borderId="119" xfId="0" applyNumberFormat="1" applyFont="1" applyBorder="1" applyAlignment="1" applyProtection="1">
      <alignment/>
      <protection/>
    </xf>
    <xf numFmtId="2" fontId="4" fillId="0" borderId="119" xfId="0" applyNumberFormat="1" applyFont="1" applyBorder="1" applyAlignment="1" applyProtection="1">
      <alignment/>
      <protection/>
    </xf>
    <xf numFmtId="2" fontId="4" fillId="0" borderId="119" xfId="0" applyNumberFormat="1" applyFont="1" applyFill="1" applyBorder="1" applyAlignment="1" applyProtection="1">
      <alignment/>
      <protection/>
    </xf>
    <xf numFmtId="2" fontId="4" fillId="50" borderId="119" xfId="0" applyNumberFormat="1" applyFont="1" applyFill="1" applyBorder="1" applyAlignment="1" applyProtection="1">
      <alignment/>
      <protection/>
    </xf>
    <xf numFmtId="2" fontId="66" fillId="0" borderId="119" xfId="0" applyNumberFormat="1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 locked="0"/>
    </xf>
    <xf numFmtId="170" fontId="161" fillId="0" borderId="119" xfId="0" applyNumberFormat="1" applyFont="1" applyFill="1" applyBorder="1" applyAlignment="1" applyProtection="1">
      <alignment horizontal="center" vertical="center"/>
      <protection/>
    </xf>
    <xf numFmtId="0" fontId="152" fillId="50" borderId="119" xfId="0" applyFont="1" applyFill="1" applyBorder="1" applyAlignment="1" applyProtection="1">
      <alignment horizontal="center" vertical="center"/>
      <protection/>
    </xf>
    <xf numFmtId="0" fontId="157" fillId="0" borderId="119" xfId="0" applyFont="1" applyFill="1" applyBorder="1" applyAlignment="1" applyProtection="1">
      <alignment/>
      <protection/>
    </xf>
    <xf numFmtId="0" fontId="157" fillId="50" borderId="119" xfId="0" applyFont="1" applyFill="1" applyBorder="1" applyAlignment="1" applyProtection="1">
      <alignment/>
      <protection/>
    </xf>
    <xf numFmtId="0" fontId="0" fillId="0" borderId="119" xfId="0" applyBorder="1" applyAlignment="1" applyProtection="1">
      <alignment/>
      <protection locked="0"/>
    </xf>
    <xf numFmtId="0" fontId="0" fillId="50" borderId="119" xfId="0" applyFill="1" applyBorder="1" applyAlignment="1" applyProtection="1">
      <alignment/>
      <protection locked="0"/>
    </xf>
    <xf numFmtId="2" fontId="22" fillId="19" borderId="119" xfId="0" applyNumberFormat="1" applyFont="1" applyFill="1" applyBorder="1" applyAlignment="1" applyProtection="1">
      <alignment horizontal="left"/>
      <protection/>
    </xf>
    <xf numFmtId="0" fontId="158" fillId="59" borderId="119" xfId="0" applyFont="1" applyFill="1" applyBorder="1" applyAlignment="1" applyProtection="1">
      <alignment/>
      <protection/>
    </xf>
    <xf numFmtId="0" fontId="156" fillId="59" borderId="119" xfId="0" applyFont="1" applyFill="1" applyBorder="1" applyAlignment="1" applyProtection="1">
      <alignment/>
      <protection locked="0"/>
    </xf>
    <xf numFmtId="0" fontId="148" fillId="59" borderId="119" xfId="0" applyFont="1" applyFill="1" applyBorder="1" applyAlignment="1">
      <alignment/>
    </xf>
    <xf numFmtId="173" fontId="16" fillId="0" borderId="119" xfId="51" applyNumberFormat="1" applyFont="1" applyBorder="1" applyAlignment="1" applyProtection="1">
      <alignment horizontal="right"/>
      <protection locked="0"/>
    </xf>
    <xf numFmtId="2" fontId="4" fillId="0" borderId="119" xfId="0" applyNumberFormat="1" applyFont="1" applyBorder="1" applyAlignment="1" applyProtection="1">
      <alignment horizontal="right"/>
      <protection/>
    </xf>
    <xf numFmtId="2" fontId="27" fillId="0" borderId="119" xfId="0" applyNumberFormat="1" applyFont="1" applyBorder="1" applyAlignment="1" applyProtection="1">
      <alignment horizontal="right"/>
      <protection locked="0"/>
    </xf>
    <xf numFmtId="0" fontId="22" fillId="0" borderId="119" xfId="0" applyFont="1" applyBorder="1" applyAlignment="1" applyProtection="1">
      <alignment/>
      <protection locked="0"/>
    </xf>
    <xf numFmtId="0" fontId="57" fillId="56" borderId="119" xfId="0" applyFont="1" applyFill="1" applyBorder="1" applyAlignment="1" applyProtection="1">
      <alignment/>
      <protection/>
    </xf>
    <xf numFmtId="1" fontId="4" fillId="0" borderId="119" xfId="0" applyNumberFormat="1" applyFont="1" applyBorder="1" applyAlignment="1" applyProtection="1">
      <alignment/>
      <protection/>
    </xf>
    <xf numFmtId="1" fontId="4" fillId="50" borderId="119" xfId="0" applyNumberFormat="1" applyFont="1" applyFill="1" applyBorder="1" applyAlignment="1" applyProtection="1">
      <alignment/>
      <protection/>
    </xf>
    <xf numFmtId="0" fontId="144" fillId="0" borderId="119" xfId="0" applyFont="1" applyFill="1" applyBorder="1" applyAlignment="1" applyProtection="1">
      <alignment/>
      <protection/>
    </xf>
    <xf numFmtId="0" fontId="22" fillId="51" borderId="119" xfId="0" applyFont="1" applyFill="1" applyBorder="1" applyAlignment="1" applyProtection="1">
      <alignment horizontal="left"/>
      <protection/>
    </xf>
    <xf numFmtId="0" fontId="22" fillId="50" borderId="119" xfId="0" applyFont="1" applyFill="1" applyBorder="1" applyAlignment="1" applyProtection="1">
      <alignment horizontal="left"/>
      <protection/>
    </xf>
    <xf numFmtId="1" fontId="16" fillId="0" borderId="119" xfId="0" applyNumberFormat="1" applyFont="1" applyBorder="1" applyAlignment="1" applyProtection="1">
      <alignment horizontal="right"/>
      <protection locked="0"/>
    </xf>
    <xf numFmtId="10" fontId="16" fillId="0" borderId="119" xfId="55" applyNumberFormat="1" applyFont="1" applyBorder="1" applyAlignment="1" applyProtection="1">
      <alignment horizontal="right"/>
      <protection locked="0"/>
    </xf>
    <xf numFmtId="10" fontId="143" fillId="0" borderId="119" xfId="55" applyNumberFormat="1" applyFont="1" applyFill="1" applyBorder="1" applyAlignment="1" applyProtection="1">
      <alignment/>
      <protection/>
    </xf>
    <xf numFmtId="0" fontId="72" fillId="39" borderId="0" xfId="0" applyFont="1" applyFill="1" applyAlignment="1" applyProtection="1">
      <alignment/>
      <protection/>
    </xf>
    <xf numFmtId="0" fontId="22" fillId="0" borderId="67" xfId="0" applyFont="1" applyBorder="1" applyAlignment="1" applyProtection="1">
      <alignment horizontal="right"/>
      <protection/>
    </xf>
    <xf numFmtId="172" fontId="67" fillId="50" borderId="16" xfId="0" applyNumberFormat="1" applyFont="1" applyFill="1" applyBorder="1" applyAlignment="1" applyProtection="1">
      <alignment/>
      <protection/>
    </xf>
    <xf numFmtId="0" fontId="22" fillId="0" borderId="120" xfId="0" applyFont="1" applyBorder="1" applyAlignment="1" applyProtection="1">
      <alignment/>
      <protection/>
    </xf>
    <xf numFmtId="0" fontId="4" fillId="0" borderId="74" xfId="0" applyFont="1" applyBorder="1" applyAlignment="1" applyProtection="1">
      <alignment/>
      <protection/>
    </xf>
    <xf numFmtId="172" fontId="67" fillId="0" borderId="74" xfId="0" applyNumberFormat="1" applyFont="1" applyBorder="1" applyAlignment="1" applyProtection="1">
      <alignment/>
      <protection/>
    </xf>
    <xf numFmtId="0" fontId="22" fillId="0" borderId="69" xfId="0" applyFont="1" applyFill="1" applyBorder="1" applyAlignment="1" applyProtection="1">
      <alignment/>
      <protection/>
    </xf>
    <xf numFmtId="0" fontId="22" fillId="0" borderId="67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/>
      <protection/>
    </xf>
    <xf numFmtId="0" fontId="4" fillId="0" borderId="77" xfId="0" applyFont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9" fontId="22" fillId="0" borderId="12" xfId="55" applyNumberFormat="1" applyFont="1" applyFill="1" applyBorder="1" applyAlignment="1" applyProtection="1">
      <alignment/>
      <protection/>
    </xf>
    <xf numFmtId="0" fontId="22" fillId="0" borderId="121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/>
    </xf>
    <xf numFmtId="17" fontId="11" fillId="58" borderId="0" xfId="0" applyNumberFormat="1" applyFont="1" applyFill="1" applyBorder="1" applyAlignment="1">
      <alignment vertical="center" wrapText="1"/>
    </xf>
    <xf numFmtId="5" fontId="0" fillId="0" borderId="0" xfId="0" applyNumberFormat="1" applyBorder="1" applyAlignment="1" applyProtection="1">
      <alignment/>
      <protection/>
    </xf>
    <xf numFmtId="0" fontId="11" fillId="58" borderId="0" xfId="0" applyFont="1" applyFill="1" applyBorder="1" applyAlignment="1">
      <alignment vertical="center" wrapText="1"/>
    </xf>
    <xf numFmtId="9" fontId="0" fillId="0" borderId="0" xfId="55" applyNumberFormat="1" applyFont="1" applyBorder="1" applyAlignment="1" applyProtection="1">
      <alignment/>
      <protection/>
    </xf>
    <xf numFmtId="9" fontId="0" fillId="0" borderId="0" xfId="55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6" fillId="0" borderId="71" xfId="0" applyFont="1" applyFill="1" applyBorder="1" applyAlignment="1" applyProtection="1">
      <alignment horizontal="center"/>
      <protection locked="0"/>
    </xf>
    <xf numFmtId="0" fontId="22" fillId="0" borderId="122" xfId="0" applyFont="1" applyBorder="1" applyAlignment="1" applyProtection="1">
      <alignment/>
      <protection locked="0"/>
    </xf>
    <xf numFmtId="2" fontId="22" fillId="0" borderId="84" xfId="0" applyNumberFormat="1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22" fillId="0" borderId="71" xfId="0" applyFont="1" applyBorder="1" applyAlignment="1" applyProtection="1">
      <alignment/>
      <protection locked="0"/>
    </xf>
    <xf numFmtId="171" fontId="22" fillId="50" borderId="0" xfId="49" applyFont="1" applyFill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162" fillId="0" borderId="0" xfId="0" applyFont="1" applyBorder="1" applyAlignment="1">
      <alignment horizontal="right"/>
    </xf>
    <xf numFmtId="0" fontId="139" fillId="0" borderId="0" xfId="0" applyFont="1" applyBorder="1" applyAlignment="1">
      <alignment horizontal="right"/>
    </xf>
    <xf numFmtId="0" fontId="160" fillId="62" borderId="123" xfId="0" applyFont="1" applyFill="1" applyBorder="1" applyAlignment="1">
      <alignment horizontal="right"/>
    </xf>
    <xf numFmtId="0" fontId="163" fillId="62" borderId="124" xfId="0" applyFont="1" applyFill="1" applyBorder="1" applyAlignment="1">
      <alignment/>
    </xf>
    <xf numFmtId="0" fontId="160" fillId="62" borderId="124" xfId="0" applyFont="1" applyFill="1" applyBorder="1" applyAlignment="1">
      <alignment horizontal="right"/>
    </xf>
    <xf numFmtId="0" fontId="139" fillId="0" borderId="125" xfId="0" applyFont="1" applyBorder="1" applyAlignment="1">
      <alignment horizontal="right"/>
    </xf>
    <xf numFmtId="0" fontId="160" fillId="0" borderId="126" xfId="0" applyFont="1" applyBorder="1" applyAlignment="1">
      <alignment horizontal="right"/>
    </xf>
    <xf numFmtId="0" fontId="160" fillId="62" borderId="0" xfId="0" applyFont="1" applyFill="1" applyAlignment="1">
      <alignment/>
    </xf>
    <xf numFmtId="0" fontId="0" fillId="0" borderId="0" xfId="0" applyFont="1" applyAlignment="1">
      <alignment/>
    </xf>
    <xf numFmtId="0" fontId="138" fillId="0" borderId="0" xfId="0" applyFont="1" applyAlignment="1">
      <alignment/>
    </xf>
    <xf numFmtId="174" fontId="139" fillId="0" borderId="0" xfId="0" applyNumberFormat="1" applyFont="1" applyBorder="1" applyAlignment="1">
      <alignment horizontal="right"/>
    </xf>
    <xf numFmtId="174" fontId="162" fillId="0" borderId="0" xfId="0" applyNumberFormat="1" applyFont="1" applyBorder="1" applyAlignment="1">
      <alignment horizontal="right"/>
    </xf>
    <xf numFmtId="17" fontId="22" fillId="0" borderId="0" xfId="0" applyNumberFormat="1" applyFont="1" applyBorder="1" applyAlignment="1" applyProtection="1">
      <alignment/>
      <protection/>
    </xf>
    <xf numFmtId="195" fontId="22" fillId="0" borderId="0" xfId="0" applyNumberFormat="1" applyFont="1" applyAlignment="1" applyProtection="1">
      <alignment/>
      <protection/>
    </xf>
    <xf numFmtId="9" fontId="55" fillId="37" borderId="20" xfId="55" applyFont="1" applyFill="1" applyBorder="1" applyAlignment="1" applyProtection="1">
      <alignment/>
      <protection locked="0"/>
    </xf>
    <xf numFmtId="0" fontId="155" fillId="50" borderId="127" xfId="0" applyFont="1" applyFill="1" applyBorder="1" applyAlignment="1" applyProtection="1">
      <alignment horizontal="center" vertical="center"/>
      <protection/>
    </xf>
    <xf numFmtId="0" fontId="68" fillId="37" borderId="71" xfId="0" applyFont="1" applyFill="1" applyBorder="1" applyAlignment="1" applyProtection="1">
      <alignment/>
      <protection locked="0"/>
    </xf>
    <xf numFmtId="172" fontId="3" fillId="0" borderId="0" xfId="55" applyNumberFormat="1" applyFont="1" applyBorder="1" applyAlignment="1" applyProtection="1">
      <alignment horizontal="left"/>
      <protection locked="0"/>
    </xf>
    <xf numFmtId="195" fontId="143" fillId="0" borderId="47" xfId="0" applyNumberFormat="1" applyFont="1" applyBorder="1" applyAlignment="1" applyProtection="1">
      <alignment/>
      <protection locked="0"/>
    </xf>
    <xf numFmtId="0" fontId="0" fillId="0" borderId="121" xfId="0" applyBorder="1" applyAlignment="1" applyProtection="1">
      <alignment/>
      <protection locked="0"/>
    </xf>
    <xf numFmtId="0" fontId="160" fillId="0" borderId="0" xfId="0" applyFont="1" applyFill="1" applyBorder="1" applyAlignment="1" applyProtection="1">
      <alignment/>
      <protection/>
    </xf>
    <xf numFmtId="0" fontId="160" fillId="0" borderId="0" xfId="0" applyFont="1" applyFill="1" applyAlignment="1" applyProtection="1">
      <alignment/>
      <protection/>
    </xf>
    <xf numFmtId="0" fontId="136" fillId="0" borderId="0" xfId="0" applyFont="1" applyFill="1" applyBorder="1" applyAlignment="1" applyProtection="1">
      <alignment/>
      <protection/>
    </xf>
    <xf numFmtId="0" fontId="164" fillId="0" borderId="0" xfId="0" applyFont="1" applyFill="1" applyBorder="1" applyAlignment="1" applyProtection="1">
      <alignment/>
      <protection/>
    </xf>
    <xf numFmtId="0" fontId="164" fillId="0" borderId="71" xfId="0" applyFont="1" applyFill="1" applyBorder="1" applyAlignment="1" applyProtection="1">
      <alignment/>
      <protection/>
    </xf>
    <xf numFmtId="0" fontId="165" fillId="0" borderId="22" xfId="0" applyFont="1" applyFill="1" applyBorder="1" applyAlignment="1" applyProtection="1">
      <alignment horizontal="left" vertical="center" indent="1"/>
      <protection/>
    </xf>
    <xf numFmtId="10" fontId="11" fillId="0" borderId="128" xfId="0" applyNumberFormat="1" applyFont="1" applyFill="1" applyBorder="1" applyAlignment="1" applyProtection="1">
      <alignment/>
      <protection locked="0"/>
    </xf>
    <xf numFmtId="10" fontId="11" fillId="0" borderId="47" xfId="0" applyNumberFormat="1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4" fontId="67" fillId="50" borderId="16" xfId="0" applyNumberFormat="1" applyFont="1" applyFill="1" applyBorder="1" applyAlignment="1" applyProtection="1">
      <alignment/>
      <protection/>
    </xf>
    <xf numFmtId="4" fontId="4" fillId="0" borderId="106" xfId="0" applyNumberFormat="1" applyFont="1" applyBorder="1" applyAlignment="1" applyProtection="1">
      <alignment horizontal="left"/>
      <protection/>
    </xf>
    <xf numFmtId="4" fontId="22" fillId="50" borderId="0" xfId="0" applyNumberFormat="1" applyFont="1" applyFill="1" applyBorder="1" applyAlignment="1" applyProtection="1">
      <alignment/>
      <protection/>
    </xf>
    <xf numFmtId="4" fontId="66" fillId="0" borderId="109" xfId="0" applyNumberFormat="1" applyFont="1" applyBorder="1" applyAlignment="1" applyProtection="1">
      <alignment horizontal="center"/>
      <protection/>
    </xf>
    <xf numFmtId="4" fontId="4" fillId="50" borderId="114" xfId="0" applyNumberFormat="1" applyFont="1" applyFill="1" applyBorder="1" applyAlignment="1" applyProtection="1">
      <alignment/>
      <protection/>
    </xf>
    <xf numFmtId="4" fontId="66" fillId="0" borderId="102" xfId="0" applyNumberFormat="1" applyFont="1" applyBorder="1" applyAlignment="1" applyProtection="1">
      <alignment horizontal="center"/>
      <protection locked="0"/>
    </xf>
    <xf numFmtId="4" fontId="67" fillId="50" borderId="0" xfId="0" applyNumberFormat="1" applyFont="1" applyFill="1" applyBorder="1" applyAlignment="1" applyProtection="1">
      <alignment/>
      <protection locked="0"/>
    </xf>
    <xf numFmtId="4" fontId="166" fillId="55" borderId="103" xfId="0" applyNumberFormat="1" applyFont="1" applyFill="1" applyBorder="1" applyAlignment="1" applyProtection="1">
      <alignment/>
      <protection/>
    </xf>
    <xf numFmtId="4" fontId="166" fillId="50" borderId="112" xfId="0" applyNumberFormat="1" applyFont="1" applyFill="1" applyBorder="1" applyAlignment="1" applyProtection="1">
      <alignment/>
      <protection/>
    </xf>
    <xf numFmtId="4" fontId="57" fillId="0" borderId="102" xfId="0" applyNumberFormat="1" applyFont="1" applyBorder="1" applyAlignment="1" applyProtection="1">
      <alignment/>
      <protection/>
    </xf>
    <xf numFmtId="4" fontId="57" fillId="50" borderId="0" xfId="0" applyNumberFormat="1" applyFont="1" applyFill="1" applyBorder="1" applyAlignment="1" applyProtection="1">
      <alignment/>
      <protection/>
    </xf>
    <xf numFmtId="4" fontId="166" fillId="61" borderId="103" xfId="0" applyNumberFormat="1" applyFont="1" applyFill="1" applyBorder="1" applyAlignment="1" applyProtection="1">
      <alignment/>
      <protection/>
    </xf>
    <xf numFmtId="4" fontId="66" fillId="0" borderId="102" xfId="0" applyNumberFormat="1" applyFont="1" applyBorder="1" applyAlignment="1" applyProtection="1">
      <alignment horizontal="right"/>
      <protection locked="0"/>
    </xf>
    <xf numFmtId="4" fontId="67" fillId="50" borderId="0" xfId="0" applyNumberFormat="1" applyFont="1" applyFill="1" applyBorder="1" applyAlignment="1" applyProtection="1">
      <alignment/>
      <protection/>
    </xf>
    <xf numFmtId="17" fontId="11" fillId="0" borderId="27" xfId="0" applyNumberFormat="1" applyFont="1" applyFill="1" applyBorder="1" applyAlignment="1" applyProtection="1">
      <alignment/>
      <protection locked="0"/>
    </xf>
    <xf numFmtId="195" fontId="11" fillId="0" borderId="128" xfId="0" applyNumberFormat="1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17" fontId="11" fillId="0" borderId="15" xfId="0" applyNumberFormat="1" applyFont="1" applyFill="1" applyBorder="1" applyAlignment="1" applyProtection="1">
      <alignment/>
      <protection locked="0"/>
    </xf>
    <xf numFmtId="195" fontId="11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10" fontId="166" fillId="55" borderId="104" xfId="55" applyNumberFormat="1" applyFont="1" applyFill="1" applyBorder="1" applyAlignment="1" applyProtection="1">
      <alignment/>
      <protection/>
    </xf>
    <xf numFmtId="10" fontId="166" fillId="50" borderId="113" xfId="55" applyNumberFormat="1" applyFont="1" applyFill="1" applyBorder="1" applyAlignment="1" applyProtection="1">
      <alignment/>
      <protection/>
    </xf>
    <xf numFmtId="10" fontId="166" fillId="61" borderId="104" xfId="55" applyNumberFormat="1" applyFont="1" applyFill="1" applyBorder="1" applyAlignment="1" applyProtection="1">
      <alignment/>
      <protection/>
    </xf>
    <xf numFmtId="0" fontId="30" fillId="39" borderId="0" xfId="0" applyFont="1" applyFill="1" applyAlignment="1" applyProtection="1">
      <alignment/>
      <protection/>
    </xf>
    <xf numFmtId="17" fontId="17" fillId="57" borderId="0" xfId="0" applyNumberFormat="1" applyFont="1" applyFill="1" applyBorder="1" applyAlignment="1" applyProtection="1" quotePrefix="1">
      <alignment horizontal="center"/>
      <protection/>
    </xf>
    <xf numFmtId="176" fontId="22" fillId="50" borderId="119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7" fillId="0" borderId="129" xfId="0" applyFont="1" applyFill="1" applyBorder="1" applyAlignment="1">
      <alignment vertical="center"/>
    </xf>
    <xf numFmtId="0" fontId="167" fillId="0" borderId="130" xfId="0" applyFont="1" applyFill="1" applyBorder="1" applyAlignment="1" applyProtection="1">
      <alignment/>
      <protection/>
    </xf>
    <xf numFmtId="0" fontId="160" fillId="0" borderId="130" xfId="0" applyFont="1" applyFill="1" applyBorder="1" applyAlignment="1" applyProtection="1">
      <alignment/>
      <protection/>
    </xf>
    <xf numFmtId="0" fontId="160" fillId="0" borderId="13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67" fillId="0" borderId="132" xfId="0" applyFont="1" applyFill="1" applyBorder="1" applyAlignment="1">
      <alignment vertical="center"/>
    </xf>
    <xf numFmtId="0" fontId="167" fillId="0" borderId="0" xfId="0" applyFont="1" applyFill="1" applyBorder="1" applyAlignment="1" applyProtection="1">
      <alignment/>
      <protection/>
    </xf>
    <xf numFmtId="0" fontId="160" fillId="0" borderId="133" xfId="0" applyFont="1" applyFill="1" applyBorder="1" applyAlignment="1" applyProtection="1">
      <alignment/>
      <protection/>
    </xf>
    <xf numFmtId="0" fontId="167" fillId="0" borderId="134" xfId="0" applyFont="1" applyFill="1" applyBorder="1" applyAlignment="1">
      <alignment vertical="center"/>
    </xf>
    <xf numFmtId="0" fontId="167" fillId="0" borderId="135" xfId="0" applyFont="1" applyFill="1" applyBorder="1" applyAlignment="1" applyProtection="1">
      <alignment/>
      <protection/>
    </xf>
    <xf numFmtId="0" fontId="160" fillId="0" borderId="135" xfId="0" applyFont="1" applyFill="1" applyBorder="1" applyAlignment="1" applyProtection="1">
      <alignment/>
      <protection/>
    </xf>
    <xf numFmtId="0" fontId="160" fillId="0" borderId="136" xfId="0" applyFont="1" applyFill="1" applyBorder="1" applyAlignment="1" applyProtection="1">
      <alignment/>
      <protection/>
    </xf>
    <xf numFmtId="10" fontId="22" fillId="0" borderId="23" xfId="55" applyNumberFormat="1" applyFont="1" applyBorder="1" applyAlignment="1" applyProtection="1">
      <alignment/>
      <protection/>
    </xf>
    <xf numFmtId="9" fontId="22" fillId="0" borderId="55" xfId="55" applyNumberFormat="1" applyFont="1" applyFill="1" applyBorder="1" applyAlignment="1" applyProtection="1">
      <alignment/>
      <protection/>
    </xf>
    <xf numFmtId="10" fontId="143" fillId="0" borderId="55" xfId="55" applyNumberFormat="1" applyFont="1" applyFill="1" applyBorder="1" applyAlignment="1" applyProtection="1">
      <alignment/>
      <protection locked="0"/>
    </xf>
    <xf numFmtId="172" fontId="22" fillId="0" borderId="55" xfId="55" applyNumberFormat="1" applyFont="1" applyFill="1" applyBorder="1" applyAlignment="1" applyProtection="1">
      <alignment/>
      <protection/>
    </xf>
    <xf numFmtId="2" fontId="150" fillId="56" borderId="10" xfId="0" applyNumberFormat="1" applyFont="1" applyFill="1" applyBorder="1" applyAlignment="1" applyProtection="1">
      <alignment/>
      <protection/>
    </xf>
    <xf numFmtId="0" fontId="57" fillId="56" borderId="10" xfId="0" applyFont="1" applyFill="1" applyBorder="1" applyAlignment="1" applyProtection="1">
      <alignment/>
      <protection/>
    </xf>
    <xf numFmtId="2" fontId="150" fillId="50" borderId="10" xfId="0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/>
    </xf>
    <xf numFmtId="2" fontId="22" fillId="5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50" borderId="10" xfId="0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 locked="0"/>
    </xf>
    <xf numFmtId="0" fontId="4" fillId="50" borderId="10" xfId="0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/>
      <protection/>
    </xf>
    <xf numFmtId="2" fontId="66" fillId="0" borderId="10" xfId="0" applyNumberFormat="1" applyFont="1" applyBorder="1" applyAlignment="1" applyProtection="1">
      <alignment horizontal="center"/>
      <protection/>
    </xf>
    <xf numFmtId="172" fontId="4" fillId="50" borderId="10" xfId="0" applyNumberFormat="1" applyFont="1" applyFill="1" applyBorder="1" applyAlignment="1" applyProtection="1">
      <alignment/>
      <protection/>
    </xf>
    <xf numFmtId="170" fontId="161" fillId="0" borderId="137" xfId="0" applyNumberFormat="1" applyFont="1" applyFill="1" applyBorder="1" applyAlignment="1" applyProtection="1">
      <alignment horizontal="center" vertical="center"/>
      <protection/>
    </xf>
    <xf numFmtId="0" fontId="168" fillId="50" borderId="127" xfId="0" applyFont="1" applyFill="1" applyBorder="1" applyAlignment="1" applyProtection="1">
      <alignment horizontal="center" vertical="center"/>
      <protection/>
    </xf>
    <xf numFmtId="170" fontId="161" fillId="0" borderId="138" xfId="0" applyNumberFormat="1" applyFont="1" applyFill="1" applyBorder="1" applyAlignment="1" applyProtection="1">
      <alignment vertical="center"/>
      <protection/>
    </xf>
    <xf numFmtId="0" fontId="168" fillId="51" borderId="127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56" fillId="59" borderId="139" xfId="0" applyFont="1" applyFill="1" applyBorder="1" applyAlignment="1" applyProtection="1">
      <alignment/>
      <protection/>
    </xf>
    <xf numFmtId="4" fontId="169" fillId="59" borderId="140" xfId="0" applyNumberFormat="1" applyFont="1" applyFill="1" applyBorder="1" applyAlignment="1" applyProtection="1">
      <alignment/>
      <protection/>
    </xf>
    <xf numFmtId="1" fontId="159" fillId="0" borderId="123" xfId="0" applyNumberFormat="1" applyFont="1" applyBorder="1" applyAlignment="1">
      <alignment horizontal="right"/>
    </xf>
    <xf numFmtId="1" fontId="159" fillId="0" borderId="124" xfId="0" applyNumberFormat="1" applyFont="1" applyBorder="1" applyAlignment="1">
      <alignment horizontal="right"/>
    </xf>
    <xf numFmtId="175" fontId="160" fillId="0" borderId="0" xfId="0" applyNumberFormat="1" applyFont="1" applyAlignment="1">
      <alignment/>
    </xf>
    <xf numFmtId="172" fontId="67" fillId="50" borderId="119" xfId="0" applyNumberFormat="1" applyFont="1" applyFill="1" applyBorder="1" applyAlignment="1" applyProtection="1">
      <alignment/>
      <protection/>
    </xf>
    <xf numFmtId="2" fontId="76" fillId="0" borderId="119" xfId="0" applyNumberFormat="1" applyFont="1" applyBorder="1" applyAlignment="1" applyProtection="1">
      <alignment horizontal="center"/>
      <protection/>
    </xf>
    <xf numFmtId="172" fontId="77" fillId="50" borderId="119" xfId="0" applyNumberFormat="1" applyFont="1" applyFill="1" applyBorder="1" applyAlignment="1" applyProtection="1">
      <alignment/>
      <protection/>
    </xf>
    <xf numFmtId="2" fontId="74" fillId="0" borderId="119" xfId="0" applyNumberFormat="1" applyFont="1" applyBorder="1" applyAlignment="1" applyProtection="1">
      <alignment horizontal="right"/>
      <protection/>
    </xf>
    <xf numFmtId="2" fontId="66" fillId="0" borderId="119" xfId="0" applyNumberFormat="1" applyFont="1" applyBorder="1" applyAlignment="1" applyProtection="1">
      <alignment horizontal="right"/>
      <protection/>
    </xf>
    <xf numFmtId="176" fontId="6" fillId="50" borderId="119" xfId="0" applyNumberFormat="1" applyFont="1" applyFill="1" applyBorder="1" applyAlignment="1" applyProtection="1">
      <alignment/>
      <protection/>
    </xf>
    <xf numFmtId="10" fontId="11" fillId="0" borderId="51" xfId="55" applyNumberFormat="1" applyFont="1" applyFill="1" applyBorder="1" applyAlignment="1" applyProtection="1">
      <alignment horizontal="center"/>
      <protection locked="0"/>
    </xf>
    <xf numFmtId="17" fontId="11" fillId="0" borderId="0" xfId="0" applyNumberFormat="1" applyFont="1" applyFill="1" applyBorder="1" applyAlignment="1" applyProtection="1">
      <alignment/>
      <protection locked="0"/>
    </xf>
    <xf numFmtId="195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55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4" fontId="75" fillId="0" borderId="99" xfId="0" applyNumberFormat="1" applyFont="1" applyBorder="1" applyAlignment="1" applyProtection="1">
      <alignment horizontal="center"/>
      <protection/>
    </xf>
    <xf numFmtId="4" fontId="78" fillId="50" borderId="16" xfId="0" applyNumberFormat="1" applyFont="1" applyFill="1" applyBorder="1" applyAlignment="1" applyProtection="1">
      <alignment/>
      <protection/>
    </xf>
    <xf numFmtId="4" fontId="75" fillId="0" borderId="99" xfId="0" applyNumberFormat="1" applyFont="1" applyBorder="1" applyAlignment="1" applyProtection="1">
      <alignment horizontal="right"/>
      <protection/>
    </xf>
    <xf numFmtId="195" fontId="11" fillId="0" borderId="10" xfId="0" applyNumberFormat="1" applyFont="1" applyFill="1" applyBorder="1" applyAlignment="1" applyProtection="1">
      <alignment horizontal="center"/>
      <protection locked="0"/>
    </xf>
    <xf numFmtId="2" fontId="156" fillId="0" borderId="0" xfId="0" applyNumberFormat="1" applyFont="1" applyAlignment="1">
      <alignment/>
    </xf>
    <xf numFmtId="9" fontId="55" fillId="37" borderId="0" xfId="55" applyFont="1" applyFill="1" applyBorder="1" applyAlignment="1" applyProtection="1">
      <alignment/>
      <protection locked="0"/>
    </xf>
    <xf numFmtId="9" fontId="16" fillId="37" borderId="71" xfId="0" applyNumberFormat="1" applyFont="1" applyFill="1" applyBorder="1" applyAlignment="1" applyProtection="1">
      <alignment/>
      <protection locked="0"/>
    </xf>
    <xf numFmtId="17" fontId="11" fillId="0" borderId="10" xfId="0" applyNumberFormat="1" applyFont="1" applyFill="1" applyBorder="1" applyAlignment="1" applyProtection="1">
      <alignment/>
      <protection locked="0"/>
    </xf>
    <xf numFmtId="0" fontId="167" fillId="0" borderId="0" xfId="0" applyFont="1" applyFill="1" applyBorder="1" applyAlignment="1">
      <alignment vertical="center"/>
    </xf>
    <xf numFmtId="2" fontId="136" fillId="0" borderId="0" xfId="0" applyNumberFormat="1" applyFont="1" applyAlignment="1" applyProtection="1">
      <alignment/>
      <protection locked="0"/>
    </xf>
    <xf numFmtId="2" fontId="167" fillId="0" borderId="0" xfId="0" applyNumberFormat="1" applyFont="1" applyAlignment="1">
      <alignment/>
    </xf>
    <xf numFmtId="2" fontId="16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67" fillId="57" borderId="0" xfId="55" applyNumberFormat="1" applyFont="1" applyFill="1" applyBorder="1" applyAlignment="1" applyProtection="1" quotePrefix="1">
      <alignment horizontal="center"/>
      <protection/>
    </xf>
    <xf numFmtId="9" fontId="17" fillId="57" borderId="0" xfId="55" applyNumberFormat="1" applyFont="1" applyFill="1" applyBorder="1" applyAlignment="1" applyProtection="1" quotePrefix="1">
      <alignment horizontal="center"/>
      <protection/>
    </xf>
    <xf numFmtId="1" fontId="17" fillId="57" borderId="0" xfId="55" applyNumberFormat="1" applyFont="1" applyFill="1" applyBorder="1" applyAlignment="1" applyProtection="1" quotePrefix="1">
      <alignment horizontal="center"/>
      <protection/>
    </xf>
    <xf numFmtId="9" fontId="0" fillId="0" borderId="0" xfId="55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4" fontId="4" fillId="0" borderId="102" xfId="0" applyNumberFormat="1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 horizontal="left"/>
      <protection/>
    </xf>
    <xf numFmtId="172" fontId="11" fillId="0" borderId="38" xfId="55" applyNumberFormat="1" applyFont="1" applyFill="1" applyBorder="1" applyAlignment="1" applyProtection="1">
      <alignment horizontal="center"/>
      <protection locked="0"/>
    </xf>
    <xf numFmtId="170" fontId="161" fillId="0" borderId="141" xfId="0" applyNumberFormat="1" applyFont="1" applyFill="1" applyBorder="1" applyAlignment="1" applyProtection="1">
      <alignment vertical="center"/>
      <protection/>
    </xf>
    <xf numFmtId="0" fontId="168" fillId="51" borderId="142" xfId="0" applyFont="1" applyFill="1" applyBorder="1" applyAlignment="1" applyProtection="1">
      <alignment horizontal="center" vertical="center"/>
      <protection/>
    </xf>
    <xf numFmtId="9" fontId="79" fillId="63" borderId="143" xfId="55" applyFont="1" applyFill="1" applyBorder="1" applyAlignment="1" applyProtection="1">
      <alignment horizontal="right"/>
      <protection locked="0"/>
    </xf>
    <xf numFmtId="9" fontId="16" fillId="63" borderId="112" xfId="55" applyFont="1" applyFill="1" applyBorder="1" applyAlignment="1" applyProtection="1">
      <alignment/>
      <protection locked="0"/>
    </xf>
    <xf numFmtId="9" fontId="79" fillId="63" borderId="144" xfId="55" applyFont="1" applyFill="1" applyBorder="1" applyAlignment="1" applyProtection="1">
      <alignment horizontal="right"/>
      <protection locked="0"/>
    </xf>
    <xf numFmtId="9" fontId="16" fillId="63" borderId="113" xfId="55" applyFont="1" applyFill="1" applyBorder="1" applyAlignment="1" applyProtection="1">
      <alignment/>
      <protection locked="0"/>
    </xf>
    <xf numFmtId="3" fontId="156" fillId="63" borderId="145" xfId="0" applyNumberFormat="1" applyFont="1" applyFill="1" applyBorder="1" applyAlignment="1" applyProtection="1">
      <alignment horizontal="left"/>
      <protection/>
    </xf>
    <xf numFmtId="3" fontId="145" fillId="63" borderId="146" xfId="0" applyNumberFormat="1" applyFont="1" applyFill="1" applyBorder="1" applyAlignment="1" applyProtection="1">
      <alignment horizontal="left"/>
      <protection/>
    </xf>
    <xf numFmtId="0" fontId="0" fillId="15" borderId="0" xfId="0" applyFill="1" applyBorder="1" applyAlignment="1" applyProtection="1">
      <alignment/>
      <protection/>
    </xf>
    <xf numFmtId="2" fontId="14" fillId="15" borderId="0" xfId="0" applyNumberFormat="1" applyFont="1" applyFill="1" applyBorder="1" applyAlignment="1" applyProtection="1">
      <alignment horizontal="right"/>
      <protection/>
    </xf>
    <xf numFmtId="0" fontId="0" fillId="15" borderId="0" xfId="0" applyFill="1" applyAlignment="1" applyProtection="1">
      <alignment/>
      <protection/>
    </xf>
    <xf numFmtId="10" fontId="0" fillId="15" borderId="0" xfId="55" applyNumberFormat="1" applyFont="1" applyFill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9" fontId="22" fillId="0" borderId="96" xfId="55" applyFont="1" applyBorder="1" applyAlignment="1" applyProtection="1">
      <alignment horizontal="left"/>
      <protection/>
    </xf>
    <xf numFmtId="17" fontId="67" fillId="64" borderId="0" xfId="55" applyNumberFormat="1" applyFont="1" applyFill="1" applyBorder="1" applyAlignment="1" applyProtection="1" quotePrefix="1">
      <alignment horizontal="center"/>
      <protection/>
    </xf>
    <xf numFmtId="172" fontId="17" fillId="64" borderId="0" xfId="55" applyNumberFormat="1" applyFont="1" applyFill="1" applyBorder="1" applyAlignment="1" applyProtection="1">
      <alignment horizontal="left"/>
      <protection/>
    </xf>
    <xf numFmtId="17" fontId="17" fillId="64" borderId="0" xfId="55" applyNumberFormat="1" applyFont="1" applyFill="1" applyBorder="1" applyAlignment="1" applyProtection="1" quotePrefix="1">
      <alignment horizontal="center"/>
      <protection/>
    </xf>
    <xf numFmtId="172" fontId="17" fillId="64" borderId="0" xfId="55" applyNumberFormat="1" applyFont="1" applyFill="1" applyBorder="1" applyAlignment="1" applyProtection="1">
      <alignment horizontal="center"/>
      <protection/>
    </xf>
    <xf numFmtId="9" fontId="17" fillId="64" borderId="0" xfId="55" applyNumberFormat="1" applyFont="1" applyFill="1" applyBorder="1" applyAlignment="1" applyProtection="1" quotePrefix="1">
      <alignment horizontal="center"/>
      <protection/>
    </xf>
    <xf numFmtId="2" fontId="170" fillId="65" borderId="0" xfId="0" applyNumberFormat="1" applyFont="1" applyFill="1" applyAlignment="1">
      <alignment vertical="center"/>
    </xf>
    <xf numFmtId="2" fontId="171" fillId="65" borderId="0" xfId="0" applyNumberFormat="1" applyFont="1" applyFill="1" applyAlignment="1">
      <alignment/>
    </xf>
    <xf numFmtId="2" fontId="172" fillId="65" borderId="0" xfId="0" applyNumberFormat="1" applyFont="1" applyFill="1" applyAlignment="1">
      <alignment/>
    </xf>
    <xf numFmtId="175" fontId="160" fillId="0" borderId="0" xfId="55" applyNumberFormat="1" applyFont="1" applyAlignment="1">
      <alignment/>
    </xf>
    <xf numFmtId="190" fontId="173" fillId="13" borderId="0" xfId="0" applyNumberFormat="1" applyFont="1" applyFill="1" applyAlignment="1" applyProtection="1">
      <alignment horizontal="center"/>
      <protection/>
    </xf>
    <xf numFmtId="175" fontId="160" fillId="0" borderId="0" xfId="0" applyNumberFormat="1" applyFont="1" applyAlignment="1">
      <alignment horizontal="right"/>
    </xf>
    <xf numFmtId="172" fontId="10" fillId="19" borderId="0" xfId="55" applyNumberFormat="1" applyFont="1" applyFill="1" applyAlignment="1" applyProtection="1">
      <alignment/>
      <protection/>
    </xf>
    <xf numFmtId="0" fontId="10" fillId="19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2549"/>
        <xdr:cNvSpPr>
          <a:spLocks/>
        </xdr:cNvSpPr>
      </xdr:nvSpPr>
      <xdr:spPr>
        <a:xfrm>
          <a:off x="0" y="0"/>
          <a:ext cx="198367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mer\Escritorio\simuloferta19abr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ibo de sueldo"/>
      <sheetName val="Cargos"/>
      <sheetName val="Imp cargo"/>
      <sheetName val="Imp hs med"/>
      <sheetName val="Imp hs s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huttvictor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459"/>
  <sheetViews>
    <sheetView showGridLines="0" tabSelected="1"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7109375" style="10" customWidth="1"/>
    <col min="2" max="2" width="20.7109375" style="10" customWidth="1"/>
    <col min="3" max="3" width="16.140625" style="10" customWidth="1"/>
    <col min="4" max="4" width="38.28125" style="497" bestFit="1" customWidth="1"/>
    <col min="5" max="5" width="31.7109375" style="10" customWidth="1"/>
    <col min="6" max="6" width="9.421875" style="10" customWidth="1"/>
    <col min="7" max="7" width="30.28125" style="10" customWidth="1"/>
    <col min="8" max="8" width="10.421875" style="10" customWidth="1"/>
    <col min="9" max="9" width="27.7109375" style="10" customWidth="1"/>
    <col min="10" max="10" width="16.8515625" style="10" customWidth="1"/>
    <col min="11" max="11" width="30.140625" style="10" customWidth="1"/>
    <col min="12" max="12" width="14.421875" style="10" customWidth="1"/>
    <col min="13" max="13" width="25.7109375" style="10" customWidth="1"/>
    <col min="14" max="14" width="10.28125" style="10" customWidth="1"/>
    <col min="15" max="15" width="36.7109375" style="10" customWidth="1"/>
    <col min="16" max="16" width="5.7109375" style="10" customWidth="1"/>
    <col min="17" max="17" width="23.57421875" style="10" customWidth="1"/>
    <col min="18" max="18" width="6.140625" style="10" customWidth="1"/>
    <col min="19" max="19" width="34.7109375" style="10" customWidth="1"/>
    <col min="20" max="20" width="5.8515625" style="10" customWidth="1"/>
    <col min="21" max="21" width="11.57421875" style="10" customWidth="1"/>
    <col min="22" max="22" width="27.8515625" style="10" customWidth="1"/>
    <col min="23" max="23" width="20.421875" style="10" customWidth="1"/>
    <col min="24" max="24" width="13.28125" style="10" customWidth="1"/>
    <col min="25" max="25" width="30.8515625" style="10" customWidth="1"/>
    <col min="26" max="26" width="22.421875" style="10" customWidth="1"/>
    <col min="27" max="16384" width="11.421875" style="10" customWidth="1"/>
  </cols>
  <sheetData>
    <row r="1" spans="1:17" s="683" customFormat="1" ht="20.25">
      <c r="A1" s="793"/>
      <c r="D1" s="543"/>
      <c r="E1" s="946">
        <v>45139</v>
      </c>
      <c r="F1" s="947">
        <f>aumento6-1</f>
        <v>0.7764</v>
      </c>
      <c r="G1" s="948">
        <v>45108</v>
      </c>
      <c r="H1" s="949">
        <f>aumento5-1</f>
        <v>0.6881999999999999</v>
      </c>
      <c r="I1" s="950" t="str">
        <f>"JUN 23 "&amp;((Aumento4-1)*100)&amp;"%"</f>
        <v>JUN 23 47%</v>
      </c>
      <c r="J1" s="618"/>
      <c r="K1" s="925" t="str">
        <f>"MAY 23 "&amp;((Aumento3-1)*100)&amp;"%"</f>
        <v>MAY 23 40%</v>
      </c>
      <c r="L1" s="618"/>
      <c r="M1" s="925" t="str">
        <f>"MAR 23 "&amp;((Aumento2-1)*100)&amp;"%"</f>
        <v>MAR 23 27%</v>
      </c>
      <c r="N1" s="659"/>
      <c r="O1" s="926" t="str">
        <f>"FEB 23 "&amp;((aumento1-1)*100)&amp;"%"</f>
        <v>FEB 23 8,00000000000001%</v>
      </c>
      <c r="P1" s="659"/>
      <c r="Q1" s="636">
        <v>44927</v>
      </c>
    </row>
    <row r="2" spans="1:7" ht="12.75">
      <c r="A2" s="229"/>
      <c r="B2" s="124"/>
      <c r="C2" s="124"/>
      <c r="D2" s="493"/>
      <c r="E2" s="119"/>
      <c r="F2" s="124"/>
      <c r="G2" s="124"/>
    </row>
    <row r="3" spans="1:11" ht="27.75">
      <c r="A3" s="2"/>
      <c r="B3" s="930" t="s">
        <v>483</v>
      </c>
      <c r="D3" s="494"/>
      <c r="E3" s="466"/>
      <c r="F3" s="466"/>
      <c r="G3" s="459"/>
      <c r="H3" s="3"/>
      <c r="I3" s="4"/>
      <c r="J3" s="1"/>
      <c r="K3" s="2"/>
    </row>
    <row r="4" spans="1:11" ht="24" thickBot="1">
      <c r="A4" s="2"/>
      <c r="B4" s="829" t="s">
        <v>524</v>
      </c>
      <c r="D4" s="494"/>
      <c r="E4" s="466"/>
      <c r="F4" s="466"/>
      <c r="G4" s="459"/>
      <c r="H4" s="3"/>
      <c r="I4" s="4"/>
      <c r="J4" s="1"/>
      <c r="K4" s="2"/>
    </row>
    <row r="5" spans="1:11" ht="30">
      <c r="A5" s="2"/>
      <c r="B5" s="915" t="s">
        <v>529</v>
      </c>
      <c r="D5" s="550"/>
      <c r="E5" s="474"/>
      <c r="H5" s="3"/>
      <c r="I5" s="4"/>
      <c r="J5" s="1"/>
      <c r="K5" s="2"/>
    </row>
    <row r="6" spans="1:11" ht="24" thickBot="1">
      <c r="A6" s="2"/>
      <c r="B6" s="951" t="s">
        <v>537</v>
      </c>
      <c r="C6" s="952"/>
      <c r="D6" s="952"/>
      <c r="E6" s="953"/>
      <c r="H6" s="3"/>
      <c r="I6" s="4"/>
      <c r="J6" s="1"/>
      <c r="K6" s="2"/>
    </row>
    <row r="7" spans="1:11" s="467" customFormat="1" ht="13.5" thickTop="1">
      <c r="A7" s="859"/>
      <c r="B7" s="860" t="s">
        <v>514</v>
      </c>
      <c r="C7" s="861"/>
      <c r="D7" s="862"/>
      <c r="E7" s="863"/>
      <c r="F7" s="824"/>
      <c r="G7" s="825"/>
      <c r="H7" s="6"/>
      <c r="I7" s="864"/>
      <c r="J7" s="859"/>
      <c r="K7" s="859"/>
    </row>
    <row r="8" spans="1:11" s="467" customFormat="1" ht="12.75">
      <c r="A8" s="859"/>
      <c r="B8" s="865" t="s">
        <v>515</v>
      </c>
      <c r="C8" s="866"/>
      <c r="D8" s="824"/>
      <c r="E8" s="867"/>
      <c r="F8" s="824"/>
      <c r="G8" s="825"/>
      <c r="H8" s="6"/>
      <c r="I8" s="864"/>
      <c r="J8" s="859"/>
      <c r="K8" s="859"/>
    </row>
    <row r="9" spans="1:11" s="467" customFormat="1" ht="13.5" thickBot="1">
      <c r="A9" s="859"/>
      <c r="B9" s="868" t="s">
        <v>516</v>
      </c>
      <c r="C9" s="869"/>
      <c r="D9" s="870"/>
      <c r="E9" s="871"/>
      <c r="F9" s="824"/>
      <c r="G9" s="825"/>
      <c r="H9" s="6"/>
      <c r="I9" s="864"/>
      <c r="J9" s="859"/>
      <c r="K9" s="859"/>
    </row>
    <row r="10" spans="1:11" s="467" customFormat="1" ht="13.5" thickTop="1">
      <c r="A10" s="859"/>
      <c r="B10" s="919"/>
      <c r="C10" s="866"/>
      <c r="D10" s="824"/>
      <c r="E10" s="824"/>
      <c r="F10" s="824"/>
      <c r="G10" s="825"/>
      <c r="H10" s="6"/>
      <c r="I10" s="864"/>
      <c r="J10" s="859"/>
      <c r="K10" s="859"/>
    </row>
    <row r="11" spans="1:11" s="467" customFormat="1" ht="15.75">
      <c r="A11" s="859"/>
      <c r="B11" s="920" t="s">
        <v>530</v>
      </c>
      <c r="C11" s="866"/>
      <c r="D11" s="824"/>
      <c r="E11" s="824"/>
      <c r="F11" s="824"/>
      <c r="G11" s="825"/>
      <c r="H11" s="6"/>
      <c r="I11" s="864"/>
      <c r="J11" s="859"/>
      <c r="K11" s="859"/>
    </row>
    <row r="12" spans="1:11" s="467" customFormat="1" ht="12.75">
      <c r="A12" s="859"/>
      <c r="B12" s="919"/>
      <c r="C12" s="866"/>
      <c r="D12" s="824"/>
      <c r="E12" s="824"/>
      <c r="F12" s="824"/>
      <c r="G12" s="825"/>
      <c r="H12" s="6"/>
      <c r="I12" s="864"/>
      <c r="J12" s="859"/>
      <c r="K12" s="859"/>
    </row>
    <row r="13" spans="1:11" s="467" customFormat="1" ht="15.75">
      <c r="A13" s="859"/>
      <c r="B13" s="920" t="s">
        <v>538</v>
      </c>
      <c r="C13" s="921"/>
      <c r="D13" s="921"/>
      <c r="E13" s="922"/>
      <c r="F13" s="824"/>
      <c r="G13" s="825"/>
      <c r="H13" s="6"/>
      <c r="I13" s="864"/>
      <c r="J13" s="859"/>
      <c r="K13" s="859"/>
    </row>
    <row r="14" spans="1:11" s="467" customFormat="1" ht="15.75">
      <c r="A14" s="859"/>
      <c r="B14" s="920" t="s">
        <v>531</v>
      </c>
      <c r="C14" s="921"/>
      <c r="D14" s="921"/>
      <c r="E14" s="922"/>
      <c r="F14" s="824"/>
      <c r="G14" s="825"/>
      <c r="H14" s="6"/>
      <c r="I14" s="864"/>
      <c r="J14" s="859"/>
      <c r="K14" s="859"/>
    </row>
    <row r="15" spans="1:11" s="467" customFormat="1" ht="12.75">
      <c r="A15" s="859"/>
      <c r="B15" s="923"/>
      <c r="C15" s="921"/>
      <c r="D15" s="921"/>
      <c r="E15" s="922"/>
      <c r="F15" s="824"/>
      <c r="G15" s="825"/>
      <c r="H15" s="6"/>
      <c r="I15" s="864"/>
      <c r="J15" s="859"/>
      <c r="K15" s="859"/>
    </row>
    <row r="16" spans="1:11" s="467" customFormat="1" ht="12.75">
      <c r="A16" s="859"/>
      <c r="B16" s="919"/>
      <c r="C16" s="866"/>
      <c r="D16" s="824"/>
      <c r="E16" s="824"/>
      <c r="F16" s="824"/>
      <c r="G16" s="825"/>
      <c r="H16" s="6"/>
      <c r="I16" s="864"/>
      <c r="J16" s="859"/>
      <c r="K16" s="859"/>
    </row>
    <row r="17" spans="1:11" ht="30">
      <c r="A17" s="2"/>
      <c r="B17" s="826" t="s">
        <v>506</v>
      </c>
      <c r="C17" s="825"/>
      <c r="D17" s="828"/>
      <c r="E17" s="827"/>
      <c r="F17" s="824"/>
      <c r="G17" s="825"/>
      <c r="H17" s="6"/>
      <c r="I17" s="4"/>
      <c r="J17" s="2"/>
      <c r="K17" s="2"/>
    </row>
    <row r="18" spans="1:11" ht="18">
      <c r="A18" s="2"/>
      <c r="B18" s="355"/>
      <c r="C18" s="339"/>
      <c r="D18" s="495"/>
      <c r="E18" s="475"/>
      <c r="F18" s="337"/>
      <c r="G18" s="338"/>
      <c r="H18" s="6"/>
      <c r="I18" s="4"/>
      <c r="J18" s="2"/>
      <c r="K18" s="2"/>
    </row>
    <row r="19" spans="1:11" ht="15">
      <c r="A19" s="2"/>
      <c r="B19" s="251"/>
      <c r="C19" s="252"/>
      <c r="D19" s="496"/>
      <c r="E19" s="476"/>
      <c r="F19" s="253"/>
      <c r="G19" s="254"/>
      <c r="H19" s="6"/>
      <c r="I19" s="4"/>
      <c r="J19" s="2"/>
      <c r="K19" s="2"/>
    </row>
    <row r="20" spans="1:11" ht="13.5" thickBot="1">
      <c r="A20" s="2"/>
      <c r="B20" s="1"/>
      <c r="C20" s="1"/>
      <c r="E20" s="1"/>
      <c r="F20" s="2"/>
      <c r="G20" s="5"/>
      <c r="H20" s="1"/>
      <c r="I20" s="4"/>
      <c r="J20" s="1"/>
      <c r="K20" s="2"/>
    </row>
    <row r="21" spans="1:11" ht="18.75" thickBot="1">
      <c r="A21" s="2"/>
      <c r="B21" s="565"/>
      <c r="C21" s="41" t="s">
        <v>0</v>
      </c>
      <c r="D21" s="555" t="s">
        <v>319</v>
      </c>
      <c r="E21" s="477"/>
      <c r="F21" s="41" t="s">
        <v>0</v>
      </c>
      <c r="G21" s="37"/>
      <c r="H21" s="1"/>
      <c r="I21" s="2"/>
      <c r="J21" s="1"/>
      <c r="K21" s="2"/>
    </row>
    <row r="22" spans="1:11" ht="18">
      <c r="A22" s="2"/>
      <c r="B22" s="565"/>
      <c r="C22" s="2"/>
      <c r="D22" s="555" t="s">
        <v>1</v>
      </c>
      <c r="E22" s="477"/>
      <c r="F22" s="37"/>
      <c r="G22" s="37"/>
      <c r="H22" s="1"/>
      <c r="I22" s="2"/>
      <c r="J22" s="1"/>
      <c r="K22" s="2"/>
    </row>
    <row r="23" spans="1:11" ht="18.75" thickBot="1">
      <c r="A23" s="2"/>
      <c r="B23" s="801"/>
      <c r="C23" s="4"/>
      <c r="D23" s="555" t="s">
        <v>2</v>
      </c>
      <c r="E23" s="477"/>
      <c r="F23" s="37"/>
      <c r="G23" s="38"/>
      <c r="H23" s="8"/>
      <c r="I23" s="4"/>
      <c r="J23" s="7"/>
      <c r="K23" s="2"/>
    </row>
    <row r="24" spans="1:11" ht="18.75" thickBot="1">
      <c r="A24" s="2"/>
      <c r="B24" s="801"/>
      <c r="C24" s="41" t="s">
        <v>0</v>
      </c>
      <c r="D24" s="556" t="s">
        <v>328</v>
      </c>
      <c r="E24" s="478"/>
      <c r="F24" s="41" t="s">
        <v>0</v>
      </c>
      <c r="G24" s="12"/>
      <c r="H24" s="8"/>
      <c r="I24" s="4"/>
      <c r="J24" s="7"/>
      <c r="K24" s="2"/>
    </row>
    <row r="25" spans="1:11" ht="15.75">
      <c r="A25" s="2"/>
      <c r="B25" s="801"/>
      <c r="C25" s="1"/>
      <c r="D25" s="498"/>
      <c r="E25" s="42"/>
      <c r="F25" s="2"/>
      <c r="G25" s="1"/>
      <c r="H25" s="8"/>
      <c r="I25" s="4"/>
      <c r="J25" s="7"/>
      <c r="K25" s="2"/>
    </row>
    <row r="26" spans="1:11" ht="12.75">
      <c r="A26" s="2"/>
      <c r="B26" s="565"/>
      <c r="C26" s="2"/>
      <c r="E26" s="2"/>
      <c r="F26" s="2"/>
      <c r="G26" s="9"/>
      <c r="H26" s="1"/>
      <c r="I26" s="9"/>
      <c r="J26" s="2"/>
      <c r="K26" s="2"/>
    </row>
    <row r="27" spans="1:253" s="11" customFormat="1" ht="15">
      <c r="A27" s="46"/>
      <c r="B27" s="47"/>
      <c r="C27" s="47"/>
      <c r="D27" s="499"/>
      <c r="F27" s="47"/>
      <c r="G27" s="47"/>
      <c r="I27" s="48"/>
      <c r="Q27" s="48"/>
      <c r="AC27" s="48"/>
      <c r="AK27" s="48"/>
      <c r="AS27" s="48"/>
      <c r="BA27" s="48"/>
      <c r="BI27" s="48"/>
      <c r="BQ27" s="48"/>
      <c r="BY27" s="48"/>
      <c r="CG27" s="48"/>
      <c r="CO27" s="48"/>
      <c r="CW27" s="48"/>
      <c r="DE27" s="48"/>
      <c r="DM27" s="48"/>
      <c r="DU27" s="48"/>
      <c r="EC27" s="48"/>
      <c r="EK27" s="48"/>
      <c r="ES27" s="48"/>
      <c r="FA27" s="48"/>
      <c r="FI27" s="48"/>
      <c r="FQ27" s="48"/>
      <c r="FY27" s="48"/>
      <c r="GG27" s="48"/>
      <c r="GO27" s="48"/>
      <c r="GW27" s="48"/>
      <c r="HE27" s="48"/>
      <c r="HM27" s="48"/>
      <c r="HU27" s="48"/>
      <c r="IC27" s="48"/>
      <c r="IK27" s="48"/>
      <c r="IS27" s="48"/>
    </row>
    <row r="28" spans="1:7" s="11" customFormat="1" ht="15">
      <c r="A28" s="49" t="s">
        <v>507</v>
      </c>
      <c r="B28" s="47"/>
      <c r="C28" s="47"/>
      <c r="D28" s="499"/>
      <c r="F28" s="47"/>
      <c r="G28" s="47"/>
    </row>
    <row r="29" spans="1:7" s="11" customFormat="1" ht="14.25">
      <c r="A29" s="49"/>
      <c r="B29" s="47"/>
      <c r="C29" s="47"/>
      <c r="D29" s="499"/>
      <c r="F29" s="47"/>
      <c r="G29" s="802"/>
    </row>
    <row r="30" spans="1:7" s="11" customFormat="1" ht="14.25">
      <c r="A30" s="49" t="s">
        <v>334</v>
      </c>
      <c r="B30" s="47"/>
      <c r="C30" s="47"/>
      <c r="D30" s="499"/>
      <c r="F30" s="47"/>
      <c r="G30" s="802"/>
    </row>
    <row r="31" spans="1:7" s="11" customFormat="1" ht="14.25">
      <c r="A31" s="49" t="s">
        <v>333</v>
      </c>
      <c r="B31" s="47"/>
      <c r="C31" s="47"/>
      <c r="D31" s="499"/>
      <c r="F31" s="47"/>
      <c r="G31" s="802"/>
    </row>
    <row r="32" spans="1:7" s="11" customFormat="1" ht="14.25">
      <c r="A32" s="49"/>
      <c r="B32" s="47"/>
      <c r="C32" s="47"/>
      <c r="D32" s="499"/>
      <c r="F32" s="47"/>
      <c r="G32" s="802"/>
    </row>
    <row r="33" spans="1:7" s="11" customFormat="1" ht="14.25">
      <c r="A33" s="49" t="s">
        <v>320</v>
      </c>
      <c r="B33" s="47"/>
      <c r="C33" s="47"/>
      <c r="D33" s="499"/>
      <c r="F33" s="47"/>
      <c r="G33" s="802"/>
    </row>
    <row r="34" spans="1:7" s="11" customFormat="1" ht="14.25">
      <c r="A34" s="49" t="s">
        <v>321</v>
      </c>
      <c r="B34" s="47"/>
      <c r="C34" s="47"/>
      <c r="D34" s="499"/>
      <c r="F34" s="47"/>
      <c r="G34" s="657"/>
    </row>
    <row r="35" spans="1:7" s="11" customFormat="1" ht="14.25">
      <c r="A35" s="49"/>
      <c r="B35" s="47"/>
      <c r="C35" s="47"/>
      <c r="D35" s="499"/>
      <c r="F35" s="47"/>
      <c r="G35" s="657"/>
    </row>
    <row r="36" spans="1:7" s="11" customFormat="1" ht="14.25">
      <c r="A36" s="49" t="s">
        <v>322</v>
      </c>
      <c r="B36" s="47"/>
      <c r="C36" s="47"/>
      <c r="D36" s="499"/>
      <c r="F36" s="47"/>
      <c r="G36" s="657"/>
    </row>
    <row r="37" spans="1:7" s="11" customFormat="1" ht="14.25">
      <c r="A37" s="49" t="s">
        <v>508</v>
      </c>
      <c r="B37" s="47"/>
      <c r="C37" s="47"/>
      <c r="D37" s="499"/>
      <c r="F37" s="47"/>
      <c r="G37" s="657"/>
    </row>
    <row r="38" spans="1:7" s="11" customFormat="1" ht="14.25">
      <c r="A38" s="49" t="s">
        <v>323</v>
      </c>
      <c r="B38" s="47"/>
      <c r="C38" s="47"/>
      <c r="D38" s="499"/>
      <c r="F38" s="47"/>
      <c r="G38" s="657"/>
    </row>
    <row r="39" spans="1:7" s="11" customFormat="1" ht="15.75">
      <c r="A39" s="49"/>
      <c r="B39" s="50"/>
      <c r="C39" s="47"/>
      <c r="D39" s="499"/>
      <c r="E39" s="42"/>
      <c r="F39" s="47"/>
      <c r="G39" s="657"/>
    </row>
    <row r="40" spans="1:7" s="11" customFormat="1" ht="15.75">
      <c r="A40" s="49" t="s">
        <v>325</v>
      </c>
      <c r="B40" s="50"/>
      <c r="C40" s="47"/>
      <c r="D40" s="499"/>
      <c r="E40" s="42"/>
      <c r="F40" s="47"/>
      <c r="G40" s="657"/>
    </row>
    <row r="41" spans="1:7" s="11" customFormat="1" ht="15.75">
      <c r="A41" s="282"/>
      <c r="B41" s="50"/>
      <c r="C41" s="47"/>
      <c r="D41" s="499"/>
      <c r="E41" s="42"/>
      <c r="F41" s="47"/>
      <c r="G41" s="657"/>
    </row>
    <row r="42" spans="1:7" s="11" customFormat="1" ht="14.25">
      <c r="A42" s="49" t="s">
        <v>3</v>
      </c>
      <c r="B42" s="47"/>
      <c r="C42" s="47"/>
      <c r="D42" s="499"/>
      <c r="F42" s="47"/>
      <c r="G42" s="657"/>
    </row>
    <row r="43" spans="1:6" s="11" customFormat="1" ht="14.25">
      <c r="A43" s="49" t="s">
        <v>4</v>
      </c>
      <c r="B43" s="47"/>
      <c r="C43" s="47"/>
      <c r="D43" s="499"/>
      <c r="F43" s="47"/>
    </row>
    <row r="44" spans="1:7" s="11" customFormat="1" ht="14.25">
      <c r="A44" s="49" t="s">
        <v>5</v>
      </c>
      <c r="B44" s="47"/>
      <c r="C44" s="47"/>
      <c r="D44" s="499"/>
      <c r="F44" s="47"/>
      <c r="G44" s="47"/>
    </row>
    <row r="45" spans="1:7" s="11" customFormat="1" ht="14.25">
      <c r="A45" s="49"/>
      <c r="B45" s="47"/>
      <c r="C45" s="47"/>
      <c r="D45" s="499"/>
      <c r="F45" s="47"/>
      <c r="G45" s="47"/>
    </row>
    <row r="46" spans="1:7" s="11" customFormat="1" ht="15">
      <c r="A46" s="46" t="s">
        <v>368</v>
      </c>
      <c r="B46" s="47"/>
      <c r="C46" s="47"/>
      <c r="D46" s="499"/>
      <c r="F46" s="47"/>
      <c r="G46" s="47"/>
    </row>
    <row r="47" spans="1:7" s="11" customFormat="1" ht="14.25">
      <c r="A47" s="49"/>
      <c r="B47" s="47"/>
      <c r="C47" s="47"/>
      <c r="D47" s="499"/>
      <c r="F47" s="47"/>
      <c r="G47" s="47"/>
    </row>
    <row r="48" spans="1:7" s="11" customFormat="1" ht="14.25">
      <c r="A48" s="49" t="s">
        <v>505</v>
      </c>
      <c r="B48" s="47"/>
      <c r="C48" s="47"/>
      <c r="D48" s="499"/>
      <c r="F48" s="47"/>
      <c r="G48" s="47"/>
    </row>
    <row r="49" spans="1:4" s="11" customFormat="1" ht="12.75" hidden="1">
      <c r="A49" s="940"/>
      <c r="D49" s="499"/>
    </row>
    <row r="50" spans="1:4" s="11" customFormat="1" ht="12.75" hidden="1">
      <c r="A50" s="940"/>
      <c r="D50" s="499"/>
    </row>
    <row r="51" spans="1:193" s="11" customFormat="1" ht="12.75" hidden="1">
      <c r="A51" s="941"/>
      <c r="D51" s="499"/>
      <c r="E51" s="51"/>
      <c r="I51" s="52"/>
      <c r="M51" s="51"/>
      <c r="Q51" s="52"/>
      <c r="U51" s="51"/>
      <c r="Y51" s="52"/>
      <c r="AC51" s="51"/>
      <c r="AG51" s="52"/>
      <c r="AK51" s="51"/>
      <c r="AO51" s="52"/>
      <c r="AS51" s="51"/>
      <c r="AW51" s="52"/>
      <c r="BA51" s="51"/>
      <c r="BE51" s="52"/>
      <c r="BI51" s="51"/>
      <c r="BM51" s="52"/>
      <c r="BQ51" s="51"/>
      <c r="BU51" s="52"/>
      <c r="BY51" s="51"/>
      <c r="CC51" s="52"/>
      <c r="CG51" s="51"/>
      <c r="CK51" s="52"/>
      <c r="CO51" s="51"/>
      <c r="CS51" s="52"/>
      <c r="CW51" s="51"/>
      <c r="DA51" s="52"/>
      <c r="DE51" s="51"/>
      <c r="DI51" s="52"/>
      <c r="DM51" s="51"/>
      <c r="DQ51" s="52"/>
      <c r="DU51" s="51"/>
      <c r="DY51" s="52"/>
      <c r="EC51" s="51"/>
      <c r="EG51" s="52"/>
      <c r="EK51" s="51"/>
      <c r="EO51" s="52"/>
      <c r="ES51" s="51"/>
      <c r="EW51" s="52"/>
      <c r="FA51" s="51"/>
      <c r="FE51" s="52"/>
      <c r="FI51" s="51"/>
      <c r="FM51" s="52"/>
      <c r="FQ51" s="51"/>
      <c r="FU51" s="52"/>
      <c r="FY51" s="51"/>
      <c r="GC51" s="52"/>
      <c r="GG51" s="51"/>
      <c r="GK51" s="52"/>
    </row>
    <row r="52" spans="1:5" ht="12.75" hidden="1">
      <c r="A52" s="942"/>
      <c r="E52" s="2"/>
    </row>
    <row r="53" spans="1:6" ht="12.75" hidden="1">
      <c r="A53" s="942"/>
      <c r="E53" s="2"/>
      <c r="F53" s="10" t="e">
        <f>indicemar14</f>
        <v>#NAME?</v>
      </c>
    </row>
    <row r="54" spans="1:5" ht="12.75" hidden="1">
      <c r="A54" s="942"/>
      <c r="E54" s="2"/>
    </row>
    <row r="55" spans="1:11" ht="13.5" hidden="1" thickBot="1">
      <c r="A55" s="942"/>
      <c r="E55" s="2"/>
      <c r="K55" s="10">
        <f>3500*1.25</f>
        <v>4375</v>
      </c>
    </row>
    <row r="56" spans="1:15" ht="15" hidden="1">
      <c r="A56" s="942"/>
      <c r="E56" s="2"/>
      <c r="O56" s="637" t="s">
        <v>491</v>
      </c>
    </row>
    <row r="57" spans="1:15" ht="12.75" hidden="1">
      <c r="A57" s="942"/>
      <c r="E57" s="2"/>
      <c r="O57" s="638" t="e">
        <f>#REF!</f>
        <v>#REF!</v>
      </c>
    </row>
    <row r="58" spans="1:15" ht="12.75" hidden="1">
      <c r="A58" s="942"/>
      <c r="E58" s="2"/>
      <c r="O58" s="638" t="e">
        <f>#REF!</f>
        <v>#REF!</v>
      </c>
    </row>
    <row r="59" spans="1:4" ht="12.75" hidden="1">
      <c r="A59" s="943"/>
      <c r="B59" s="654" t="s">
        <v>521</v>
      </c>
      <c r="C59" s="898">
        <v>38.5348</v>
      </c>
      <c r="D59" s="10"/>
    </row>
    <row r="60" spans="1:4" ht="12.75" hidden="1">
      <c r="A60" s="942"/>
      <c r="D60" s="10"/>
    </row>
    <row r="61" spans="1:4" ht="12.75" hidden="1">
      <c r="A61" s="942"/>
      <c r="D61" s="10"/>
    </row>
    <row r="62" spans="1:4" ht="12.75" hidden="1">
      <c r="A62" s="943"/>
      <c r="B62" s="655" t="s">
        <v>522</v>
      </c>
      <c r="C62" s="898">
        <v>66.5861</v>
      </c>
      <c r="D62" s="10"/>
    </row>
    <row r="63" spans="1:4" ht="12.75" hidden="1">
      <c r="A63" s="942"/>
      <c r="D63" s="10"/>
    </row>
    <row r="64" spans="1:4" ht="12.75" hidden="1">
      <c r="A64" s="942"/>
      <c r="B64" s="452" t="s">
        <v>523</v>
      </c>
      <c r="C64" s="13">
        <f>LOOKUP(porcantigcargo,porant,cod06cargosene23)</f>
        <v>49498</v>
      </c>
      <c r="D64" s="10"/>
    </row>
    <row r="65" spans="1:9" ht="12.75" hidden="1">
      <c r="A65" s="942"/>
      <c r="D65" s="10"/>
      <c r="I65" s="639" t="e">
        <f>(#REF!-O57)/O57</f>
        <v>#REF!</v>
      </c>
    </row>
    <row r="66" spans="1:26" ht="15.75" hidden="1">
      <c r="A66" s="944"/>
      <c r="B66" s="99"/>
      <c r="C66" s="100"/>
      <c r="D66" s="500"/>
      <c r="E66" s="100"/>
      <c r="F66" s="100"/>
      <c r="G66" s="99"/>
      <c r="H66" s="100"/>
      <c r="I66" s="598" t="s">
        <v>487</v>
      </c>
      <c r="J66" s="927">
        <v>1.08</v>
      </c>
      <c r="K66" s="467" t="s">
        <v>497</v>
      </c>
      <c r="L66" s="956">
        <v>1.6882</v>
      </c>
      <c r="M66" s="10" t="s">
        <v>520</v>
      </c>
      <c r="N66" s="803">
        <v>1.998</v>
      </c>
      <c r="O66" s="638" t="e">
        <f>#REF!</f>
        <v>#REF!</v>
      </c>
      <c r="Y66" s="11"/>
      <c r="Z66" s="142"/>
    </row>
    <row r="67" spans="1:26" ht="15.75" hidden="1">
      <c r="A67" s="944"/>
      <c r="B67" s="99"/>
      <c r="C67" s="100"/>
      <c r="D67" s="500"/>
      <c r="E67" s="100"/>
      <c r="F67" s="100"/>
      <c r="G67" s="99"/>
      <c r="H67" s="100"/>
      <c r="I67" s="598" t="s">
        <v>488</v>
      </c>
      <c r="J67" s="374">
        <v>1.27</v>
      </c>
      <c r="K67" s="467" t="s">
        <v>498</v>
      </c>
      <c r="L67" s="954">
        <v>1.7764</v>
      </c>
      <c r="O67" s="639" t="e">
        <f>(O66-O57)/O57</f>
        <v>#REF!</v>
      </c>
      <c r="Y67" s="11"/>
      <c r="Z67" s="142"/>
    </row>
    <row r="68" spans="1:26" s="371" customFormat="1" ht="15.75" hidden="1">
      <c r="A68" s="944"/>
      <c r="B68" s="118"/>
      <c r="C68" s="455"/>
      <c r="D68" s="501"/>
      <c r="E68" s="462"/>
      <c r="F68" s="462"/>
      <c r="G68" s="462"/>
      <c r="H68" s="462"/>
      <c r="I68" s="598" t="s">
        <v>489</v>
      </c>
      <c r="J68" s="803">
        <v>1.4</v>
      </c>
      <c r="K68" s="467" t="s">
        <v>518</v>
      </c>
      <c r="L68" s="955">
        <v>0</v>
      </c>
      <c r="M68" s="10"/>
      <c r="N68" s="10"/>
      <c r="O68" s="95"/>
      <c r="P68" s="95"/>
      <c r="Q68" s="95"/>
      <c r="Y68" s="370"/>
      <c r="Z68" s="372"/>
    </row>
    <row r="69" spans="1:26" s="371" customFormat="1" ht="16.5" hidden="1" thickBot="1">
      <c r="A69" s="944"/>
      <c r="B69" s="10"/>
      <c r="C69" s="456">
        <v>44927</v>
      </c>
      <c r="D69" s="502"/>
      <c r="E69" s="479"/>
      <c r="F69" s="456">
        <v>44927</v>
      </c>
      <c r="G69" s="456">
        <v>44927</v>
      </c>
      <c r="H69" s="10"/>
      <c r="I69" s="598" t="s">
        <v>490</v>
      </c>
      <c r="J69" s="803">
        <v>1.47</v>
      </c>
      <c r="K69" s="467" t="s">
        <v>519</v>
      </c>
      <c r="L69" s="803">
        <v>1.9445</v>
      </c>
      <c r="M69" s="10"/>
      <c r="N69" s="10"/>
      <c r="O69" s="10"/>
      <c r="P69" s="10"/>
      <c r="Q69" s="10"/>
      <c r="Y69" s="370"/>
      <c r="Z69" s="372"/>
    </row>
    <row r="70" spans="1:26" s="371" customFormat="1" ht="17.25" hidden="1" thickBot="1" thickTop="1">
      <c r="A70" s="944"/>
      <c r="B70" s="10"/>
      <c r="C70" s="342" t="s">
        <v>345</v>
      </c>
      <c r="D70" s="503" t="s">
        <v>347</v>
      </c>
      <c r="E70" s="480" t="s">
        <v>348</v>
      </c>
      <c r="F70" s="343" t="s">
        <v>349</v>
      </c>
      <c r="G70" s="344" t="s">
        <v>350</v>
      </c>
      <c r="H70" s="343" t="s">
        <v>351</v>
      </c>
      <c r="I70" s="343" t="s">
        <v>352</v>
      </c>
      <c r="J70" s="343" t="s">
        <v>353</v>
      </c>
      <c r="K70" s="343" t="s">
        <v>354</v>
      </c>
      <c r="L70" s="96" t="s">
        <v>355</v>
      </c>
      <c r="M70" s="96">
        <v>1</v>
      </c>
      <c r="N70" s="96">
        <v>2</v>
      </c>
      <c r="O70" s="96">
        <v>3</v>
      </c>
      <c r="P70" s="96">
        <v>4</v>
      </c>
      <c r="Q70" s="96">
        <v>5</v>
      </c>
      <c r="Y70" s="370"/>
      <c r="Z70" s="372"/>
    </row>
    <row r="71" spans="1:26" s="371" customFormat="1" ht="15.75" hidden="1">
      <c r="A71" s="944"/>
      <c r="B71" s="156">
        <v>0</v>
      </c>
      <c r="C71" s="345">
        <f aca="true" t="shared" si="0" ref="C71:C82">IF(OR(puntosproljor&lt;620,nina=1),Q71,L71)</f>
        <v>30012</v>
      </c>
      <c r="D71" s="896">
        <v>30012</v>
      </c>
      <c r="E71" s="897">
        <v>21436</v>
      </c>
      <c r="F71" s="897">
        <v>0</v>
      </c>
      <c r="G71" s="897">
        <v>0</v>
      </c>
      <c r="H71" s="897">
        <v>0</v>
      </c>
      <c r="I71" s="897">
        <v>0</v>
      </c>
      <c r="J71" s="897">
        <v>23971</v>
      </c>
      <c r="K71" s="897">
        <v>21240</v>
      </c>
      <c r="L71" s="458">
        <f aca="true" t="shared" si="1" ref="L71:L82">IF(PUNTOSbasicos&gt;971,K71,J71)</f>
        <v>23971</v>
      </c>
      <c r="M71" s="557">
        <f aca="true" t="shared" si="2" ref="M71:M82">IF(PUNTOSbasicos&lt;972,D71,E71)</f>
        <v>30012</v>
      </c>
      <c r="N71" s="557">
        <f aca="true" t="shared" si="3" ref="N71:N82">IF(PUNTOSbasicos&lt;1170,M71,F71)</f>
        <v>30012</v>
      </c>
      <c r="O71" s="557">
        <f aca="true" t="shared" si="4" ref="O71:O82">IF(PUNTOSbasicos&lt;1401,N71,G71)</f>
        <v>30012</v>
      </c>
      <c r="P71" s="557">
        <f aca="true" t="shared" si="5" ref="P71:P82">IF(PUNTOSbasicos&lt;1943,O71,H71)</f>
        <v>30012</v>
      </c>
      <c r="Q71" s="557">
        <f aca="true" t="shared" si="6" ref="Q71:Q82">IF(PUNTOSbasicos&lt;=2220,P71,I71)</f>
        <v>30012</v>
      </c>
      <c r="Y71" s="370"/>
      <c r="Z71" s="372"/>
    </row>
    <row r="72" spans="1:26" s="371" customFormat="1" ht="15.75" hidden="1">
      <c r="A72" s="944"/>
      <c r="B72" s="157">
        <v>0.1</v>
      </c>
      <c r="C72" s="345">
        <f t="shared" si="0"/>
        <v>36720</v>
      </c>
      <c r="D72" s="896">
        <v>36720</v>
      </c>
      <c r="E72" s="897">
        <v>21956</v>
      </c>
      <c r="F72" s="897">
        <v>0</v>
      </c>
      <c r="G72" s="897">
        <v>0</v>
      </c>
      <c r="H72" s="897">
        <v>0</v>
      </c>
      <c r="I72" s="897">
        <v>0</v>
      </c>
      <c r="J72" s="897">
        <v>24491</v>
      </c>
      <c r="K72" s="897">
        <v>21761</v>
      </c>
      <c r="L72" s="458">
        <f t="shared" si="1"/>
        <v>24491</v>
      </c>
      <c r="M72" s="557">
        <f t="shared" si="2"/>
        <v>36720</v>
      </c>
      <c r="N72" s="557">
        <f t="shared" si="3"/>
        <v>36720</v>
      </c>
      <c r="O72" s="557">
        <f t="shared" si="4"/>
        <v>36720</v>
      </c>
      <c r="P72" s="557">
        <f t="shared" si="5"/>
        <v>36720</v>
      </c>
      <c r="Q72" s="557">
        <f t="shared" si="6"/>
        <v>36720</v>
      </c>
      <c r="Y72" s="370"/>
      <c r="Z72" s="372"/>
    </row>
    <row r="73" spans="1:26" s="371" customFormat="1" ht="15.75" hidden="1">
      <c r="A73" s="944"/>
      <c r="B73" s="158">
        <v>0.15</v>
      </c>
      <c r="C73" s="345">
        <f t="shared" si="0"/>
        <v>40918</v>
      </c>
      <c r="D73" s="896">
        <v>40918</v>
      </c>
      <c r="E73" s="897">
        <v>26581</v>
      </c>
      <c r="F73" s="897">
        <v>29627</v>
      </c>
      <c r="G73" s="897">
        <v>25328</v>
      </c>
      <c r="H73" s="897">
        <v>26354</v>
      </c>
      <c r="I73" s="897">
        <v>0</v>
      </c>
      <c r="J73" s="897">
        <v>31199</v>
      </c>
      <c r="K73" s="897">
        <v>28469</v>
      </c>
      <c r="L73" s="458">
        <f t="shared" si="1"/>
        <v>31199</v>
      </c>
      <c r="M73" s="557">
        <f t="shared" si="2"/>
        <v>40918</v>
      </c>
      <c r="N73" s="557">
        <f t="shared" si="3"/>
        <v>40918</v>
      </c>
      <c r="O73" s="557">
        <f t="shared" si="4"/>
        <v>40918</v>
      </c>
      <c r="P73" s="557">
        <f t="shared" si="5"/>
        <v>40918</v>
      </c>
      <c r="Q73" s="557">
        <f t="shared" si="6"/>
        <v>40918</v>
      </c>
      <c r="Y73" s="370"/>
      <c r="Z73" s="372"/>
    </row>
    <row r="74" spans="1:26" s="371" customFormat="1" ht="15.75" hidden="1">
      <c r="A74" s="944"/>
      <c r="B74" s="158">
        <v>0.3</v>
      </c>
      <c r="C74" s="345">
        <f t="shared" si="0"/>
        <v>42654</v>
      </c>
      <c r="D74" s="896">
        <v>42654</v>
      </c>
      <c r="E74" s="897">
        <v>27323</v>
      </c>
      <c r="F74" s="897">
        <v>29627</v>
      </c>
      <c r="G74" s="897">
        <v>25328</v>
      </c>
      <c r="H74" s="897">
        <v>26354</v>
      </c>
      <c r="I74" s="897">
        <v>0</v>
      </c>
      <c r="J74" s="897">
        <v>39454</v>
      </c>
      <c r="K74" s="897">
        <v>35177</v>
      </c>
      <c r="L74" s="458">
        <f t="shared" si="1"/>
        <v>39454</v>
      </c>
      <c r="M74" s="557">
        <f t="shared" si="2"/>
        <v>42654</v>
      </c>
      <c r="N74" s="557">
        <f t="shared" si="3"/>
        <v>42654</v>
      </c>
      <c r="O74" s="557">
        <f t="shared" si="4"/>
        <v>42654</v>
      </c>
      <c r="P74" s="557">
        <f t="shared" si="5"/>
        <v>42654</v>
      </c>
      <c r="Q74" s="557">
        <f t="shared" si="6"/>
        <v>42654</v>
      </c>
      <c r="Y74" s="370"/>
      <c r="Z74" s="372"/>
    </row>
    <row r="75" spans="1:26" s="371" customFormat="1" ht="15.75" hidden="1">
      <c r="A75" s="944"/>
      <c r="B75" s="158">
        <v>0.4</v>
      </c>
      <c r="C75" s="345">
        <f t="shared" si="0"/>
        <v>39845</v>
      </c>
      <c r="D75" s="896">
        <v>39845</v>
      </c>
      <c r="E75" s="897">
        <v>28112</v>
      </c>
      <c r="F75" s="897">
        <v>28279</v>
      </c>
      <c r="G75" s="897">
        <v>25691</v>
      </c>
      <c r="H75" s="897">
        <v>26354</v>
      </c>
      <c r="I75" s="897">
        <v>24302</v>
      </c>
      <c r="J75" s="897">
        <v>42563</v>
      </c>
      <c r="K75" s="897">
        <v>35881</v>
      </c>
      <c r="L75" s="458">
        <f t="shared" si="1"/>
        <v>42563</v>
      </c>
      <c r="M75" s="557">
        <f t="shared" si="2"/>
        <v>39845</v>
      </c>
      <c r="N75" s="557">
        <f t="shared" si="3"/>
        <v>39845</v>
      </c>
      <c r="O75" s="557">
        <f t="shared" si="4"/>
        <v>39845</v>
      </c>
      <c r="P75" s="557">
        <f t="shared" si="5"/>
        <v>39845</v>
      </c>
      <c r="Q75" s="557">
        <f t="shared" si="6"/>
        <v>39845</v>
      </c>
      <c r="Y75" s="370"/>
      <c r="Z75" s="372"/>
    </row>
    <row r="76" spans="1:26" s="371" customFormat="1" ht="15.75" hidden="1">
      <c r="A76" s="944"/>
      <c r="B76" s="158">
        <v>0.5</v>
      </c>
      <c r="C76" s="345">
        <f t="shared" si="0"/>
        <v>36483</v>
      </c>
      <c r="D76" s="896">
        <v>36483</v>
      </c>
      <c r="E76" s="897">
        <v>29138</v>
      </c>
      <c r="F76" s="897">
        <v>28279</v>
      </c>
      <c r="G76" s="897">
        <v>25691</v>
      </c>
      <c r="H76" s="897">
        <v>26354</v>
      </c>
      <c r="I76" s="897">
        <v>22418</v>
      </c>
      <c r="J76" s="897">
        <v>44363</v>
      </c>
      <c r="K76" s="897">
        <v>37664</v>
      </c>
      <c r="L76" s="458">
        <f t="shared" si="1"/>
        <v>44363</v>
      </c>
      <c r="M76" s="557">
        <f t="shared" si="2"/>
        <v>36483</v>
      </c>
      <c r="N76" s="557">
        <f t="shared" si="3"/>
        <v>36483</v>
      </c>
      <c r="O76" s="557">
        <f t="shared" si="4"/>
        <v>36483</v>
      </c>
      <c r="P76" s="557">
        <f t="shared" si="5"/>
        <v>36483</v>
      </c>
      <c r="Q76" s="557">
        <f t="shared" si="6"/>
        <v>36483</v>
      </c>
      <c r="Y76" s="370"/>
      <c r="Z76" s="372"/>
    </row>
    <row r="77" spans="1:26" s="371" customFormat="1" ht="15.75" hidden="1">
      <c r="A77" s="944"/>
      <c r="B77" s="158">
        <v>0.6</v>
      </c>
      <c r="C77" s="345">
        <f t="shared" si="0"/>
        <v>36609</v>
      </c>
      <c r="D77" s="896">
        <v>36609</v>
      </c>
      <c r="E77" s="897">
        <v>28769</v>
      </c>
      <c r="F77" s="897">
        <v>28789</v>
      </c>
      <c r="G77" s="897">
        <v>25865</v>
      </c>
      <c r="H77" s="897">
        <v>24975</v>
      </c>
      <c r="I77" s="897">
        <v>23412</v>
      </c>
      <c r="J77" s="897">
        <v>46162</v>
      </c>
      <c r="K77" s="897">
        <v>38453</v>
      </c>
      <c r="L77" s="458">
        <f t="shared" si="1"/>
        <v>46162</v>
      </c>
      <c r="M77" s="557">
        <f t="shared" si="2"/>
        <v>36609</v>
      </c>
      <c r="N77" s="557">
        <f t="shared" si="3"/>
        <v>36609</v>
      </c>
      <c r="O77" s="557">
        <f t="shared" si="4"/>
        <v>36609</v>
      </c>
      <c r="P77" s="557">
        <f t="shared" si="5"/>
        <v>36609</v>
      </c>
      <c r="Q77" s="557">
        <f t="shared" si="6"/>
        <v>36609</v>
      </c>
      <c r="Y77" s="370"/>
      <c r="Z77" s="372"/>
    </row>
    <row r="78" spans="1:26" s="371" customFormat="1" ht="15.75" hidden="1">
      <c r="A78" s="944"/>
      <c r="B78" s="158">
        <v>0.7</v>
      </c>
      <c r="C78" s="345">
        <f t="shared" si="0"/>
        <v>33731</v>
      </c>
      <c r="D78" s="896">
        <v>33731</v>
      </c>
      <c r="E78" s="897">
        <v>30047</v>
      </c>
      <c r="F78" s="897">
        <v>34119</v>
      </c>
      <c r="G78" s="897">
        <v>25369</v>
      </c>
      <c r="H78" s="897">
        <v>24975</v>
      </c>
      <c r="I78" s="897">
        <v>23412</v>
      </c>
      <c r="J78" s="897">
        <v>45067</v>
      </c>
      <c r="K78" s="897">
        <v>39243</v>
      </c>
      <c r="L78" s="458">
        <f t="shared" si="1"/>
        <v>45067</v>
      </c>
      <c r="M78" s="557">
        <f t="shared" si="2"/>
        <v>33731</v>
      </c>
      <c r="N78" s="557">
        <f t="shared" si="3"/>
        <v>33731</v>
      </c>
      <c r="O78" s="557">
        <f t="shared" si="4"/>
        <v>33731</v>
      </c>
      <c r="P78" s="557">
        <f t="shared" si="5"/>
        <v>33731</v>
      </c>
      <c r="Q78" s="557">
        <f t="shared" si="6"/>
        <v>33731</v>
      </c>
      <c r="Y78" s="370"/>
      <c r="Z78" s="372"/>
    </row>
    <row r="79" spans="1:26" s="371" customFormat="1" ht="15.75" hidden="1">
      <c r="A79" s="944"/>
      <c r="B79" s="158">
        <v>0.8</v>
      </c>
      <c r="C79" s="345">
        <f t="shared" si="0"/>
        <v>38103</v>
      </c>
      <c r="D79" s="896">
        <v>38103</v>
      </c>
      <c r="E79" s="897">
        <v>33125</v>
      </c>
      <c r="F79" s="897">
        <v>35698</v>
      </c>
      <c r="G79" s="897">
        <v>30972</v>
      </c>
      <c r="H79" s="897">
        <v>29552</v>
      </c>
      <c r="I79" s="897">
        <v>24469</v>
      </c>
      <c r="J79" s="897">
        <v>46582</v>
      </c>
      <c r="K79" s="897">
        <v>39748</v>
      </c>
      <c r="L79" s="458">
        <f t="shared" si="1"/>
        <v>46582</v>
      </c>
      <c r="M79" s="557">
        <f t="shared" si="2"/>
        <v>38103</v>
      </c>
      <c r="N79" s="557">
        <f t="shared" si="3"/>
        <v>38103</v>
      </c>
      <c r="O79" s="557">
        <f t="shared" si="4"/>
        <v>38103</v>
      </c>
      <c r="P79" s="557">
        <f t="shared" si="5"/>
        <v>38103</v>
      </c>
      <c r="Q79" s="557">
        <f t="shared" si="6"/>
        <v>38103</v>
      </c>
      <c r="Y79" s="370"/>
      <c r="Z79" s="372"/>
    </row>
    <row r="80" spans="1:26" s="371" customFormat="1" ht="15.75" hidden="1">
      <c r="A80" s="944"/>
      <c r="B80" s="158">
        <v>1</v>
      </c>
      <c r="C80" s="345">
        <f t="shared" si="0"/>
        <v>44400</v>
      </c>
      <c r="D80" s="896">
        <v>44400</v>
      </c>
      <c r="E80" s="897">
        <v>37702</v>
      </c>
      <c r="F80" s="897">
        <v>36439</v>
      </c>
      <c r="G80" s="897">
        <v>30467</v>
      </c>
      <c r="H80" s="897">
        <v>31098</v>
      </c>
      <c r="I80" s="897">
        <v>24469</v>
      </c>
      <c r="J80" s="897">
        <v>48413</v>
      </c>
      <c r="K80" s="897">
        <v>40505</v>
      </c>
      <c r="L80" s="458">
        <f t="shared" si="1"/>
        <v>48413</v>
      </c>
      <c r="M80" s="557">
        <f t="shared" si="2"/>
        <v>44400</v>
      </c>
      <c r="N80" s="557">
        <f t="shared" si="3"/>
        <v>44400</v>
      </c>
      <c r="O80" s="557">
        <f t="shared" si="4"/>
        <v>44400</v>
      </c>
      <c r="P80" s="557">
        <f t="shared" si="5"/>
        <v>44400</v>
      </c>
      <c r="Q80" s="557">
        <f t="shared" si="6"/>
        <v>44400</v>
      </c>
      <c r="Y80" s="370"/>
      <c r="Z80" s="372"/>
    </row>
    <row r="81" spans="1:26" s="371" customFormat="1" ht="15.75" hidden="1">
      <c r="A81" s="944"/>
      <c r="B81" s="158">
        <v>1.1</v>
      </c>
      <c r="C81" s="345">
        <f t="shared" si="0"/>
        <v>48267</v>
      </c>
      <c r="D81" s="896">
        <v>48267</v>
      </c>
      <c r="E81" s="897">
        <v>40796</v>
      </c>
      <c r="F81" s="897">
        <v>35597</v>
      </c>
      <c r="G81" s="897">
        <v>30467</v>
      </c>
      <c r="H81" s="897">
        <v>31619</v>
      </c>
      <c r="I81" s="897">
        <v>24975</v>
      </c>
      <c r="J81" s="897">
        <v>49691</v>
      </c>
      <c r="K81" s="897">
        <v>41279</v>
      </c>
      <c r="L81" s="458">
        <f t="shared" si="1"/>
        <v>49691</v>
      </c>
      <c r="M81" s="557">
        <f t="shared" si="2"/>
        <v>48267</v>
      </c>
      <c r="N81" s="557">
        <f t="shared" si="3"/>
        <v>48267</v>
      </c>
      <c r="O81" s="557">
        <f t="shared" si="4"/>
        <v>48267</v>
      </c>
      <c r="P81" s="557">
        <f t="shared" si="5"/>
        <v>48267</v>
      </c>
      <c r="Q81" s="557">
        <f t="shared" si="6"/>
        <v>48267</v>
      </c>
      <c r="Y81" s="370"/>
      <c r="Z81" s="372"/>
    </row>
    <row r="82" spans="1:26" s="371" customFormat="1" ht="16.5" hidden="1" thickBot="1">
      <c r="A82" s="944"/>
      <c r="B82" s="159">
        <v>1.2</v>
      </c>
      <c r="C82" s="345">
        <f t="shared" si="0"/>
        <v>49498</v>
      </c>
      <c r="D82" s="896">
        <v>49498</v>
      </c>
      <c r="E82" s="897">
        <v>41553</v>
      </c>
      <c r="F82" s="897">
        <v>38122</v>
      </c>
      <c r="G82" s="897">
        <v>30720</v>
      </c>
      <c r="H82" s="897">
        <v>32124</v>
      </c>
      <c r="I82" s="897">
        <v>24975</v>
      </c>
      <c r="J82" s="897">
        <v>49944</v>
      </c>
      <c r="K82" s="897">
        <v>41583</v>
      </c>
      <c r="L82" s="458">
        <f t="shared" si="1"/>
        <v>49944</v>
      </c>
      <c r="M82" s="557">
        <f t="shared" si="2"/>
        <v>49498</v>
      </c>
      <c r="N82" s="557">
        <f t="shared" si="3"/>
        <v>49498</v>
      </c>
      <c r="O82" s="557">
        <f t="shared" si="4"/>
        <v>49498</v>
      </c>
      <c r="P82" s="557">
        <f t="shared" si="5"/>
        <v>49498</v>
      </c>
      <c r="Q82" s="557">
        <f t="shared" si="6"/>
        <v>49498</v>
      </c>
      <c r="Y82" s="370"/>
      <c r="Z82" s="372"/>
    </row>
    <row r="83" spans="1:26" s="371" customFormat="1" ht="15.75" hidden="1">
      <c r="A83" s="944"/>
      <c r="B83" s="118"/>
      <c r="C83" s="455"/>
      <c r="D83" s="505"/>
      <c r="E83" s="473"/>
      <c r="F83" s="473"/>
      <c r="G83" s="473"/>
      <c r="H83" s="473"/>
      <c r="I83" s="473"/>
      <c r="J83" s="473"/>
      <c r="K83" s="473"/>
      <c r="L83" s="381"/>
      <c r="M83" s="95"/>
      <c r="N83" s="95"/>
      <c r="O83" s="95"/>
      <c r="P83" s="95"/>
      <c r="Q83" s="95"/>
      <c r="Y83" s="370"/>
      <c r="Z83" s="372"/>
    </row>
    <row r="84" spans="1:26" s="371" customFormat="1" ht="15.75" hidden="1">
      <c r="A84" s="944"/>
      <c r="B84" s="118"/>
      <c r="C84" s="455"/>
      <c r="D84" s="505"/>
      <c r="E84" s="473"/>
      <c r="F84" s="473"/>
      <c r="G84" s="473"/>
      <c r="H84" s="473"/>
      <c r="I84" s="473"/>
      <c r="J84" s="473"/>
      <c r="K84" s="473"/>
      <c r="L84" s="381"/>
      <c r="M84" s="95"/>
      <c r="N84" s="95"/>
      <c r="O84" s="95"/>
      <c r="P84" s="95"/>
      <c r="Q84" s="95"/>
      <c r="Y84" s="370"/>
      <c r="Z84" s="372"/>
    </row>
    <row r="85" spans="1:26" s="371" customFormat="1" ht="24" hidden="1" thickBot="1">
      <c r="A85" s="944"/>
      <c r="B85" s="10"/>
      <c r="C85" s="456"/>
      <c r="D85" s="502"/>
      <c r="E85" s="479"/>
      <c r="F85" s="456"/>
      <c r="G85" s="457"/>
      <c r="H85" s="10"/>
      <c r="I85" s="10"/>
      <c r="J85" s="10"/>
      <c r="K85" s="456"/>
      <c r="L85" s="10"/>
      <c r="M85" s="10"/>
      <c r="N85" s="10"/>
      <c r="O85" s="10"/>
      <c r="P85" s="10"/>
      <c r="Q85" s="10"/>
      <c r="Y85" s="370"/>
      <c r="Z85" s="372"/>
    </row>
    <row r="86" spans="1:26" s="371" customFormat="1" ht="17.25" hidden="1" thickBot="1" thickTop="1">
      <c r="A86" s="944"/>
      <c r="B86" s="10"/>
      <c r="C86" s="342"/>
      <c r="D86" s="503"/>
      <c r="E86" s="480"/>
      <c r="F86" s="343"/>
      <c r="G86" s="344"/>
      <c r="H86" s="343"/>
      <c r="I86" s="343"/>
      <c r="J86" s="343"/>
      <c r="K86" s="343"/>
      <c r="L86" s="96"/>
      <c r="M86" s="96"/>
      <c r="N86" s="96"/>
      <c r="O86" s="96"/>
      <c r="P86" s="96"/>
      <c r="Q86" s="96"/>
      <c r="Y86" s="370"/>
      <c r="Z86" s="372"/>
    </row>
    <row r="87" spans="1:26" s="371" customFormat="1" ht="15.75" hidden="1">
      <c r="A87" s="944"/>
      <c r="B87" s="156"/>
      <c r="C87" s="345"/>
      <c r="D87" s="463"/>
      <c r="E87" s="463"/>
      <c r="F87" s="463"/>
      <c r="G87" s="463"/>
      <c r="H87" s="463"/>
      <c r="I87" s="463"/>
      <c r="J87" s="463"/>
      <c r="K87" s="463"/>
      <c r="L87" s="458"/>
      <c r="M87" s="557"/>
      <c r="N87" s="557"/>
      <c r="O87" s="557"/>
      <c r="P87" s="557"/>
      <c r="Q87" s="557"/>
      <c r="Y87" s="370"/>
      <c r="Z87" s="372"/>
    </row>
    <row r="88" spans="1:26" s="371" customFormat="1" ht="15.75" hidden="1">
      <c r="A88" s="944"/>
      <c r="B88" s="157"/>
      <c r="C88" s="345"/>
      <c r="D88" s="463"/>
      <c r="E88" s="463"/>
      <c r="F88" s="463"/>
      <c r="G88" s="463"/>
      <c r="H88" s="463"/>
      <c r="I88" s="463"/>
      <c r="J88" s="463"/>
      <c r="K88" s="463"/>
      <c r="L88" s="458"/>
      <c r="M88" s="557"/>
      <c r="N88" s="557"/>
      <c r="O88" s="557"/>
      <c r="P88" s="557"/>
      <c r="Q88" s="557"/>
      <c r="Y88" s="370"/>
      <c r="Z88" s="372"/>
    </row>
    <row r="89" spans="1:26" s="371" customFormat="1" ht="15.75" hidden="1">
      <c r="A89" s="944"/>
      <c r="B89" s="158"/>
      <c r="C89" s="345"/>
      <c r="D89" s="463"/>
      <c r="E89" s="463"/>
      <c r="F89" s="463"/>
      <c r="G89" s="463"/>
      <c r="H89" s="463"/>
      <c r="I89" s="463"/>
      <c r="J89" s="463"/>
      <c r="K89" s="463"/>
      <c r="L89" s="458"/>
      <c r="M89" s="557"/>
      <c r="N89" s="557"/>
      <c r="O89" s="557"/>
      <c r="P89" s="557"/>
      <c r="Q89" s="557"/>
      <c r="Y89" s="370"/>
      <c r="Z89" s="372"/>
    </row>
    <row r="90" spans="1:26" s="371" customFormat="1" ht="15.75" hidden="1">
      <c r="A90" s="944"/>
      <c r="B90" s="158"/>
      <c r="C90" s="345"/>
      <c r="D90" s="463"/>
      <c r="E90" s="463"/>
      <c r="F90" s="463"/>
      <c r="G90" s="463"/>
      <c r="H90" s="463"/>
      <c r="I90" s="463"/>
      <c r="J90" s="463"/>
      <c r="K90" s="463"/>
      <c r="L90" s="458"/>
      <c r="M90" s="557"/>
      <c r="N90" s="557"/>
      <c r="O90" s="557"/>
      <c r="P90" s="557"/>
      <c r="Q90" s="557"/>
      <c r="Y90" s="370"/>
      <c r="Z90" s="372"/>
    </row>
    <row r="91" spans="1:26" s="371" customFormat="1" ht="15.75" hidden="1">
      <c r="A91" s="944"/>
      <c r="B91" s="158"/>
      <c r="C91" s="345"/>
      <c r="D91" s="463"/>
      <c r="E91" s="463"/>
      <c r="F91" s="463"/>
      <c r="G91" s="463"/>
      <c r="H91" s="463"/>
      <c r="I91" s="463"/>
      <c r="J91" s="463"/>
      <c r="K91" s="463"/>
      <c r="L91" s="458"/>
      <c r="M91" s="557"/>
      <c r="N91" s="557"/>
      <c r="O91" s="557"/>
      <c r="P91" s="557"/>
      <c r="Q91" s="557"/>
      <c r="Y91" s="370"/>
      <c r="Z91" s="372"/>
    </row>
    <row r="92" spans="1:26" s="371" customFormat="1" ht="15.75" hidden="1">
      <c r="A92" s="944"/>
      <c r="B92" s="158"/>
      <c r="C92" s="345"/>
      <c r="D92" s="463"/>
      <c r="E92" s="463"/>
      <c r="F92" s="463"/>
      <c r="G92" s="463"/>
      <c r="H92" s="463"/>
      <c r="I92" s="463"/>
      <c r="J92" s="463"/>
      <c r="K92" s="463"/>
      <c r="L92" s="458"/>
      <c r="M92" s="557"/>
      <c r="N92" s="557"/>
      <c r="O92" s="557"/>
      <c r="P92" s="557"/>
      <c r="Q92" s="557"/>
      <c r="Y92" s="370"/>
      <c r="Z92" s="372"/>
    </row>
    <row r="93" spans="1:26" s="371" customFormat="1" ht="15.75" hidden="1">
      <c r="A93" s="944"/>
      <c r="B93" s="158"/>
      <c r="C93" s="345"/>
      <c r="D93" s="463"/>
      <c r="E93" s="463"/>
      <c r="F93" s="463"/>
      <c r="G93" s="463"/>
      <c r="H93" s="463"/>
      <c r="I93" s="463"/>
      <c r="J93" s="463"/>
      <c r="K93" s="463"/>
      <c r="L93" s="458"/>
      <c r="M93" s="557"/>
      <c r="N93" s="557"/>
      <c r="O93" s="557"/>
      <c r="P93" s="557"/>
      <c r="Q93" s="557"/>
      <c r="Y93" s="370"/>
      <c r="Z93" s="372"/>
    </row>
    <row r="94" spans="1:26" s="371" customFormat="1" ht="15.75" hidden="1">
      <c r="A94" s="944"/>
      <c r="B94" s="158"/>
      <c r="C94" s="345"/>
      <c r="D94" s="463"/>
      <c r="E94" s="463"/>
      <c r="F94" s="463"/>
      <c r="G94" s="463"/>
      <c r="H94" s="463"/>
      <c r="I94" s="463"/>
      <c r="J94" s="463"/>
      <c r="K94" s="463"/>
      <c r="L94" s="458"/>
      <c r="M94" s="557"/>
      <c r="N94" s="557"/>
      <c r="O94" s="557"/>
      <c r="P94" s="557"/>
      <c r="Q94" s="557"/>
      <c r="Y94" s="370"/>
      <c r="Z94" s="372"/>
    </row>
    <row r="95" spans="1:26" s="371" customFormat="1" ht="15.75" hidden="1">
      <c r="A95" s="944"/>
      <c r="B95" s="158"/>
      <c r="C95" s="345"/>
      <c r="D95" s="463"/>
      <c r="E95" s="463"/>
      <c r="F95" s="463"/>
      <c r="G95" s="463"/>
      <c r="H95" s="463"/>
      <c r="I95" s="463"/>
      <c r="J95" s="463"/>
      <c r="K95" s="463"/>
      <c r="L95" s="458"/>
      <c r="M95" s="557"/>
      <c r="N95" s="557"/>
      <c r="O95" s="557"/>
      <c r="P95" s="557"/>
      <c r="Q95" s="557"/>
      <c r="Y95" s="370"/>
      <c r="Z95" s="372"/>
    </row>
    <row r="96" spans="1:26" s="371" customFormat="1" ht="15.75" hidden="1">
      <c r="A96" s="944"/>
      <c r="B96" s="158"/>
      <c r="C96" s="345"/>
      <c r="D96" s="463"/>
      <c r="E96" s="463"/>
      <c r="F96" s="463"/>
      <c r="G96" s="463"/>
      <c r="H96" s="463"/>
      <c r="I96" s="463"/>
      <c r="J96" s="463"/>
      <c r="K96" s="463"/>
      <c r="L96" s="458"/>
      <c r="M96" s="557"/>
      <c r="N96" s="557"/>
      <c r="O96" s="557"/>
      <c r="P96" s="557"/>
      <c r="Q96" s="557"/>
      <c r="Y96" s="370"/>
      <c r="Z96" s="372"/>
    </row>
    <row r="97" spans="1:26" s="371" customFormat="1" ht="15.75" hidden="1">
      <c r="A97" s="944"/>
      <c r="B97" s="158"/>
      <c r="C97" s="345"/>
      <c r="D97" s="463"/>
      <c r="E97" s="463"/>
      <c r="F97" s="463"/>
      <c r="G97" s="463"/>
      <c r="H97" s="463"/>
      <c r="I97" s="463"/>
      <c r="J97" s="463"/>
      <c r="K97" s="463"/>
      <c r="L97" s="458"/>
      <c r="M97" s="557"/>
      <c r="N97" s="557"/>
      <c r="O97" s="557"/>
      <c r="P97" s="557"/>
      <c r="Q97" s="557"/>
      <c r="Y97" s="370"/>
      <c r="Z97" s="372"/>
    </row>
    <row r="98" spans="1:26" s="371" customFormat="1" ht="16.5" hidden="1" thickBot="1">
      <c r="A98" s="944"/>
      <c r="B98" s="159"/>
      <c r="C98" s="345"/>
      <c r="D98" s="463"/>
      <c r="E98" s="463"/>
      <c r="F98" s="463"/>
      <c r="G98" s="463"/>
      <c r="H98" s="463"/>
      <c r="I98" s="463"/>
      <c r="J98" s="463"/>
      <c r="K98" s="463"/>
      <c r="L98" s="458"/>
      <c r="M98" s="557"/>
      <c r="N98" s="557"/>
      <c r="O98" s="557"/>
      <c r="P98" s="557"/>
      <c r="Q98" s="557"/>
      <c r="Y98" s="370"/>
      <c r="Z98" s="372"/>
    </row>
    <row r="99" spans="1:26" s="371" customFormat="1" ht="15.75" hidden="1">
      <c r="A99" s="944"/>
      <c r="B99" s="373"/>
      <c r="C99" s="370"/>
      <c r="D99" s="504"/>
      <c r="E99" s="370"/>
      <c r="F99" s="370"/>
      <c r="G99" s="369"/>
      <c r="H99" s="370"/>
      <c r="I99" s="370"/>
      <c r="J99" s="370"/>
      <c r="K99" s="370"/>
      <c r="Y99" s="370"/>
      <c r="Z99" s="372"/>
    </row>
    <row r="100" spans="1:26" s="371" customFormat="1" ht="15.75" hidden="1">
      <c r="A100" s="944"/>
      <c r="B100" s="373"/>
      <c r="C100" s="370"/>
      <c r="D100" s="504"/>
      <c r="E100" s="370"/>
      <c r="F100" s="370"/>
      <c r="G100" s="369"/>
      <c r="H100" s="370"/>
      <c r="I100" s="370"/>
      <c r="J100" s="370"/>
      <c r="K100" s="370"/>
      <c r="Y100" s="370"/>
      <c r="Z100" s="372"/>
    </row>
    <row r="101" spans="1:26" s="371" customFormat="1" ht="24" hidden="1" thickBot="1">
      <c r="A101" s="944"/>
      <c r="B101" s="10"/>
      <c r="C101" s="456"/>
      <c r="D101" s="502"/>
      <c r="E101" s="479"/>
      <c r="F101" s="456"/>
      <c r="G101" s="457"/>
      <c r="H101" s="10"/>
      <c r="I101" s="10"/>
      <c r="J101" s="10"/>
      <c r="K101" s="456"/>
      <c r="L101" s="10"/>
      <c r="M101" s="10"/>
      <c r="N101" s="10"/>
      <c r="O101" s="10"/>
      <c r="P101" s="10"/>
      <c r="Q101" s="10"/>
      <c r="Y101" s="370"/>
      <c r="Z101" s="372"/>
    </row>
    <row r="102" spans="1:26" s="371" customFormat="1" ht="17.25" hidden="1" thickBot="1" thickTop="1">
      <c r="A102" s="944"/>
      <c r="B102" s="10"/>
      <c r="C102" s="342"/>
      <c r="D102" s="503"/>
      <c r="E102" s="480"/>
      <c r="F102" s="343"/>
      <c r="G102" s="344"/>
      <c r="H102" s="343"/>
      <c r="I102" s="343"/>
      <c r="J102" s="343"/>
      <c r="K102" s="343"/>
      <c r="L102" s="96"/>
      <c r="M102" s="96"/>
      <c r="N102" s="96"/>
      <c r="O102" s="96"/>
      <c r="P102" s="96"/>
      <c r="Q102" s="96"/>
      <c r="Y102" s="370"/>
      <c r="Z102" s="372"/>
    </row>
    <row r="103" spans="1:26" s="371" customFormat="1" ht="16.5" hidden="1" thickBot="1">
      <c r="A103" s="944"/>
      <c r="B103" s="156"/>
      <c r="C103" s="345"/>
      <c r="D103" s="651"/>
      <c r="E103" s="651"/>
      <c r="F103" s="651"/>
      <c r="G103" s="651"/>
      <c r="H103" s="651"/>
      <c r="I103" s="651"/>
      <c r="J103" s="651"/>
      <c r="K103" s="651"/>
      <c r="L103" s="458"/>
      <c r="M103" s="557"/>
      <c r="N103" s="557"/>
      <c r="O103" s="557"/>
      <c r="P103" s="557"/>
      <c r="Q103" s="557"/>
      <c r="Y103" s="370"/>
      <c r="Z103" s="372"/>
    </row>
    <row r="104" spans="1:26" s="371" customFormat="1" ht="16.5" hidden="1" thickBot="1">
      <c r="A104" s="944"/>
      <c r="B104" s="157"/>
      <c r="C104" s="345"/>
      <c r="D104" s="652"/>
      <c r="E104" s="653"/>
      <c r="F104" s="653"/>
      <c r="G104" s="653"/>
      <c r="H104" s="653"/>
      <c r="I104" s="653"/>
      <c r="J104" s="653"/>
      <c r="K104" s="653"/>
      <c r="L104" s="458"/>
      <c r="M104" s="557"/>
      <c r="N104" s="557"/>
      <c r="O104" s="557"/>
      <c r="P104" s="557"/>
      <c r="Q104" s="557"/>
      <c r="Y104" s="370"/>
      <c r="Z104" s="372"/>
    </row>
    <row r="105" spans="1:26" s="371" customFormat="1" ht="16.5" hidden="1" thickBot="1">
      <c r="A105" s="944"/>
      <c r="B105" s="158"/>
      <c r="C105" s="345"/>
      <c r="D105" s="652"/>
      <c r="E105" s="653"/>
      <c r="F105" s="653"/>
      <c r="G105" s="653"/>
      <c r="H105" s="653"/>
      <c r="I105" s="653"/>
      <c r="J105" s="653"/>
      <c r="K105" s="653"/>
      <c r="L105" s="458"/>
      <c r="M105" s="557"/>
      <c r="N105" s="557"/>
      <c r="O105" s="557"/>
      <c r="P105" s="557"/>
      <c r="Q105" s="557"/>
      <c r="Y105" s="370"/>
      <c r="Z105" s="372"/>
    </row>
    <row r="106" spans="1:26" s="371" customFormat="1" ht="16.5" hidden="1" thickBot="1">
      <c r="A106" s="944"/>
      <c r="B106" s="158"/>
      <c r="C106" s="345"/>
      <c r="D106" s="652"/>
      <c r="E106" s="653"/>
      <c r="F106" s="653"/>
      <c r="G106" s="653"/>
      <c r="H106" s="653"/>
      <c r="I106" s="653"/>
      <c r="J106" s="653"/>
      <c r="K106" s="653"/>
      <c r="L106" s="458"/>
      <c r="M106" s="557"/>
      <c r="N106" s="557"/>
      <c r="O106" s="557"/>
      <c r="P106" s="557"/>
      <c r="Q106" s="557"/>
      <c r="Y106" s="370"/>
      <c r="Z106" s="372"/>
    </row>
    <row r="107" spans="1:26" s="371" customFormat="1" ht="16.5" hidden="1" thickBot="1">
      <c r="A107" s="944"/>
      <c r="B107" s="158"/>
      <c r="C107" s="345"/>
      <c r="D107" s="652"/>
      <c r="E107" s="653"/>
      <c r="F107" s="653"/>
      <c r="G107" s="653"/>
      <c r="H107" s="653"/>
      <c r="I107" s="653"/>
      <c r="J107" s="653"/>
      <c r="K107" s="653"/>
      <c r="L107" s="458"/>
      <c r="M107" s="557"/>
      <c r="N107" s="557"/>
      <c r="O107" s="557"/>
      <c r="P107" s="557"/>
      <c r="Q107" s="557"/>
      <c r="Y107" s="370"/>
      <c r="Z107" s="372"/>
    </row>
    <row r="108" spans="1:26" s="371" customFormat="1" ht="16.5" hidden="1" thickBot="1">
      <c r="A108" s="944"/>
      <c r="B108" s="158"/>
      <c r="C108" s="345"/>
      <c r="D108" s="652"/>
      <c r="E108" s="653"/>
      <c r="F108" s="653"/>
      <c r="G108" s="653"/>
      <c r="H108" s="653"/>
      <c r="I108" s="653"/>
      <c r="J108" s="653"/>
      <c r="K108" s="653"/>
      <c r="L108" s="458"/>
      <c r="M108" s="557"/>
      <c r="N108" s="557"/>
      <c r="O108" s="557"/>
      <c r="P108" s="557"/>
      <c r="Q108" s="557"/>
      <c r="Y108" s="370"/>
      <c r="Z108" s="372"/>
    </row>
    <row r="109" spans="1:26" s="371" customFormat="1" ht="16.5" hidden="1" thickBot="1">
      <c r="A109" s="944"/>
      <c r="B109" s="158"/>
      <c r="C109" s="345"/>
      <c r="D109" s="652"/>
      <c r="E109" s="653"/>
      <c r="F109" s="653"/>
      <c r="G109" s="653"/>
      <c r="H109" s="653"/>
      <c r="I109" s="653"/>
      <c r="J109" s="653"/>
      <c r="K109" s="653"/>
      <c r="L109" s="458"/>
      <c r="M109" s="557"/>
      <c r="N109" s="557"/>
      <c r="O109" s="557"/>
      <c r="P109" s="557"/>
      <c r="Q109" s="557"/>
      <c r="Y109" s="370"/>
      <c r="Z109" s="372"/>
    </row>
    <row r="110" spans="1:26" s="371" customFormat="1" ht="16.5" hidden="1" thickBot="1">
      <c r="A110" s="944"/>
      <c r="B110" s="158"/>
      <c r="C110" s="345"/>
      <c r="D110" s="652"/>
      <c r="E110" s="653"/>
      <c r="F110" s="653"/>
      <c r="G110" s="653"/>
      <c r="H110" s="653"/>
      <c r="I110" s="653"/>
      <c r="J110" s="653"/>
      <c r="K110" s="653"/>
      <c r="L110" s="458"/>
      <c r="M110" s="557"/>
      <c r="N110" s="557"/>
      <c r="O110" s="557"/>
      <c r="P110" s="557"/>
      <c r="Q110" s="557"/>
      <c r="Y110" s="370"/>
      <c r="Z110" s="372"/>
    </row>
    <row r="111" spans="1:26" s="371" customFormat="1" ht="16.5" hidden="1" thickBot="1">
      <c r="A111" s="944"/>
      <c r="B111" s="158"/>
      <c r="C111" s="345"/>
      <c r="D111" s="652"/>
      <c r="E111" s="653"/>
      <c r="F111" s="653"/>
      <c r="G111" s="653"/>
      <c r="H111" s="653"/>
      <c r="I111" s="653"/>
      <c r="J111" s="653"/>
      <c r="K111" s="653"/>
      <c r="L111" s="458"/>
      <c r="M111" s="557"/>
      <c r="N111" s="557"/>
      <c r="O111" s="557"/>
      <c r="P111" s="557"/>
      <c r="Q111" s="557"/>
      <c r="Y111" s="370"/>
      <c r="Z111" s="372"/>
    </row>
    <row r="112" spans="1:26" s="371" customFormat="1" ht="16.5" hidden="1" thickBot="1">
      <c r="A112" s="944"/>
      <c r="B112" s="158"/>
      <c r="C112" s="345"/>
      <c r="D112" s="652"/>
      <c r="E112" s="653"/>
      <c r="F112" s="653"/>
      <c r="G112" s="653"/>
      <c r="H112" s="653"/>
      <c r="I112" s="653"/>
      <c r="J112" s="653"/>
      <c r="K112" s="653"/>
      <c r="L112" s="458"/>
      <c r="M112" s="557"/>
      <c r="N112" s="557"/>
      <c r="O112" s="557"/>
      <c r="P112" s="557"/>
      <c r="Q112" s="557"/>
      <c r="Y112" s="370"/>
      <c r="Z112" s="372"/>
    </row>
    <row r="113" spans="1:26" s="371" customFormat="1" ht="16.5" hidden="1" thickBot="1">
      <c r="A113" s="944"/>
      <c r="B113" s="158"/>
      <c r="C113" s="345"/>
      <c r="D113" s="652"/>
      <c r="E113" s="653"/>
      <c r="F113" s="653"/>
      <c r="G113" s="653"/>
      <c r="H113" s="653"/>
      <c r="I113" s="653"/>
      <c r="J113" s="653"/>
      <c r="K113" s="653"/>
      <c r="L113" s="458"/>
      <c r="M113" s="557"/>
      <c r="N113" s="557"/>
      <c r="O113" s="557"/>
      <c r="P113" s="557"/>
      <c r="Q113" s="557"/>
      <c r="Y113" s="370"/>
      <c r="Z113" s="372"/>
    </row>
    <row r="114" spans="1:26" s="371" customFormat="1" ht="16.5" hidden="1" thickBot="1">
      <c r="A114" s="944"/>
      <c r="B114" s="159"/>
      <c r="C114" s="345"/>
      <c r="D114" s="652"/>
      <c r="E114" s="653"/>
      <c r="F114" s="653"/>
      <c r="G114" s="653"/>
      <c r="H114" s="653"/>
      <c r="I114" s="653"/>
      <c r="J114" s="653"/>
      <c r="K114" s="653"/>
      <c r="L114" s="458"/>
      <c r="M114" s="557"/>
      <c r="N114" s="557"/>
      <c r="O114" s="557"/>
      <c r="P114" s="557"/>
      <c r="Q114" s="557"/>
      <c r="Y114" s="370"/>
      <c r="Z114" s="372"/>
    </row>
    <row r="115" spans="1:26" s="371" customFormat="1" ht="15.75" hidden="1">
      <c r="A115" s="944"/>
      <c r="B115" s="373"/>
      <c r="C115" s="370"/>
      <c r="D115" s="504"/>
      <c r="E115" s="370"/>
      <c r="F115" s="370"/>
      <c r="G115" s="369"/>
      <c r="H115" s="370"/>
      <c r="I115" s="370"/>
      <c r="J115" s="370"/>
      <c r="K115" s="370"/>
      <c r="Y115" s="370"/>
      <c r="Z115" s="372"/>
    </row>
    <row r="116" spans="1:26" s="47" customFormat="1" ht="15.75" hidden="1">
      <c r="A116" s="942"/>
      <c r="B116" s="42"/>
      <c r="C116" s="95"/>
      <c r="D116" s="506"/>
      <c r="E116" s="11"/>
      <c r="F116" s="11"/>
      <c r="G116" s="48"/>
      <c r="H116" s="11"/>
      <c r="I116" s="11"/>
      <c r="J116" s="11"/>
      <c r="K116" s="11"/>
      <c r="Y116" s="11"/>
      <c r="Z116" s="142"/>
    </row>
    <row r="117" spans="1:25" ht="15.75">
      <c r="A117" s="223"/>
      <c r="B117" s="226"/>
      <c r="C117" s="227"/>
      <c r="D117" s="507"/>
      <c r="E117" s="227"/>
      <c r="F117" s="403"/>
      <c r="G117" s="227"/>
      <c r="H117" s="227"/>
      <c r="I117" s="226"/>
      <c r="J117" s="227"/>
      <c r="K117" s="227"/>
      <c r="X117" s="11"/>
      <c r="Y117" s="142"/>
    </row>
    <row r="118" spans="1:25" ht="26.25">
      <c r="A118" s="11"/>
      <c r="B118" s="124"/>
      <c r="C118" s="774" t="s">
        <v>318</v>
      </c>
      <c r="D118" s="493"/>
      <c r="E118" s="119"/>
      <c r="F118" s="339"/>
      <c r="G118" s="283" t="s">
        <v>318</v>
      </c>
      <c r="H118" s="124"/>
      <c r="I118" s="124"/>
      <c r="J118" s="283" t="s">
        <v>318</v>
      </c>
      <c r="K118" s="124"/>
      <c r="Q118" s="788"/>
      <c r="R118" s="789"/>
      <c r="X118" s="11"/>
      <c r="Y118" s="142"/>
    </row>
    <row r="119" spans="1:25" ht="16.5" thickBot="1">
      <c r="A119" s="11"/>
      <c r="B119" s="11"/>
      <c r="C119" s="11"/>
      <c r="D119" s="499"/>
      <c r="E119" s="11"/>
      <c r="F119" s="11"/>
      <c r="G119" s="48"/>
      <c r="H119" s="11"/>
      <c r="I119" s="2"/>
      <c r="J119" s="2"/>
      <c r="Q119" s="788"/>
      <c r="R119" s="789"/>
      <c r="X119" s="11"/>
      <c r="Y119" s="142"/>
    </row>
    <row r="120" spans="1:24" ht="15.75">
      <c r="A120" s="97" t="s">
        <v>30</v>
      </c>
      <c r="B120" s="410" t="s">
        <v>309</v>
      </c>
      <c r="C120" s="410" t="s">
        <v>310</v>
      </c>
      <c r="D120" s="508" t="s">
        <v>311</v>
      </c>
      <c r="E120" s="481" t="s">
        <v>312</v>
      </c>
      <c r="F120" s="411" t="s">
        <v>474</v>
      </c>
      <c r="G120" s="412" t="s">
        <v>472</v>
      </c>
      <c r="H120" s="73" t="s">
        <v>476</v>
      </c>
      <c r="I120" s="406" t="s">
        <v>513</v>
      </c>
      <c r="J120" s="413"/>
      <c r="K120" s="413"/>
      <c r="L120" s="413"/>
      <c r="P120" s="790"/>
      <c r="Q120" s="791"/>
      <c r="W120" s="11"/>
      <c r="X120" s="142"/>
    </row>
    <row r="121" spans="1:24" ht="16.5" thickBot="1">
      <c r="A121" s="224">
        <v>749</v>
      </c>
      <c r="B121" s="415">
        <f>LOOKUP(A121,numerocargo,punbascargo)</f>
        <v>971</v>
      </c>
      <c r="C121" s="415">
        <f>LOOKUP(A121,numerocargo,tardif)</f>
        <v>0</v>
      </c>
      <c r="D121" s="509">
        <f>LOOKUP(A121,numerocargo,proljor)</f>
        <v>0</v>
      </c>
      <c r="E121" s="482">
        <f>LOOKUP(A121,numerocargo,jorcom)</f>
        <v>0</v>
      </c>
      <c r="F121" s="416">
        <f>LOOKUP(A121,numerocargo,puntoscompbas2015)</f>
        <v>350</v>
      </c>
      <c r="G121" s="379">
        <f>LOOKUP(A121,numerocargo,adicdir2016)</f>
        <v>0</v>
      </c>
      <c r="H121" s="36">
        <f>IF(AND(nina=1,LOOKUP(A121,numerocargo,adicnina)&gt;0),LOOKUP(A121,numerocargo,adicnina),0)</f>
        <v>0</v>
      </c>
      <c r="I121" s="406">
        <f>LOOKUP(A121,numerocargo,adicdir2022)</f>
        <v>0</v>
      </c>
      <c r="J121" s="413"/>
      <c r="K121" s="413"/>
      <c r="L121" s="413"/>
      <c r="P121" s="788"/>
      <c r="Q121" s="789"/>
      <c r="W121" s="11"/>
      <c r="X121" s="142"/>
    </row>
    <row r="122" spans="2:25" ht="16.5" thickBot="1">
      <c r="B122" s="418" t="str">
        <f>LOOKUP(A121,Cargos!A3:A336,Cargos!B3:B336)</f>
        <v> MAESTRO DE GRADO</v>
      </c>
      <c r="C122" s="404"/>
      <c r="D122" s="510"/>
      <c r="E122" s="483"/>
      <c r="F122" s="379"/>
      <c r="G122" s="411" t="s">
        <v>474</v>
      </c>
      <c r="H122" s="419"/>
      <c r="I122" s="414"/>
      <c r="J122" s="816"/>
      <c r="K122" s="817"/>
      <c r="L122" s="413"/>
      <c r="M122" s="413"/>
      <c r="Q122" s="790"/>
      <c r="R122" s="792"/>
      <c r="X122" s="11"/>
      <c r="Y122" s="142"/>
    </row>
    <row r="123" spans="2:24" ht="17.25" thickBot="1" thickTop="1">
      <c r="B123" s="424" t="s">
        <v>332</v>
      </c>
      <c r="C123" s="379"/>
      <c r="D123" s="511"/>
      <c r="E123" s="379"/>
      <c r="F123" s="420" t="s">
        <v>330</v>
      </c>
      <c r="G123" s="416">
        <f>LOOKUP(A121,numerocargo,puntoscompbas2016)</f>
        <v>414.7</v>
      </c>
      <c r="H123" s="421"/>
      <c r="I123" s="414"/>
      <c r="Q123" s="788"/>
      <c r="R123" s="789"/>
      <c r="W123" s="11"/>
      <c r="X123" s="142"/>
    </row>
    <row r="124" spans="1:24" ht="17.25" thickBot="1" thickTop="1">
      <c r="A124" s="95"/>
      <c r="B124" s="425">
        <v>0</v>
      </c>
      <c r="E124" s="484">
        <v>120</v>
      </c>
      <c r="F124" s="423">
        <f>E124/120</f>
        <v>1</v>
      </c>
      <c r="G124" s="95"/>
      <c r="H124" s="413"/>
      <c r="I124" s="414"/>
      <c r="Q124" s="790"/>
      <c r="R124" s="792"/>
      <c r="W124" s="11"/>
      <c r="X124" s="142"/>
    </row>
    <row r="125" spans="1:24" ht="17.25" thickBot="1" thickTop="1">
      <c r="A125" s="95"/>
      <c r="B125" s="794"/>
      <c r="C125" s="422"/>
      <c r="D125" s="512"/>
      <c r="E125" s="485"/>
      <c r="F125" s="379"/>
      <c r="G125" s="95"/>
      <c r="H125" s="413" t="s">
        <v>482</v>
      </c>
      <c r="I125" s="414"/>
      <c r="Q125" s="788"/>
      <c r="R125" s="789"/>
      <c r="W125" s="11"/>
      <c r="X125" s="142"/>
    </row>
    <row r="126" spans="1:24" ht="20.25" customHeight="1" thickBot="1" thickTop="1">
      <c r="A126" s="95"/>
      <c r="C126" s="417" t="s">
        <v>31</v>
      </c>
      <c r="D126" s="552" t="s">
        <v>361</v>
      </c>
      <c r="E126" s="426"/>
      <c r="F126" s="451">
        <v>0.82</v>
      </c>
      <c r="G126" s="97" t="s">
        <v>475</v>
      </c>
      <c r="H126" s="453">
        <v>0</v>
      </c>
      <c r="I126" s="822" t="s">
        <v>517</v>
      </c>
      <c r="J126" s="823">
        <f>A121</f>
        <v>749</v>
      </c>
      <c r="K126" s="831" t="str">
        <f>B122</f>
        <v> MAESTRO DE GRADO</v>
      </c>
      <c r="L126" s="832"/>
      <c r="Q126" s="790"/>
      <c r="R126" s="792"/>
      <c r="W126" s="11"/>
      <c r="X126" s="142"/>
    </row>
    <row r="127" spans="1:24" ht="20.25" customHeight="1">
      <c r="A127" s="95"/>
      <c r="C127" s="95"/>
      <c r="D127" s="820"/>
      <c r="E127" s="448"/>
      <c r="F127" s="564"/>
      <c r="G127" s="95"/>
      <c r="H127" s="847">
        <v>44927</v>
      </c>
      <c r="I127" s="848">
        <f>Q137</f>
        <v>141194.9020736504</v>
      </c>
      <c r="J127" s="830"/>
      <c r="K127" s="849"/>
      <c r="L127" s="229"/>
      <c r="Q127" s="790"/>
      <c r="R127" s="792"/>
      <c r="W127" s="11"/>
      <c r="X127" s="142"/>
    </row>
    <row r="128" spans="1:25" ht="20.25" customHeight="1">
      <c r="A128" s="95"/>
      <c r="B128" s="95"/>
      <c r="C128" s="95"/>
      <c r="D128" s="511"/>
      <c r="E128" s="379"/>
      <c r="F128" s="379"/>
      <c r="G128" s="95"/>
      <c r="H128" s="850">
        <v>44958</v>
      </c>
      <c r="I128" s="851">
        <f>O137</f>
        <v>152490.4942395424</v>
      </c>
      <c r="J128" s="914">
        <f>I128-$I127</f>
        <v>11295.592165892012</v>
      </c>
      <c r="K128" s="931">
        <f>J128/I127</f>
        <v>0.07999999999999986</v>
      </c>
      <c r="L128" s="229"/>
      <c r="M128" s="821"/>
      <c r="N128" s="47"/>
      <c r="O128" s="47"/>
      <c r="P128" s="47"/>
      <c r="Q128" s="788"/>
      <c r="R128" s="789"/>
      <c r="S128" s="142"/>
      <c r="T128" s="47"/>
      <c r="U128" s="47"/>
      <c r="V128" s="47"/>
      <c r="W128" s="47"/>
      <c r="X128" s="47"/>
      <c r="Y128" s="47"/>
    </row>
    <row r="129" spans="1:22" ht="20.25" customHeight="1" thickBot="1">
      <c r="A129" s="95"/>
      <c r="B129" s="95"/>
      <c r="C129" s="750"/>
      <c r="D129" s="511"/>
      <c r="E129" s="379"/>
      <c r="F129" s="379"/>
      <c r="G129" s="442"/>
      <c r="H129" s="850">
        <v>44986</v>
      </c>
      <c r="I129" s="851">
        <f>M137</f>
        <v>179317.52563353596</v>
      </c>
      <c r="J129" s="914">
        <f>I129-$I127</f>
        <v>38122.62355988557</v>
      </c>
      <c r="K129" s="931">
        <f>J129/I127</f>
        <v>0.26999999999999974</v>
      </c>
      <c r="L129" s="229"/>
      <c r="N129" s="47"/>
      <c r="O129" s="11"/>
      <c r="P129" s="142"/>
      <c r="Q129" s="790"/>
      <c r="R129" s="792"/>
      <c r="S129" s="47"/>
      <c r="T129" s="47"/>
      <c r="U129" s="47"/>
      <c r="V129" s="47"/>
    </row>
    <row r="130" spans="1:23" ht="20.25" customHeight="1" thickBot="1">
      <c r="A130" s="340"/>
      <c r="B130" s="427" t="s">
        <v>9</v>
      </c>
      <c r="C130" s="428"/>
      <c r="D130" s="513">
        <v>1.2</v>
      </c>
      <c r="E130" s="379" t="s">
        <v>10</v>
      </c>
      <c r="F130" s="340"/>
      <c r="G130" s="443" t="s">
        <v>478</v>
      </c>
      <c r="H130" s="850">
        <v>45047</v>
      </c>
      <c r="I130" s="851">
        <f>K137</f>
        <v>197672.86290311048</v>
      </c>
      <c r="J130" s="914">
        <f>I130-$I127</f>
        <v>56477.96082946009</v>
      </c>
      <c r="K130" s="931">
        <f>J130/$I$127</f>
        <v>0.3999999999999995</v>
      </c>
      <c r="L130" s="905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:18" ht="20.25" customHeight="1">
      <c r="A131" s="340"/>
      <c r="B131" s="379"/>
      <c r="C131" s="379"/>
      <c r="D131" s="795"/>
      <c r="E131" s="379"/>
      <c r="F131" s="340"/>
      <c r="G131" s="340"/>
      <c r="H131" s="850">
        <v>45078</v>
      </c>
      <c r="I131" s="851">
        <f>I137</f>
        <v>207556.50604826605</v>
      </c>
      <c r="J131" s="914">
        <f>I131-$I$127</f>
        <v>66361.60397461566</v>
      </c>
      <c r="K131" s="931">
        <f>J131/$I$127</f>
        <v>0.46999999999999986</v>
      </c>
      <c r="L131" s="909"/>
      <c r="M131" s="47"/>
      <c r="N131" s="47"/>
      <c r="O131" s="47"/>
      <c r="P131" s="47"/>
      <c r="Q131" s="47"/>
      <c r="R131" s="47"/>
    </row>
    <row r="132" spans="1:18" ht="20.25" customHeight="1" thickBot="1">
      <c r="A132" s="340"/>
      <c r="B132" s="429" t="s">
        <v>11</v>
      </c>
      <c r="C132" s="429"/>
      <c r="D132" s="514">
        <f>PUNTOSbasicos</f>
        <v>971</v>
      </c>
      <c r="E132" s="379" t="s">
        <v>12</v>
      </c>
      <c r="F132" s="430" t="s">
        <v>357</v>
      </c>
      <c r="G132" s="431">
        <f>puntosproljornada+puntosjornadacompleta</f>
        <v>0</v>
      </c>
      <c r="H132" s="850">
        <v>45108</v>
      </c>
      <c r="I132" s="851">
        <f>G137</f>
        <v>238365.23368073656</v>
      </c>
      <c r="J132" s="914">
        <f>I132-$I$127</f>
        <v>97170.33160708618</v>
      </c>
      <c r="K132" s="931">
        <f>J132/$I$127</f>
        <v>0.6881999999999998</v>
      </c>
      <c r="L132" s="909"/>
      <c r="M132" s="47"/>
      <c r="N132" s="47"/>
      <c r="O132" s="47"/>
      <c r="P132" s="47"/>
      <c r="Q132" s="47"/>
      <c r="R132" s="47"/>
    </row>
    <row r="133" spans="1:18" ht="20.25" customHeight="1">
      <c r="A133" s="340"/>
      <c r="B133" s="379"/>
      <c r="C133" s="379"/>
      <c r="D133" s="795"/>
      <c r="E133" s="379"/>
      <c r="F133" s="340"/>
      <c r="G133" s="340"/>
      <c r="H133" s="850">
        <v>45139</v>
      </c>
      <c r="I133" s="851">
        <f>E137</f>
        <v>250818.62404363253</v>
      </c>
      <c r="J133" s="914">
        <f>I133-$I$127</f>
        <v>109623.72196998214</v>
      </c>
      <c r="K133" s="931">
        <f>J133/$I$127</f>
        <v>0.7763999999999999</v>
      </c>
      <c r="L133" s="909"/>
      <c r="M133" s="47"/>
      <c r="N133" s="47"/>
      <c r="O133" s="47"/>
      <c r="P133" s="47"/>
      <c r="Q133" s="47"/>
      <c r="R133" s="47"/>
    </row>
    <row r="134" spans="1:18" ht="20.25" customHeight="1" thickBot="1">
      <c r="A134" s="340"/>
      <c r="B134" s="379"/>
      <c r="C134" s="379"/>
      <c r="D134" s="893"/>
      <c r="E134" s="379"/>
      <c r="F134" s="340"/>
      <c r="G134" s="340"/>
      <c r="H134" s="340"/>
      <c r="I134" s="906"/>
      <c r="J134" s="907"/>
      <c r="K134" s="908"/>
      <c r="L134" s="909"/>
      <c r="M134" s="47"/>
      <c r="N134" s="47"/>
      <c r="O134" s="47"/>
      <c r="P134" s="47"/>
      <c r="Q134" s="47"/>
      <c r="R134" s="47"/>
    </row>
    <row r="135" spans="1:20" ht="20.25" customHeight="1" thickTop="1">
      <c r="A135" s="340"/>
      <c r="B135" s="379"/>
      <c r="C135" s="379"/>
      <c r="D135" s="893"/>
      <c r="E135" s="934" t="s">
        <v>536</v>
      </c>
      <c r="F135" s="935"/>
      <c r="G135" s="938">
        <f>I137-K137+I180-K180</f>
        <v>14825.464717733354</v>
      </c>
      <c r="H135" s="928" t="s">
        <v>535</v>
      </c>
      <c r="J135" s="910"/>
      <c r="K135" s="908"/>
      <c r="L135" s="909"/>
      <c r="O135" s="47"/>
      <c r="P135" s="47"/>
      <c r="Q135" s="47"/>
      <c r="R135" s="47"/>
      <c r="S135" s="47"/>
      <c r="T135" s="47"/>
    </row>
    <row r="136" spans="1:20" ht="24" thickBot="1">
      <c r="A136" s="340"/>
      <c r="D136" s="10"/>
      <c r="E136" s="936" t="s">
        <v>534</v>
      </c>
      <c r="F136" s="937"/>
      <c r="G136" s="939">
        <f>G137+G135</f>
        <v>253190.69839846992</v>
      </c>
      <c r="H136" s="957">
        <f>G136/K137-1</f>
        <v>0.2808571428571436</v>
      </c>
      <c r="I136" s="958" t="s">
        <v>539</v>
      </c>
      <c r="J136" s="379"/>
      <c r="K136" s="340"/>
      <c r="L136" s="443" t="s">
        <v>478</v>
      </c>
      <c r="M136" s="432"/>
      <c r="N136" s="340"/>
      <c r="O136" s="47"/>
      <c r="P136" s="642"/>
      <c r="Q136" s="47"/>
      <c r="R136" s="47"/>
      <c r="S136" s="47"/>
      <c r="T136" s="47"/>
    </row>
    <row r="137" spans="1:18" ht="24.75" thickBot="1" thickTop="1">
      <c r="A137" s="340"/>
      <c r="B137" s="379"/>
      <c r="C137" s="379"/>
      <c r="D137" s="553" t="str">
        <f>D184</f>
        <v>Líquido </v>
      </c>
      <c r="E137" s="932">
        <f>E184</f>
        <v>250818.62404363253</v>
      </c>
      <c r="F137" s="933"/>
      <c r="G137" s="932">
        <f>G184</f>
        <v>238365.23368073656</v>
      </c>
      <c r="H137" s="892"/>
      <c r="I137" s="891">
        <f>I184</f>
        <v>207556.50604826605</v>
      </c>
      <c r="J137" s="892"/>
      <c r="K137" s="891">
        <f>K184</f>
        <v>197672.86290311048</v>
      </c>
      <c r="L137" s="892"/>
      <c r="M137" s="891">
        <f>M184</f>
        <v>179317.52563353596</v>
      </c>
      <c r="N137" s="892"/>
      <c r="O137" s="891">
        <f>O184</f>
        <v>152490.4942395424</v>
      </c>
      <c r="P137" s="892"/>
      <c r="Q137" s="891">
        <f>Q184</f>
        <v>141194.9020736504</v>
      </c>
      <c r="R137" s="892"/>
    </row>
    <row r="138" spans="1:18" ht="21.75" thickBot="1" thickTop="1">
      <c r="A138" s="340"/>
      <c r="B138" s="13"/>
      <c r="C138" s="640"/>
      <c r="D138" s="641"/>
      <c r="E138" s="946">
        <v>45139</v>
      </c>
      <c r="F138" s="947">
        <f>aumento6-1</f>
        <v>0.7764</v>
      </c>
      <c r="G138" s="948">
        <v>45108</v>
      </c>
      <c r="H138" s="949">
        <f>aumento5-1</f>
        <v>0.6881999999999999</v>
      </c>
      <c r="I138" s="950" t="str">
        <f>"JUN 23 "&amp;((Aumento4-1)*100)&amp;"%"</f>
        <v>JUN 23 47%</v>
      </c>
      <c r="J138" s="618"/>
      <c r="K138" s="925" t="str">
        <f>"MAY 23 "&amp;((Aumento3-1)*100)&amp;"%"</f>
        <v>MAY 23 40%</v>
      </c>
      <c r="L138" s="618"/>
      <c r="M138" s="925" t="str">
        <f>"MAR 23 "&amp;((Aumento2-1)*100)&amp;"%"</f>
        <v>MAR 23 27%</v>
      </c>
      <c r="N138" s="659"/>
      <c r="O138" s="926" t="str">
        <f>"FEB 23 "&amp;((aumento1-1)*100)&amp;"%"</f>
        <v>FEB 23 8,00000000000001%</v>
      </c>
      <c r="P138" s="659"/>
      <c r="Q138" s="636">
        <v>44927</v>
      </c>
      <c r="R138" s="618"/>
    </row>
    <row r="139" spans="1:18" ht="15">
      <c r="A139" s="340"/>
      <c r="B139" s="405">
        <f aca="true" t="shared" si="7" ref="B139:B149">B186</f>
        <v>400</v>
      </c>
      <c r="C139" s="433"/>
      <c r="D139" s="515" t="str">
        <f aca="true" t="shared" si="8" ref="D139:E149">D186</f>
        <v>Sueldo básico</v>
      </c>
      <c r="E139" s="945">
        <f t="shared" si="8"/>
        <v>54503.82180923839</v>
      </c>
      <c r="F139" s="660"/>
      <c r="G139" s="569">
        <f aca="true" t="shared" si="9" ref="G139:G149">G186</f>
        <v>51797.65366941919</v>
      </c>
      <c r="H139" s="660"/>
      <c r="I139" s="569">
        <f aca="true" t="shared" si="10" ref="I139:K149">I186</f>
        <v>45102.80233031999</v>
      </c>
      <c r="J139" s="660"/>
      <c r="K139" s="569">
        <f t="shared" si="10"/>
        <v>42955.04983839999</v>
      </c>
      <c r="L139" s="660"/>
      <c r="M139" s="569">
        <f aca="true" t="shared" si="11" ref="M139:M149">M186</f>
        <v>38966.366639119995</v>
      </c>
      <c r="N139" s="660"/>
      <c r="O139" s="569">
        <f aca="true" t="shared" si="12" ref="O139:Q149">O186</f>
        <v>33136.752732479996</v>
      </c>
      <c r="P139" s="660"/>
      <c r="Q139" s="569">
        <f t="shared" si="12"/>
        <v>30682.178455999994</v>
      </c>
      <c r="R139" s="660"/>
    </row>
    <row r="140" spans="1:18" ht="15.75" thickBot="1">
      <c r="A140" s="340"/>
      <c r="B140" s="406">
        <f t="shared" si="7"/>
        <v>542</v>
      </c>
      <c r="C140" s="406"/>
      <c r="D140" s="516" t="str">
        <f t="shared" si="8"/>
        <v>Dec 1266/08 Art 4º</v>
      </c>
      <c r="E140" s="570">
        <f t="shared" si="8"/>
        <v>23277.790838610876</v>
      </c>
      <c r="F140" s="661"/>
      <c r="G140" s="570">
        <f t="shared" si="9"/>
        <v>22122.025722665436</v>
      </c>
      <c r="H140" s="661"/>
      <c r="I140" s="570">
        <f t="shared" si="10"/>
        <v>19262.751932423995</v>
      </c>
      <c r="J140" s="661"/>
      <c r="K140" s="570">
        <f t="shared" si="10"/>
        <v>18345.478030879996</v>
      </c>
      <c r="L140" s="661"/>
      <c r="M140" s="570">
        <f t="shared" si="11"/>
        <v>16641.969356583995</v>
      </c>
      <c r="N140" s="661"/>
      <c r="O140" s="570">
        <f t="shared" si="12"/>
        <v>14152.225909535999</v>
      </c>
      <c r="P140" s="661"/>
      <c r="Q140" s="570">
        <f t="shared" si="12"/>
        <v>13103.912879199997</v>
      </c>
      <c r="R140" s="661"/>
    </row>
    <row r="141" spans="1:18" ht="15">
      <c r="A141" s="340"/>
      <c r="B141" s="407" t="str">
        <f t="shared" si="7"/>
        <v>424/428</v>
      </c>
      <c r="C141" s="407"/>
      <c r="D141" s="517" t="str">
        <f t="shared" si="8"/>
        <v>Adic directivos</v>
      </c>
      <c r="E141" s="571">
        <f t="shared" si="8"/>
        <v>0</v>
      </c>
      <c r="F141" s="662"/>
      <c r="G141" s="571">
        <f t="shared" si="9"/>
        <v>0</v>
      </c>
      <c r="H141" s="662"/>
      <c r="I141" s="571">
        <f t="shared" si="10"/>
        <v>0</v>
      </c>
      <c r="J141" s="662"/>
      <c r="K141" s="571">
        <f t="shared" si="10"/>
        <v>0</v>
      </c>
      <c r="L141" s="662"/>
      <c r="M141" s="571">
        <f t="shared" si="11"/>
        <v>0</v>
      </c>
      <c r="N141" s="662"/>
      <c r="O141" s="571">
        <f t="shared" si="12"/>
        <v>0</v>
      </c>
      <c r="P141" s="662"/>
      <c r="Q141" s="571">
        <f t="shared" si="12"/>
        <v>0</v>
      </c>
      <c r="R141" s="662"/>
    </row>
    <row r="142" spans="1:18" ht="15">
      <c r="A142" s="340"/>
      <c r="B142" s="461">
        <f t="shared" si="7"/>
        <v>430</v>
      </c>
      <c r="C142" s="461"/>
      <c r="D142" s="518" t="str">
        <f t="shared" si="8"/>
        <v>Adicional Nina</v>
      </c>
      <c r="E142" s="572">
        <f t="shared" si="8"/>
        <v>0</v>
      </c>
      <c r="F142" s="663"/>
      <c r="G142" s="572">
        <f t="shared" si="9"/>
        <v>0</v>
      </c>
      <c r="H142" s="663"/>
      <c r="I142" s="572">
        <f t="shared" si="10"/>
        <v>0</v>
      </c>
      <c r="J142" s="663"/>
      <c r="K142" s="572">
        <f t="shared" si="10"/>
        <v>0</v>
      </c>
      <c r="L142" s="663"/>
      <c r="M142" s="572">
        <f t="shared" si="11"/>
        <v>0</v>
      </c>
      <c r="N142" s="663"/>
      <c r="O142" s="572">
        <f t="shared" si="12"/>
        <v>0</v>
      </c>
      <c r="P142" s="663"/>
      <c r="Q142" s="572">
        <f t="shared" si="12"/>
        <v>0</v>
      </c>
      <c r="R142" s="663"/>
    </row>
    <row r="143" spans="1:18" ht="15">
      <c r="A143" s="340"/>
      <c r="B143" s="408">
        <f t="shared" si="7"/>
        <v>404</v>
      </c>
      <c r="C143" s="434"/>
      <c r="D143" s="519" t="str">
        <f t="shared" si="8"/>
        <v>Función diferencial</v>
      </c>
      <c r="E143" s="570">
        <f t="shared" si="8"/>
        <v>0</v>
      </c>
      <c r="F143" s="664"/>
      <c r="G143" s="570">
        <f t="shared" si="9"/>
        <v>0</v>
      </c>
      <c r="H143" s="664"/>
      <c r="I143" s="570">
        <f t="shared" si="10"/>
        <v>0</v>
      </c>
      <c r="J143" s="664"/>
      <c r="K143" s="570">
        <f t="shared" si="10"/>
        <v>0</v>
      </c>
      <c r="L143" s="664"/>
      <c r="M143" s="570">
        <f t="shared" si="11"/>
        <v>0</v>
      </c>
      <c r="N143" s="664"/>
      <c r="O143" s="570">
        <f t="shared" si="12"/>
        <v>0</v>
      </c>
      <c r="P143" s="664"/>
      <c r="Q143" s="570">
        <f t="shared" si="12"/>
        <v>0</v>
      </c>
      <c r="R143" s="664"/>
    </row>
    <row r="144" spans="1:18" ht="15">
      <c r="A144" s="340"/>
      <c r="B144" s="408">
        <f t="shared" si="7"/>
        <v>406</v>
      </c>
      <c r="C144" s="434"/>
      <c r="D144" s="516" t="str">
        <f t="shared" si="8"/>
        <v>Antigüedad</v>
      </c>
      <c r="E144" s="570">
        <f t="shared" si="8"/>
        <v>93337.93517741912</v>
      </c>
      <c r="F144" s="661"/>
      <c r="G144" s="570">
        <f t="shared" si="9"/>
        <v>88703.61527050154</v>
      </c>
      <c r="H144" s="661"/>
      <c r="I144" s="570">
        <f t="shared" si="10"/>
        <v>77238.66511529278</v>
      </c>
      <c r="J144" s="661"/>
      <c r="K144" s="570">
        <f t="shared" si="10"/>
        <v>73560.63344313597</v>
      </c>
      <c r="L144" s="661"/>
      <c r="M144" s="570">
        <f t="shared" si="11"/>
        <v>66730.00319484479</v>
      </c>
      <c r="N144" s="661"/>
      <c r="O144" s="570">
        <f t="shared" si="12"/>
        <v>56746.77437041919</v>
      </c>
      <c r="P144" s="661"/>
      <c r="Q144" s="570">
        <f t="shared" si="12"/>
        <v>52543.30960223999</v>
      </c>
      <c r="R144" s="661"/>
    </row>
    <row r="145" spans="1:18" ht="15">
      <c r="A145" s="340"/>
      <c r="B145" s="408">
        <f t="shared" si="7"/>
        <v>408</v>
      </c>
      <c r="C145" s="434"/>
      <c r="D145" s="516" t="str">
        <f t="shared" si="8"/>
        <v>Bon zona esc</v>
      </c>
      <c r="E145" s="570">
        <f t="shared" si="8"/>
        <v>0</v>
      </c>
      <c r="F145" s="661"/>
      <c r="G145" s="570">
        <f t="shared" si="9"/>
        <v>0</v>
      </c>
      <c r="H145" s="661"/>
      <c r="I145" s="570">
        <f t="shared" si="10"/>
        <v>0</v>
      </c>
      <c r="J145" s="661"/>
      <c r="K145" s="570">
        <f t="shared" si="10"/>
        <v>0</v>
      </c>
      <c r="L145" s="661"/>
      <c r="M145" s="570">
        <f t="shared" si="11"/>
        <v>0</v>
      </c>
      <c r="N145" s="661"/>
      <c r="O145" s="570">
        <f t="shared" si="12"/>
        <v>0</v>
      </c>
      <c r="P145" s="661"/>
      <c r="Q145" s="570">
        <f t="shared" si="12"/>
        <v>0</v>
      </c>
      <c r="R145" s="661"/>
    </row>
    <row r="146" spans="1:18" ht="15">
      <c r="A146" s="340"/>
      <c r="B146" s="408">
        <f t="shared" si="7"/>
        <v>416</v>
      </c>
      <c r="C146" s="434"/>
      <c r="D146" s="516" t="str">
        <f t="shared" si="8"/>
        <v>prolong. Jorn - Docente</v>
      </c>
      <c r="E146" s="570">
        <f t="shared" si="8"/>
        <v>0</v>
      </c>
      <c r="F146" s="661"/>
      <c r="G146" s="570">
        <f t="shared" si="9"/>
        <v>0</v>
      </c>
      <c r="H146" s="661"/>
      <c r="I146" s="570">
        <f t="shared" si="10"/>
        <v>0</v>
      </c>
      <c r="J146" s="661"/>
      <c r="K146" s="570">
        <f t="shared" si="10"/>
        <v>0</v>
      </c>
      <c r="L146" s="661"/>
      <c r="M146" s="570">
        <f t="shared" si="11"/>
        <v>0</v>
      </c>
      <c r="N146" s="661"/>
      <c r="O146" s="570">
        <f t="shared" si="12"/>
        <v>0</v>
      </c>
      <c r="P146" s="661"/>
      <c r="Q146" s="570">
        <f t="shared" si="12"/>
        <v>0</v>
      </c>
      <c r="R146" s="661"/>
    </row>
    <row r="147" spans="1:18" ht="15">
      <c r="A147" s="340"/>
      <c r="B147" s="408">
        <f t="shared" si="7"/>
        <v>432</v>
      </c>
      <c r="C147" s="434"/>
      <c r="D147" s="516" t="str">
        <f t="shared" si="8"/>
        <v>Dto. 1109/05 (cod 06 act)</v>
      </c>
      <c r="E147" s="570">
        <f t="shared" si="8"/>
        <v>72101.162704</v>
      </c>
      <c r="F147" s="661"/>
      <c r="G147" s="570">
        <f t="shared" si="9"/>
        <v>68521.269352</v>
      </c>
      <c r="H147" s="661"/>
      <c r="I147" s="570">
        <f t="shared" si="10"/>
        <v>59664.8892</v>
      </c>
      <c r="J147" s="661"/>
      <c r="K147" s="570">
        <f t="shared" si="10"/>
        <v>56823.704</v>
      </c>
      <c r="L147" s="661"/>
      <c r="M147" s="570">
        <f t="shared" si="11"/>
        <v>51547.2172</v>
      </c>
      <c r="N147" s="661"/>
      <c r="O147" s="570">
        <f t="shared" si="12"/>
        <v>43835.4288</v>
      </c>
      <c r="P147" s="661"/>
      <c r="Q147" s="570">
        <f t="shared" si="12"/>
        <v>40588.36</v>
      </c>
      <c r="R147" s="661"/>
    </row>
    <row r="148" spans="1:18" ht="15.75" thickBot="1">
      <c r="A148" s="340"/>
      <c r="B148" s="408">
        <f t="shared" si="7"/>
        <v>434</v>
      </c>
      <c r="C148" s="434"/>
      <c r="D148" s="516" t="str">
        <f t="shared" si="8"/>
        <v>Traslado cod 188</v>
      </c>
      <c r="E148" s="570">
        <f t="shared" si="8"/>
        <v>16479.891729890187</v>
      </c>
      <c r="F148" s="661"/>
      <c r="G148" s="570">
        <f t="shared" si="9"/>
        <v>15661.648963296902</v>
      </c>
      <c r="H148" s="661"/>
      <c r="I148" s="570">
        <f t="shared" si="10"/>
        <v>13637.379443221445</v>
      </c>
      <c r="J148" s="661"/>
      <c r="K148" s="570">
        <f t="shared" si="10"/>
        <v>12987.980422115661</v>
      </c>
      <c r="L148" s="661"/>
      <c r="M148" s="570">
        <f t="shared" si="11"/>
        <v>11781.953668633492</v>
      </c>
      <c r="N148" s="661"/>
      <c r="O148" s="570">
        <f t="shared" si="12"/>
        <v>10019.299182774941</v>
      </c>
      <c r="P148" s="661"/>
      <c r="Q148" s="570">
        <f t="shared" si="12"/>
        <v>9277.128872939758</v>
      </c>
      <c r="R148" s="661"/>
    </row>
    <row r="149" spans="1:18" ht="15.75" thickTop="1">
      <c r="A149" s="340"/>
      <c r="B149" s="608">
        <f t="shared" si="7"/>
        <v>437</v>
      </c>
      <c r="C149" s="435"/>
      <c r="D149" s="520" t="str">
        <f t="shared" si="8"/>
        <v>DTO. N1462/18 DOCENT</v>
      </c>
      <c r="E149" s="613">
        <f t="shared" si="8"/>
        <v>4597.21022096</v>
      </c>
      <c r="F149" s="617"/>
      <c r="G149" s="613">
        <f t="shared" si="9"/>
        <v>4368.95423048</v>
      </c>
      <c r="H149" s="617"/>
      <c r="I149" s="613">
        <f t="shared" si="10"/>
        <v>3804.266508</v>
      </c>
      <c r="J149" s="617"/>
      <c r="K149" s="613">
        <f t="shared" si="10"/>
        <v>3623.11096</v>
      </c>
      <c r="L149" s="617"/>
      <c r="M149" s="613">
        <f t="shared" si="11"/>
        <v>3286.679228</v>
      </c>
      <c r="N149" s="617"/>
      <c r="O149" s="613">
        <f t="shared" si="12"/>
        <v>2794.971312</v>
      </c>
      <c r="P149" s="617"/>
      <c r="Q149" s="613">
        <f t="shared" si="12"/>
        <v>2587.9364</v>
      </c>
      <c r="R149" s="617"/>
    </row>
    <row r="150" spans="1:18" ht="15.75">
      <c r="A150" s="340"/>
      <c r="B150" s="406"/>
      <c r="C150" s="406"/>
      <c r="D150" s="406" t="str">
        <f aca="true" t="shared" si="13" ref="D150:E158">D197</f>
        <v>Otros</v>
      </c>
      <c r="E150" s="609">
        <v>0</v>
      </c>
      <c r="F150" s="665"/>
      <c r="G150" s="609">
        <v>0</v>
      </c>
      <c r="H150" s="665"/>
      <c r="I150" s="609">
        <v>0</v>
      </c>
      <c r="J150" s="665"/>
      <c r="K150" s="609">
        <v>0</v>
      </c>
      <c r="L150" s="665"/>
      <c r="M150" s="609">
        <v>0</v>
      </c>
      <c r="N150" s="665"/>
      <c r="O150" s="609">
        <v>0</v>
      </c>
      <c r="P150" s="665"/>
      <c r="Q150" s="609">
        <v>0</v>
      </c>
      <c r="R150" s="665"/>
    </row>
    <row r="151" spans="1:18" ht="18">
      <c r="A151" s="340"/>
      <c r="B151" s="406"/>
      <c r="C151" s="406"/>
      <c r="D151" s="602" t="str">
        <f t="shared" si="13"/>
        <v>Haberes</v>
      </c>
      <c r="E151" s="173">
        <f t="shared" si="13"/>
        <v>264297.8124801186</v>
      </c>
      <c r="F151" s="666"/>
      <c r="G151" s="173">
        <f aca="true" t="shared" si="14" ref="G151:G158">G198</f>
        <v>251175.1672083631</v>
      </c>
      <c r="H151" s="666"/>
      <c r="I151" s="173">
        <f aca="true" t="shared" si="15" ref="I151:K158">I198</f>
        <v>218710.7545292582</v>
      </c>
      <c r="J151" s="666"/>
      <c r="K151" s="173">
        <f t="shared" si="15"/>
        <v>208295.9566945316</v>
      </c>
      <c r="L151" s="666"/>
      <c r="M151" s="173">
        <f aca="true" t="shared" si="16" ref="M151:M158">M198</f>
        <v>188954.18928718226</v>
      </c>
      <c r="N151" s="666"/>
      <c r="O151" s="173">
        <f aca="true" t="shared" si="17" ref="O151:Q158">O198</f>
        <v>160685.45230721013</v>
      </c>
      <c r="P151" s="666"/>
      <c r="Q151" s="173">
        <f t="shared" si="17"/>
        <v>148782.82621037975</v>
      </c>
      <c r="R151" s="666"/>
    </row>
    <row r="152" spans="1:18" ht="15">
      <c r="A152" s="340"/>
      <c r="B152" s="406">
        <f>B199</f>
        <v>703</v>
      </c>
      <c r="C152" s="460">
        <f>C199</f>
        <v>0.0025</v>
      </c>
      <c r="D152" s="603" t="str">
        <f t="shared" si="13"/>
        <v>Federación de  jubil</v>
      </c>
      <c r="E152" s="610">
        <f t="shared" si="13"/>
        <v>660.7445312002965</v>
      </c>
      <c r="F152" s="667"/>
      <c r="G152" s="610">
        <f t="shared" si="14"/>
        <v>627.9379180209078</v>
      </c>
      <c r="H152" s="667"/>
      <c r="I152" s="610">
        <f t="shared" si="15"/>
        <v>546.7768863231455</v>
      </c>
      <c r="J152" s="667"/>
      <c r="K152" s="610">
        <f t="shared" si="15"/>
        <v>520.739891736329</v>
      </c>
      <c r="L152" s="667"/>
      <c r="M152" s="610">
        <f t="shared" si="16"/>
        <v>472.3854732179557</v>
      </c>
      <c r="N152" s="667"/>
      <c r="O152" s="610">
        <f t="shared" si="17"/>
        <v>401.7136307680253</v>
      </c>
      <c r="P152" s="667"/>
      <c r="Q152" s="610">
        <f t="shared" si="17"/>
        <v>371.95706552594936</v>
      </c>
      <c r="R152" s="667"/>
    </row>
    <row r="153" spans="1:18" ht="15">
      <c r="A153" s="340"/>
      <c r="B153" s="409">
        <f>B200</f>
        <v>707</v>
      </c>
      <c r="C153" s="437">
        <f>C200</f>
        <v>0.03</v>
      </c>
      <c r="D153" s="516" t="str">
        <f t="shared" si="13"/>
        <v>Aporte IOSPER</v>
      </c>
      <c r="E153" s="576">
        <f t="shared" si="13"/>
        <v>7928.934374403558</v>
      </c>
      <c r="F153" s="661"/>
      <c r="G153" s="576">
        <f t="shared" si="14"/>
        <v>7535.255016250892</v>
      </c>
      <c r="H153" s="661"/>
      <c r="I153" s="576">
        <f t="shared" si="15"/>
        <v>6561.322635877746</v>
      </c>
      <c r="J153" s="661"/>
      <c r="K153" s="576">
        <f t="shared" si="15"/>
        <v>6248.878700835948</v>
      </c>
      <c r="L153" s="661"/>
      <c r="M153" s="576">
        <f t="shared" si="16"/>
        <v>5668.625678615468</v>
      </c>
      <c r="N153" s="661"/>
      <c r="O153" s="576">
        <f t="shared" si="17"/>
        <v>4820.563569216304</v>
      </c>
      <c r="P153" s="661"/>
      <c r="Q153" s="576">
        <f t="shared" si="17"/>
        <v>4463.484786311392</v>
      </c>
      <c r="R153" s="661"/>
    </row>
    <row r="154" spans="1:18" ht="15.75">
      <c r="A154" s="340"/>
      <c r="B154" s="409">
        <f>B201</f>
        <v>709</v>
      </c>
      <c r="C154" s="438">
        <v>0.0015</v>
      </c>
      <c r="D154" s="516" t="str">
        <f t="shared" si="13"/>
        <v>Seguro ley 3011</v>
      </c>
      <c r="E154" s="576">
        <f t="shared" si="13"/>
        <v>396.4467187201779</v>
      </c>
      <c r="F154" s="661"/>
      <c r="G154" s="576">
        <f t="shared" si="14"/>
        <v>376.76275081254465</v>
      </c>
      <c r="H154" s="661"/>
      <c r="I154" s="576">
        <f t="shared" si="15"/>
        <v>328.06613179388734</v>
      </c>
      <c r="J154" s="661"/>
      <c r="K154" s="576">
        <f t="shared" si="15"/>
        <v>312.44393504179743</v>
      </c>
      <c r="L154" s="661"/>
      <c r="M154" s="576">
        <f t="shared" si="16"/>
        <v>283.4312839307734</v>
      </c>
      <c r="N154" s="661"/>
      <c r="O154" s="576">
        <f t="shared" si="17"/>
        <v>241.0281784608152</v>
      </c>
      <c r="P154" s="661"/>
      <c r="Q154" s="576">
        <f t="shared" si="17"/>
        <v>223.17423931556962</v>
      </c>
      <c r="R154" s="661"/>
    </row>
    <row r="155" spans="1:18" ht="15">
      <c r="A155" s="340"/>
      <c r="B155" s="409">
        <f>B202</f>
        <v>713</v>
      </c>
      <c r="C155" s="439">
        <f>C202</f>
        <v>0.007</v>
      </c>
      <c r="D155" s="516" t="str">
        <f t="shared" si="13"/>
        <v>Serv Sepelio IAPS</v>
      </c>
      <c r="E155" s="576">
        <f t="shared" si="13"/>
        <v>1850.0846873608302</v>
      </c>
      <c r="F155" s="661"/>
      <c r="G155" s="576">
        <f t="shared" si="14"/>
        <v>1758.2261704585417</v>
      </c>
      <c r="H155" s="661"/>
      <c r="I155" s="576">
        <f t="shared" si="15"/>
        <v>1530.9752817048075</v>
      </c>
      <c r="J155" s="661"/>
      <c r="K155" s="576">
        <f t="shared" si="15"/>
        <v>1458.0716968617212</v>
      </c>
      <c r="L155" s="661"/>
      <c r="M155" s="576">
        <f t="shared" si="16"/>
        <v>1322.6793250102758</v>
      </c>
      <c r="N155" s="661"/>
      <c r="O155" s="576">
        <f t="shared" si="17"/>
        <v>1124.798166150471</v>
      </c>
      <c r="P155" s="661"/>
      <c r="Q155" s="576">
        <f t="shared" si="17"/>
        <v>1041.4797834726583</v>
      </c>
      <c r="R155" s="661"/>
    </row>
    <row r="156" spans="1:18" ht="15">
      <c r="A156" s="340"/>
      <c r="B156" s="409">
        <f>B203</f>
        <v>787</v>
      </c>
      <c r="C156" s="437">
        <f>C203</f>
        <v>0.01</v>
      </c>
      <c r="D156" s="516" t="str">
        <f t="shared" si="13"/>
        <v>Desc AGMER 1 %</v>
      </c>
      <c r="E156" s="576">
        <f t="shared" si="13"/>
        <v>2642.978124801186</v>
      </c>
      <c r="F156" s="661"/>
      <c r="G156" s="576">
        <f t="shared" si="14"/>
        <v>2511.751672083631</v>
      </c>
      <c r="H156" s="661"/>
      <c r="I156" s="576">
        <f t="shared" si="15"/>
        <v>2187.107545292582</v>
      </c>
      <c r="J156" s="661"/>
      <c r="K156" s="576">
        <f t="shared" si="15"/>
        <v>2082.959566945316</v>
      </c>
      <c r="L156" s="661"/>
      <c r="M156" s="576">
        <f t="shared" si="16"/>
        <v>1889.5418928718227</v>
      </c>
      <c r="N156" s="661"/>
      <c r="O156" s="576">
        <f t="shared" si="17"/>
        <v>1606.8545230721013</v>
      </c>
      <c r="P156" s="661"/>
      <c r="Q156" s="576">
        <f t="shared" si="17"/>
        <v>1487.8282621037974</v>
      </c>
      <c r="R156" s="661"/>
    </row>
    <row r="157" spans="1:18" ht="16.5" thickBot="1">
      <c r="A157" s="340"/>
      <c r="B157" s="379"/>
      <c r="C157" s="440"/>
      <c r="D157" s="521" t="str">
        <f t="shared" si="13"/>
        <v>Otros descuentos</v>
      </c>
      <c r="E157" s="577">
        <f t="shared" si="13"/>
        <v>0</v>
      </c>
      <c r="F157" s="668"/>
      <c r="G157" s="577">
        <f t="shared" si="14"/>
        <v>0</v>
      </c>
      <c r="H157" s="668"/>
      <c r="I157" s="577">
        <f t="shared" si="15"/>
        <v>0</v>
      </c>
      <c r="J157" s="668"/>
      <c r="K157" s="577">
        <f t="shared" si="15"/>
        <v>0</v>
      </c>
      <c r="L157" s="668"/>
      <c r="M157" s="577">
        <f t="shared" si="16"/>
        <v>0</v>
      </c>
      <c r="N157" s="668"/>
      <c r="O157" s="577">
        <f t="shared" si="17"/>
        <v>0</v>
      </c>
      <c r="P157" s="668"/>
      <c r="Q157" s="577">
        <f t="shared" si="17"/>
        <v>0</v>
      </c>
      <c r="R157" s="668"/>
    </row>
    <row r="158" spans="1:18" ht="16.5" thickBot="1">
      <c r="A158" s="340"/>
      <c r="B158" s="379"/>
      <c r="C158" s="379"/>
      <c r="D158" s="522" t="str">
        <f t="shared" si="13"/>
        <v>Descuentos</v>
      </c>
      <c r="E158" s="574">
        <f t="shared" si="13"/>
        <v>13479.188436486047</v>
      </c>
      <c r="F158" s="621"/>
      <c r="G158" s="574">
        <f t="shared" si="14"/>
        <v>12809.93352762652</v>
      </c>
      <c r="H158" s="621"/>
      <c r="I158" s="574">
        <f t="shared" si="15"/>
        <v>11154.248480992168</v>
      </c>
      <c r="J158" s="621"/>
      <c r="K158" s="574">
        <f t="shared" si="15"/>
        <v>10623.093791421112</v>
      </c>
      <c r="L158" s="621"/>
      <c r="M158" s="574">
        <f t="shared" si="16"/>
        <v>9636.663653646294</v>
      </c>
      <c r="N158" s="621"/>
      <c r="O158" s="574">
        <f t="shared" si="17"/>
        <v>8194.958067667718</v>
      </c>
      <c r="P158" s="621"/>
      <c r="Q158" s="574">
        <f t="shared" si="17"/>
        <v>7587.924136729367</v>
      </c>
      <c r="R158" s="621"/>
    </row>
    <row r="159" spans="1:18" ht="16.5" thickBot="1">
      <c r="A159" s="340"/>
      <c r="B159" s="95"/>
      <c r="C159" s="441"/>
      <c r="D159" s="796"/>
      <c r="E159" s="578"/>
      <c r="F159" s="592"/>
      <c r="G159" s="578"/>
      <c r="H159" s="592"/>
      <c r="I159" s="578"/>
      <c r="J159" s="592"/>
      <c r="K159" s="578"/>
      <c r="L159" s="592"/>
      <c r="M159" s="578"/>
      <c r="N159" s="592"/>
      <c r="O159" s="578"/>
      <c r="P159" s="592"/>
      <c r="Q159" s="578"/>
      <c r="R159" s="592"/>
    </row>
    <row r="160" spans="1:18" ht="24" thickBot="1">
      <c r="A160" s="340"/>
      <c r="B160" s="454"/>
      <c r="C160" s="775"/>
      <c r="D160" s="524" t="str">
        <f>D207</f>
        <v>Líquido</v>
      </c>
      <c r="E160" s="911">
        <f>E207</f>
        <v>250818.62404363253</v>
      </c>
      <c r="F160" s="912"/>
      <c r="G160" s="911">
        <f>G207</f>
        <v>238365.23368073656</v>
      </c>
      <c r="H160" s="912"/>
      <c r="I160" s="911">
        <f>I207</f>
        <v>207556.50604826605</v>
      </c>
      <c r="J160" s="912"/>
      <c r="K160" s="911">
        <f>K207</f>
        <v>197672.86290311048</v>
      </c>
      <c r="L160" s="912"/>
      <c r="M160" s="911">
        <f>M207</f>
        <v>179317.52563353596</v>
      </c>
      <c r="N160" s="912"/>
      <c r="O160" s="911">
        <f>O207</f>
        <v>152490.4942395424</v>
      </c>
      <c r="P160" s="912"/>
      <c r="Q160" s="911">
        <f>Q207</f>
        <v>141194.9020736504</v>
      </c>
      <c r="R160" s="833"/>
    </row>
    <row r="161" spans="1:18" ht="21" thickBot="1">
      <c r="A161" s="340"/>
      <c r="B161" s="454"/>
      <c r="C161" s="454"/>
      <c r="D161" s="525"/>
      <c r="E161" s="838"/>
      <c r="F161" s="839"/>
      <c r="G161" s="838"/>
      <c r="H161" s="839"/>
      <c r="I161" s="838"/>
      <c r="J161" s="839"/>
      <c r="K161" s="838"/>
      <c r="L161" s="839"/>
      <c r="M161" s="838"/>
      <c r="N161" s="839"/>
      <c r="O161" s="838"/>
      <c r="P161" s="839"/>
      <c r="Q161" s="838"/>
      <c r="R161" s="839"/>
    </row>
    <row r="162" spans="1:18" ht="21" thickTop="1">
      <c r="A162" s="340"/>
      <c r="B162" s="340"/>
      <c r="C162" s="464"/>
      <c r="D162" s="526" t="str">
        <f>D209</f>
        <v>Aumento mensual</v>
      </c>
      <c r="E162" s="840">
        <f>E209</f>
        <v>12453.390362895967</v>
      </c>
      <c r="F162" s="841"/>
      <c r="G162" s="840">
        <f>G209</f>
        <v>30808.727632470516</v>
      </c>
      <c r="H162" s="841"/>
      <c r="I162" s="840">
        <f>I209</f>
        <v>9883.643145155569</v>
      </c>
      <c r="J162" s="841"/>
      <c r="K162" s="840">
        <f>K209</f>
        <v>18355.33726957452</v>
      </c>
      <c r="L162" s="841"/>
      <c r="M162" s="840">
        <f>M209</f>
        <v>26827.03139399356</v>
      </c>
      <c r="N162" s="841"/>
      <c r="O162" s="840">
        <f>O209</f>
        <v>11295.592165892012</v>
      </c>
      <c r="P162" s="841"/>
      <c r="Q162" s="840"/>
      <c r="R162" s="841"/>
    </row>
    <row r="163" spans="1:18" ht="21" thickBot="1">
      <c r="A163" s="340"/>
      <c r="B163" s="554"/>
      <c r="C163" s="464"/>
      <c r="D163" s="527" t="str">
        <f>D210</f>
        <v>Aum porcentual</v>
      </c>
      <c r="E163" s="853">
        <f>E210</f>
        <v>0.05224499466887811</v>
      </c>
      <c r="F163" s="854"/>
      <c r="G163" s="853">
        <f>G210</f>
        <v>0.14843537414965988</v>
      </c>
      <c r="H163" s="854"/>
      <c r="I163" s="853">
        <f>I210</f>
        <v>0.050000000000000225</v>
      </c>
      <c r="J163" s="854"/>
      <c r="K163" s="853">
        <f>K210</f>
        <v>0.1023622047244093</v>
      </c>
      <c r="L163" s="854"/>
      <c r="M163" s="853">
        <f>M210</f>
        <v>0.17592592592592585</v>
      </c>
      <c r="N163" s="854"/>
      <c r="O163" s="853">
        <f>O210</f>
        <v>0.07999999999999986</v>
      </c>
      <c r="P163" s="854"/>
      <c r="Q163" s="853"/>
      <c r="R163" s="854"/>
    </row>
    <row r="164" spans="1:18" ht="21.75" thickBot="1" thickTop="1">
      <c r="A164" s="340"/>
      <c r="B164" s="340"/>
      <c r="C164" s="464"/>
      <c r="D164" s="677">
        <f>D211</f>
        <v>0</v>
      </c>
      <c r="E164" s="842"/>
      <c r="F164" s="843"/>
      <c r="G164" s="842"/>
      <c r="H164" s="843"/>
      <c r="I164" s="842"/>
      <c r="J164" s="843"/>
      <c r="K164" s="842"/>
      <c r="L164" s="843"/>
      <c r="M164" s="842"/>
      <c r="N164" s="843"/>
      <c r="O164" s="842"/>
      <c r="P164" s="843"/>
      <c r="Q164" s="842"/>
      <c r="R164" s="843"/>
    </row>
    <row r="165" spans="1:18" ht="21" thickTop="1">
      <c r="A165" s="340"/>
      <c r="B165" s="340"/>
      <c r="C165" s="464"/>
      <c r="D165" s="678" t="str">
        <f>D212</f>
        <v>Aumento acumulado anual</v>
      </c>
      <c r="E165" s="844">
        <f>E212</f>
        <v>109623.72196998214</v>
      </c>
      <c r="F165" s="841"/>
      <c r="G165" s="844">
        <f>G212</f>
        <v>97170.33160708618</v>
      </c>
      <c r="H165" s="841"/>
      <c r="I165" s="844">
        <f>I212</f>
        <v>66361.60397461566</v>
      </c>
      <c r="J165" s="841"/>
      <c r="K165" s="844">
        <f>K212</f>
        <v>56477.96082946009</v>
      </c>
      <c r="L165" s="841"/>
      <c r="M165" s="844">
        <f>M212</f>
        <v>38122.62355988557</v>
      </c>
      <c r="N165" s="841"/>
      <c r="O165" s="844">
        <f>O212</f>
        <v>11295.592165892012</v>
      </c>
      <c r="P165" s="841"/>
      <c r="Q165" s="844"/>
      <c r="R165" s="841"/>
    </row>
    <row r="166" spans="1:18" ht="21" thickBot="1">
      <c r="A166" s="340"/>
      <c r="B166" s="340"/>
      <c r="C166" s="464"/>
      <c r="D166" s="680" t="str">
        <f>D213</f>
        <v>Acumulado porcentual</v>
      </c>
      <c r="E166" s="855">
        <f>E213</f>
        <v>0.7763999999999999</v>
      </c>
      <c r="F166" s="854"/>
      <c r="G166" s="855">
        <f>G213</f>
        <v>0.6881999999999998</v>
      </c>
      <c r="H166" s="854"/>
      <c r="I166" s="855">
        <f>I213</f>
        <v>0.46999999999999986</v>
      </c>
      <c r="J166" s="854"/>
      <c r="K166" s="855">
        <f>K213</f>
        <v>0.3999999999999995</v>
      </c>
      <c r="L166" s="854"/>
      <c r="M166" s="855">
        <f>M213</f>
        <v>0.26999999999999974</v>
      </c>
      <c r="N166" s="854"/>
      <c r="O166" s="855">
        <f>O213</f>
        <v>0.07999999999999986</v>
      </c>
      <c r="P166" s="854"/>
      <c r="Q166" s="855"/>
      <c r="R166" s="854"/>
    </row>
    <row r="167" spans="1:18" ht="17.25" thickBot="1" thickTop="1">
      <c r="A167" s="340"/>
      <c r="B167" s="340"/>
      <c r="C167" s="464"/>
      <c r="D167" s="614">
        <f>D214</f>
        <v>0</v>
      </c>
      <c r="E167" s="682">
        <f>E214</f>
        <v>0</v>
      </c>
      <c r="F167" s="676"/>
      <c r="G167" s="682">
        <f>G214</f>
        <v>0</v>
      </c>
      <c r="H167" s="676"/>
      <c r="I167" s="682">
        <f>I214</f>
        <v>0</v>
      </c>
      <c r="J167" s="676"/>
      <c r="K167" s="682">
        <f>K214</f>
        <v>0</v>
      </c>
      <c r="L167" s="676"/>
      <c r="M167" s="682">
        <f>M214</f>
        <v>0</v>
      </c>
      <c r="N167" s="676"/>
      <c r="O167" s="682">
        <f>O214</f>
        <v>0</v>
      </c>
      <c r="P167" s="676"/>
      <c r="Q167" s="682"/>
      <c r="R167" s="676"/>
    </row>
    <row r="168" spans="1:18" ht="21" thickTop="1">
      <c r="A168" s="340"/>
      <c r="B168" s="340"/>
      <c r="C168" s="464"/>
      <c r="D168" s="528" t="str">
        <f>D218</f>
        <v>MEDIO AGUINALDO</v>
      </c>
      <c r="E168" s="583"/>
      <c r="F168" s="625"/>
      <c r="G168" s="583"/>
      <c r="H168" s="625"/>
      <c r="I168" s="583"/>
      <c r="J168" s="625"/>
      <c r="K168" s="583"/>
      <c r="L168" s="625"/>
      <c r="M168" s="583"/>
      <c r="N168" s="625"/>
      <c r="O168" s="583"/>
      <c r="P168" s="625"/>
      <c r="Q168" s="583"/>
      <c r="R168" s="625"/>
    </row>
    <row r="169" spans="1:18" ht="15">
      <c r="A169" s="340"/>
      <c r="B169" s="340"/>
      <c r="C169" s="464"/>
      <c r="D169" s="529"/>
      <c r="E169" s="584"/>
      <c r="F169" s="626"/>
      <c r="G169" s="584"/>
      <c r="H169" s="626"/>
      <c r="I169" s="584"/>
      <c r="J169" s="626"/>
      <c r="K169" s="584"/>
      <c r="L169" s="626"/>
      <c r="M169" s="584"/>
      <c r="N169" s="626"/>
      <c r="O169" s="584"/>
      <c r="P169" s="626"/>
      <c r="Q169" s="584"/>
      <c r="R169" s="626"/>
    </row>
    <row r="170" spans="1:18" ht="15.75">
      <c r="A170" s="340"/>
      <c r="B170" s="340"/>
      <c r="C170" s="464"/>
      <c r="D170" s="530" t="str">
        <f>D220</f>
        <v>Código 550</v>
      </c>
      <c r="E170" s="585">
        <f>E220</f>
        <v>132148.9062400593</v>
      </c>
      <c r="F170" s="627"/>
      <c r="G170" s="585">
        <f>G220</f>
        <v>125587.58360418155</v>
      </c>
      <c r="H170" s="627"/>
      <c r="I170" s="585">
        <f>I220</f>
        <v>109355.3772646291</v>
      </c>
      <c r="J170" s="627"/>
      <c r="K170" s="585">
        <f>K220</f>
        <v>104147.9783472658</v>
      </c>
      <c r="L170" s="627"/>
      <c r="M170" s="585">
        <f>M220</f>
        <v>94477.09464359113</v>
      </c>
      <c r="N170" s="627"/>
      <c r="O170" s="585">
        <f>O220</f>
        <v>80342.72615360506</v>
      </c>
      <c r="P170" s="627"/>
      <c r="Q170" s="585">
        <f>Q220</f>
        <v>74391.41310518987</v>
      </c>
      <c r="R170" s="627"/>
    </row>
    <row r="171" spans="1:18" ht="15">
      <c r="A171" s="340"/>
      <c r="B171" s="340"/>
      <c r="C171" s="340"/>
      <c r="D171" s="797"/>
      <c r="E171" s="584"/>
      <c r="F171" s="626"/>
      <c r="G171" s="584"/>
      <c r="H171" s="626"/>
      <c r="I171" s="584"/>
      <c r="J171" s="626"/>
      <c r="K171" s="584"/>
      <c r="L171" s="626"/>
      <c r="M171" s="584"/>
      <c r="N171" s="626"/>
      <c r="O171" s="584"/>
      <c r="P171" s="626"/>
      <c r="Q171" s="584"/>
      <c r="R171" s="626"/>
    </row>
    <row r="172" spans="1:18" ht="15.75">
      <c r="A172" s="340"/>
      <c r="B172" s="340"/>
      <c r="C172" s="340"/>
      <c r="D172" s="530" t="str">
        <f aca="true" t="shared" si="18" ref="D172:E178">D222</f>
        <v>Descuentos</v>
      </c>
      <c r="E172" s="584"/>
      <c r="F172" s="627"/>
      <c r="G172" s="584"/>
      <c r="H172" s="627"/>
      <c r="I172" s="584"/>
      <c r="J172" s="627"/>
      <c r="K172" s="584"/>
      <c r="L172" s="627"/>
      <c r="M172" s="584"/>
      <c r="N172" s="627"/>
      <c r="O172" s="584"/>
      <c r="P172" s="627"/>
      <c r="Q172" s="584"/>
      <c r="R172" s="627"/>
    </row>
    <row r="173" spans="1:18" ht="15">
      <c r="A173" s="340"/>
      <c r="B173" s="408">
        <f>B223</f>
        <v>703</v>
      </c>
      <c r="C173" s="460">
        <f>C223</f>
        <v>0.0025</v>
      </c>
      <c r="D173" s="531" t="str">
        <f t="shared" si="18"/>
        <v>Federación de  jubil</v>
      </c>
      <c r="E173" s="586">
        <f t="shared" si="18"/>
        <v>330.37226560014824</v>
      </c>
      <c r="F173" s="619"/>
      <c r="G173" s="586">
        <f aca="true" t="shared" si="19" ref="G173:G178">G223</f>
        <v>313.9689590104539</v>
      </c>
      <c r="H173" s="619"/>
      <c r="I173" s="586">
        <f aca="true" t="shared" si="20" ref="I173:K178">I223</f>
        <v>273.38844316157275</v>
      </c>
      <c r="J173" s="619"/>
      <c r="K173" s="586">
        <f t="shared" si="20"/>
        <v>260.3699458681645</v>
      </c>
      <c r="L173" s="619"/>
      <c r="M173" s="586">
        <f aca="true" t="shared" si="21" ref="M173:M178">M223</f>
        <v>236.19273660897784</v>
      </c>
      <c r="N173" s="619"/>
      <c r="O173" s="586">
        <f aca="true" t="shared" si="22" ref="O173:Q178">O223</f>
        <v>200.85681538401266</v>
      </c>
      <c r="P173" s="619"/>
      <c r="Q173" s="586">
        <f t="shared" si="22"/>
        <v>185.97853276297468</v>
      </c>
      <c r="R173" s="619"/>
    </row>
    <row r="174" spans="1:18" ht="15">
      <c r="A174" s="340"/>
      <c r="B174" s="409">
        <f>B224</f>
        <v>707</v>
      </c>
      <c r="C174" s="437">
        <f>C224</f>
        <v>0.03</v>
      </c>
      <c r="D174" s="532" t="str">
        <f t="shared" si="18"/>
        <v>Aporte IOSPER</v>
      </c>
      <c r="E174" s="586">
        <f t="shared" si="18"/>
        <v>3964.467187201779</v>
      </c>
      <c r="F174" s="616"/>
      <c r="G174" s="586">
        <f t="shared" si="19"/>
        <v>3767.627508125446</v>
      </c>
      <c r="H174" s="616"/>
      <c r="I174" s="586">
        <f t="shared" si="20"/>
        <v>3280.661317938873</v>
      </c>
      <c r="J174" s="616"/>
      <c r="K174" s="586">
        <f t="shared" si="20"/>
        <v>3124.439350417974</v>
      </c>
      <c r="L174" s="616"/>
      <c r="M174" s="586">
        <f t="shared" si="21"/>
        <v>2834.312839307734</v>
      </c>
      <c r="N174" s="616"/>
      <c r="O174" s="586">
        <f t="shared" si="22"/>
        <v>2410.281784608152</v>
      </c>
      <c r="P174" s="616"/>
      <c r="Q174" s="586">
        <f t="shared" si="22"/>
        <v>2231.742393155696</v>
      </c>
      <c r="R174" s="616"/>
    </row>
    <row r="175" spans="1:18" ht="15.75">
      <c r="A175" s="340"/>
      <c r="B175" s="409">
        <f>B225</f>
        <v>709</v>
      </c>
      <c r="C175" s="438">
        <v>0.0015</v>
      </c>
      <c r="D175" s="532" t="str">
        <f t="shared" si="18"/>
        <v>Seguro ley 3011</v>
      </c>
      <c r="E175" s="586">
        <f t="shared" si="18"/>
        <v>198.22335936008895</v>
      </c>
      <c r="F175" s="616"/>
      <c r="G175" s="586">
        <f t="shared" si="19"/>
        <v>188.38137540627233</v>
      </c>
      <c r="H175" s="616"/>
      <c r="I175" s="586">
        <f t="shared" si="20"/>
        <v>164.03306589694367</v>
      </c>
      <c r="J175" s="616"/>
      <c r="K175" s="586">
        <f t="shared" si="20"/>
        <v>156.22196752089872</v>
      </c>
      <c r="L175" s="616"/>
      <c r="M175" s="586">
        <f t="shared" si="21"/>
        <v>141.7156419653867</v>
      </c>
      <c r="N175" s="616"/>
      <c r="O175" s="586">
        <f t="shared" si="22"/>
        <v>120.5140892304076</v>
      </c>
      <c r="P175" s="616"/>
      <c r="Q175" s="586">
        <f t="shared" si="22"/>
        <v>111.58711965778481</v>
      </c>
      <c r="R175" s="616"/>
    </row>
    <row r="176" spans="1:18" ht="15">
      <c r="A176" s="340"/>
      <c r="B176" s="409">
        <f>B226</f>
        <v>713</v>
      </c>
      <c r="C176" s="439">
        <f>C226</f>
        <v>0.007</v>
      </c>
      <c r="D176" s="532" t="str">
        <f t="shared" si="18"/>
        <v>Serv Sepelio IAPS</v>
      </c>
      <c r="E176" s="586">
        <f t="shared" si="18"/>
        <v>925.0423436804151</v>
      </c>
      <c r="F176" s="616"/>
      <c r="G176" s="586">
        <f t="shared" si="19"/>
        <v>879.1130852292708</v>
      </c>
      <c r="H176" s="616"/>
      <c r="I176" s="586">
        <f t="shared" si="20"/>
        <v>765.4876408524037</v>
      </c>
      <c r="J176" s="616"/>
      <c r="K176" s="586">
        <f t="shared" si="20"/>
        <v>729.0358484308606</v>
      </c>
      <c r="L176" s="616"/>
      <c r="M176" s="586">
        <f t="shared" si="21"/>
        <v>661.3396625051379</v>
      </c>
      <c r="N176" s="616"/>
      <c r="O176" s="586">
        <f t="shared" si="22"/>
        <v>562.3990830752355</v>
      </c>
      <c r="P176" s="616"/>
      <c r="Q176" s="586">
        <f t="shared" si="22"/>
        <v>520.7398917363291</v>
      </c>
      <c r="R176" s="616"/>
    </row>
    <row r="177" spans="1:18" ht="15.75" thickBot="1">
      <c r="A177" s="340"/>
      <c r="B177" s="409">
        <f>B227</f>
        <v>787</v>
      </c>
      <c r="C177" s="437">
        <f>C227</f>
        <v>0.01</v>
      </c>
      <c r="D177" s="532" t="str">
        <f t="shared" si="18"/>
        <v>Desc AGMER 1 %</v>
      </c>
      <c r="E177" s="586">
        <f t="shared" si="18"/>
        <v>1321.489062400593</v>
      </c>
      <c r="F177" s="616"/>
      <c r="G177" s="586">
        <f t="shared" si="19"/>
        <v>1255.8758360418155</v>
      </c>
      <c r="H177" s="616"/>
      <c r="I177" s="586">
        <f t="shared" si="20"/>
        <v>1093.553772646291</v>
      </c>
      <c r="J177" s="616"/>
      <c r="K177" s="586">
        <f t="shared" si="20"/>
        <v>1041.479783472658</v>
      </c>
      <c r="L177" s="616"/>
      <c r="M177" s="586">
        <f t="shared" si="21"/>
        <v>944.7709464359114</v>
      </c>
      <c r="N177" s="616"/>
      <c r="O177" s="586">
        <f t="shared" si="22"/>
        <v>803.4272615360507</v>
      </c>
      <c r="P177" s="616"/>
      <c r="Q177" s="586">
        <f t="shared" si="22"/>
        <v>743.9141310518987</v>
      </c>
      <c r="R177" s="616"/>
    </row>
    <row r="178" spans="1:18" ht="16.5" thickBot="1">
      <c r="A178" s="340"/>
      <c r="B178" s="340"/>
      <c r="C178" s="340"/>
      <c r="D178" s="533" t="str">
        <f t="shared" si="18"/>
        <v>Total Descuentos</v>
      </c>
      <c r="E178" s="587">
        <f t="shared" si="18"/>
        <v>6739.5942182430235</v>
      </c>
      <c r="F178" s="621"/>
      <c r="G178" s="587">
        <f t="shared" si="19"/>
        <v>6404.96676381326</v>
      </c>
      <c r="H178" s="621"/>
      <c r="I178" s="587">
        <f t="shared" si="20"/>
        <v>5577.124240496084</v>
      </c>
      <c r="J178" s="621"/>
      <c r="K178" s="587">
        <f t="shared" si="20"/>
        <v>5311.546895710556</v>
      </c>
      <c r="L178" s="621"/>
      <c r="M178" s="587">
        <f t="shared" si="21"/>
        <v>4818.331826823147</v>
      </c>
      <c r="N178" s="621"/>
      <c r="O178" s="587">
        <f t="shared" si="22"/>
        <v>4097.479033833859</v>
      </c>
      <c r="P178" s="621"/>
      <c r="Q178" s="587">
        <f t="shared" si="22"/>
        <v>3793.9620683646835</v>
      </c>
      <c r="R178" s="621"/>
    </row>
    <row r="179" spans="1:18" ht="16.5" thickBot="1">
      <c r="A179" s="340"/>
      <c r="B179" s="340"/>
      <c r="C179" s="340"/>
      <c r="D179" s="534"/>
      <c r="E179" s="834"/>
      <c r="F179" s="835"/>
      <c r="G179" s="834"/>
      <c r="H179" s="835"/>
      <c r="I179" s="834"/>
      <c r="J179" s="835"/>
      <c r="K179" s="834"/>
      <c r="L179" s="835"/>
      <c r="M179" s="834"/>
      <c r="N179" s="835"/>
      <c r="O179" s="834"/>
      <c r="P179" s="835"/>
      <c r="Q179" s="834"/>
      <c r="R179" s="835"/>
    </row>
    <row r="180" spans="1:18" ht="21" thickBot="1">
      <c r="A180" s="340"/>
      <c r="B180" s="340"/>
      <c r="C180" s="340"/>
      <c r="D180" s="535" t="str">
        <f>D230</f>
        <v>Líquido</v>
      </c>
      <c r="E180" s="836">
        <f>E230</f>
        <v>125409.31202181627</v>
      </c>
      <c r="F180" s="837"/>
      <c r="G180" s="836">
        <f>G230</f>
        <v>119182.61684036828</v>
      </c>
      <c r="H180" s="837"/>
      <c r="I180" s="836">
        <f>I230</f>
        <v>103778.25302413302</v>
      </c>
      <c r="J180" s="837"/>
      <c r="K180" s="836">
        <f>K230</f>
        <v>98836.43145155524</v>
      </c>
      <c r="L180" s="837"/>
      <c r="M180" s="836">
        <f>M230</f>
        <v>89658.76281676798</v>
      </c>
      <c r="N180" s="837"/>
      <c r="O180" s="836">
        <f>O230</f>
        <v>76245.2471197712</v>
      </c>
      <c r="P180" s="837"/>
      <c r="Q180" s="836">
        <f>Q230</f>
        <v>70597.4510368252</v>
      </c>
      <c r="R180" s="837"/>
    </row>
    <row r="181" spans="1:18" ht="15.75" thickTop="1">
      <c r="A181" s="340"/>
      <c r="D181" s="495"/>
      <c r="E181" s="590"/>
      <c r="F181" s="337"/>
      <c r="G181" s="590"/>
      <c r="H181" s="337"/>
      <c r="I181" s="590"/>
      <c r="J181" s="337"/>
      <c r="K181" s="590"/>
      <c r="L181" s="337"/>
      <c r="M181" s="590"/>
      <c r="N181" s="337"/>
      <c r="O181" s="590"/>
      <c r="P181" s="337"/>
      <c r="Q181" s="590"/>
      <c r="R181" s="337"/>
    </row>
    <row r="182" spans="1:18" ht="15.75">
      <c r="A182" s="340"/>
      <c r="B182" s="95"/>
      <c r="C182" s="95"/>
      <c r="D182" s="381"/>
      <c r="E182" s="379"/>
      <c r="F182" s="800"/>
      <c r="G182" s="379"/>
      <c r="H182" s="800"/>
      <c r="I182" s="379"/>
      <c r="J182" s="800"/>
      <c r="K182" s="379"/>
      <c r="L182" s="800"/>
      <c r="M182" s="379"/>
      <c r="N182" s="800"/>
      <c r="O182" s="379"/>
      <c r="P182" s="800"/>
      <c r="Q182" s="379"/>
      <c r="R182" s="800"/>
    </row>
    <row r="183" spans="1:18" ht="16.5" hidden="1" thickBot="1">
      <c r="A183" s="340"/>
      <c r="B183" s="95"/>
      <c r="C183" s="95"/>
      <c r="D183" s="798"/>
      <c r="E183" s="379"/>
      <c r="F183" s="800"/>
      <c r="G183" s="379"/>
      <c r="H183" s="800"/>
      <c r="I183" s="379"/>
      <c r="J183" s="800"/>
      <c r="K183" s="379"/>
      <c r="L183" s="800"/>
      <c r="M183" s="379"/>
      <c r="N183" s="800"/>
      <c r="O183" s="379"/>
      <c r="P183" s="800"/>
      <c r="Q183" s="379"/>
      <c r="R183" s="800"/>
    </row>
    <row r="184" spans="1:26" ht="23.25" customHeight="1" hidden="1" thickBot="1">
      <c r="A184" s="340"/>
      <c r="B184" s="685"/>
      <c r="C184" s="685"/>
      <c r="D184" s="686" t="s">
        <v>486</v>
      </c>
      <c r="E184" s="687">
        <f>E207</f>
        <v>250818.62404363253</v>
      </c>
      <c r="F184" s="686"/>
      <c r="G184" s="687">
        <f>G207</f>
        <v>238365.23368073656</v>
      </c>
      <c r="H184" s="686"/>
      <c r="I184" s="687">
        <f>I207</f>
        <v>207556.50604826605</v>
      </c>
      <c r="J184" s="686"/>
      <c r="K184" s="687">
        <f>K207</f>
        <v>197672.86290311048</v>
      </c>
      <c r="L184" s="686"/>
      <c r="M184" s="687">
        <f>M207</f>
        <v>179317.52563353596</v>
      </c>
      <c r="N184" s="686"/>
      <c r="O184" s="687">
        <f>O207</f>
        <v>152490.4942395424</v>
      </c>
      <c r="P184" s="686"/>
      <c r="Q184" s="687">
        <f>Q207</f>
        <v>141194.9020736504</v>
      </c>
      <c r="R184" s="686"/>
      <c r="S184" s="340"/>
      <c r="T184" s="340"/>
      <c r="U184" s="47"/>
      <c r="V184" s="47"/>
      <c r="W184" s="47"/>
      <c r="X184" s="47"/>
      <c r="Y184" s="47"/>
      <c r="Z184" s="47"/>
    </row>
    <row r="185" spans="2:18" ht="33" customHeight="1" hidden="1" thickBot="1">
      <c r="B185" s="689"/>
      <c r="C185" s="690"/>
      <c r="D185" s="691"/>
      <c r="E185" s="636" t="s">
        <v>533</v>
      </c>
      <c r="F185" s="618"/>
      <c r="G185" s="636" t="s">
        <v>532</v>
      </c>
      <c r="H185" s="618"/>
      <c r="I185" s="636" t="s">
        <v>528</v>
      </c>
      <c r="J185" s="618"/>
      <c r="K185" s="636" t="s">
        <v>527</v>
      </c>
      <c r="L185" s="618"/>
      <c r="M185" s="636" t="s">
        <v>526</v>
      </c>
      <c r="N185" s="618"/>
      <c r="O185" s="636" t="s">
        <v>525</v>
      </c>
      <c r="P185" s="659"/>
      <c r="Q185" s="857">
        <v>45261</v>
      </c>
      <c r="R185" s="618"/>
    </row>
    <row r="186" spans="2:18" ht="15.75" hidden="1" thickBot="1">
      <c r="B186" s="692">
        <v>400</v>
      </c>
      <c r="C186" s="692"/>
      <c r="D186" s="692" t="s">
        <v>13</v>
      </c>
      <c r="E186" s="693">
        <f>punbasjub*indiceene23*porjubcar*frac*aumento6</f>
        <v>54503.82180923839</v>
      </c>
      <c r="F186" s="688"/>
      <c r="G186" s="693">
        <f>punbasjub*indiceene23*porjubcar*frac*aumento5</f>
        <v>51797.65366941919</v>
      </c>
      <c r="H186" s="688"/>
      <c r="I186" s="693">
        <f>punbasjub*indiceene23*porjubcar*frac*Aumento4</f>
        <v>45102.80233031999</v>
      </c>
      <c r="J186" s="688"/>
      <c r="K186" s="693">
        <f>punbasjub*indiceene23*porjubcar*frac*Aumento3</f>
        <v>42955.04983839999</v>
      </c>
      <c r="L186" s="688"/>
      <c r="M186" s="693">
        <f>punbasjub*indiceene23*porjubcar*frac*Aumento2</f>
        <v>38966.366639119995</v>
      </c>
      <c r="N186" s="688"/>
      <c r="O186" s="693">
        <f>punbasjub*indiceene23*porjubcar*frac*aumento1</f>
        <v>33136.752732479996</v>
      </c>
      <c r="P186" s="688"/>
      <c r="Q186" s="693">
        <f>punbasjub*indiceene23*porjubcar*frac</f>
        <v>30682.178455999994</v>
      </c>
      <c r="R186" s="688"/>
    </row>
    <row r="187" spans="2:18" ht="15.75" hidden="1" thickBot="1">
      <c r="B187" s="692">
        <v>542</v>
      </c>
      <c r="C187" s="692"/>
      <c r="D187" s="692" t="s">
        <v>360</v>
      </c>
      <c r="E187" s="693">
        <f>compbasico2016*indiceene23*porjubcar*frac*aumento6</f>
        <v>23277.790838610876</v>
      </c>
      <c r="F187" s="688"/>
      <c r="G187" s="693">
        <f>compbasico2016*indiceene23*porjubcar*frac*aumento5</f>
        <v>22122.025722665436</v>
      </c>
      <c r="H187" s="688"/>
      <c r="I187" s="693">
        <f>compbasico2016*indiceene23*porjubcar*frac*Aumento4</f>
        <v>19262.751932423995</v>
      </c>
      <c r="J187" s="688"/>
      <c r="K187" s="693">
        <f>compbasico2016*indiceene23*porjubcar*frac*Aumento3</f>
        <v>18345.478030879996</v>
      </c>
      <c r="L187" s="688"/>
      <c r="M187" s="693">
        <f>compbasico2016*indiceene23*porjubcar*frac*Aumento2</f>
        <v>16641.969356583995</v>
      </c>
      <c r="N187" s="688"/>
      <c r="O187" s="693">
        <f>compbasico2016*indiceene23*porjubcar*frac*aumento1</f>
        <v>14152.225909535999</v>
      </c>
      <c r="P187" s="688"/>
      <c r="Q187" s="693">
        <f>compbasico2016*indiceene23*porjubcar*frac</f>
        <v>13103.912879199997</v>
      </c>
      <c r="R187" s="688"/>
    </row>
    <row r="188" spans="2:18" ht="15.75" hidden="1" thickBot="1">
      <c r="B188" s="694" t="s">
        <v>493</v>
      </c>
      <c r="C188" s="694"/>
      <c r="D188" s="685" t="s">
        <v>371</v>
      </c>
      <c r="E188" s="695">
        <f>IF(nina=0,puntosadicdir2022*indiceene23*porjubcar*frac,puntosadicdir2016*indiceene23*porjubcar*frac)*aumento6</f>
        <v>0</v>
      </c>
      <c r="F188" s="688"/>
      <c r="G188" s="695">
        <f>IF(nina=0,puntosadicdir2022*indiceene23*porjubcar*frac,puntosadicdir2016*indiceene23*porjubcar*frac)*aumento5</f>
        <v>0</v>
      </c>
      <c r="H188" s="688"/>
      <c r="I188" s="695">
        <f>IF(nina=0,puntosadicdir2022*indiceene23*porjubcar*frac,puntosadicdir2016*indiceene23*porjubcar*frac)*Aumento4</f>
        <v>0</v>
      </c>
      <c r="J188" s="688"/>
      <c r="K188" s="695">
        <f>IF(nina=0,puntosadicdir2022*indiceene23*porjubcar*frac,puntosadicdir2016*indiceene23*porjubcar*frac)*Aumento3</f>
        <v>0</v>
      </c>
      <c r="L188" s="688"/>
      <c r="M188" s="695">
        <f>IF(nina=0,puntosadicdir2022*indiceene23*porjubcar*frac,puntosadicdir2016*indiceene23*porjubcar*frac)*Aumento2</f>
        <v>0</v>
      </c>
      <c r="N188" s="688"/>
      <c r="O188" s="695">
        <f>IF(nina=0,puntosadicdir2022*indiceene23*porjubcar*frac,puntosadicdir2016*indiceene23*porjubcar*frac)*aumento1</f>
        <v>0</v>
      </c>
      <c r="P188" s="688"/>
      <c r="Q188" s="695">
        <f>IF(nina=0,puntosadicdir2022*indiceene23*porjubcar*frac,puntosadicdir2016*indiceene23*porjubcar*frac)</f>
        <v>0</v>
      </c>
      <c r="R188" s="688"/>
    </row>
    <row r="189" spans="2:18" ht="15.75" hidden="1" thickBot="1">
      <c r="B189" s="696">
        <v>430</v>
      </c>
      <c r="C189" s="696"/>
      <c r="D189" s="697" t="s">
        <v>477</v>
      </c>
      <c r="E189" s="698">
        <f>puntosadicnina*indiceproljorene23*porjubcar*frac*aumento6</f>
        <v>0</v>
      </c>
      <c r="F189" s="699"/>
      <c r="G189" s="698">
        <f>puntosadicnina*indiceproljorene23*porjubcar*frac*aumento5</f>
        <v>0</v>
      </c>
      <c r="H189" s="699"/>
      <c r="I189" s="698">
        <f>puntosadicnina*indiceproljorene23*porjubcar*frac*Aumento4</f>
        <v>0</v>
      </c>
      <c r="J189" s="699"/>
      <c r="K189" s="698">
        <f>puntosadicnina*indiceproljorene23*porjubcar*frac*Aumento3</f>
        <v>0</v>
      </c>
      <c r="L189" s="699"/>
      <c r="M189" s="698">
        <f>puntosadicnina*indiceproljorene23*porjubcar*frac*Aumento2</f>
        <v>0</v>
      </c>
      <c r="N189" s="699"/>
      <c r="O189" s="698">
        <f>puntosadicnina*indiceproljorene23*porjubcar*frac*aumento1</f>
        <v>0</v>
      </c>
      <c r="P189" s="699"/>
      <c r="Q189" s="698">
        <f>puntosadicnina*indiceproljorene23*porjubcar*frac</f>
        <v>0</v>
      </c>
      <c r="R189" s="699"/>
    </row>
    <row r="190" spans="2:18" ht="15.75" hidden="1" thickBot="1">
      <c r="B190" s="692">
        <v>404</v>
      </c>
      <c r="C190" s="692"/>
      <c r="D190" s="700" t="s">
        <v>314</v>
      </c>
      <c r="E190" s="693">
        <f>puntostareadifer*indiceene23*porjubcar*frac*aumento6</f>
        <v>0</v>
      </c>
      <c r="F190" s="701"/>
      <c r="G190" s="693">
        <f>puntostareadifer*indiceene23*porjubcar*frac*aumento5</f>
        <v>0</v>
      </c>
      <c r="H190" s="701"/>
      <c r="I190" s="693">
        <f>puntostareadifer*indiceene23*porjubcar*frac*Aumento4</f>
        <v>0</v>
      </c>
      <c r="J190" s="701"/>
      <c r="K190" s="693">
        <f>puntostareadifer*indiceene23*porjubcar*frac*Aumento3</f>
        <v>0</v>
      </c>
      <c r="L190" s="701"/>
      <c r="M190" s="693">
        <f>puntostareadifer*indiceene23*porjubcar*frac*Aumento2</f>
        <v>0</v>
      </c>
      <c r="N190" s="701"/>
      <c r="O190" s="693">
        <f>puntostareadifer*indiceene23*porjubcar*frac*aumento1</f>
        <v>0</v>
      </c>
      <c r="P190" s="701"/>
      <c r="Q190" s="693">
        <f>puntostareadifer*indiceene23*porjubcar*frac</f>
        <v>0</v>
      </c>
      <c r="R190" s="701"/>
    </row>
    <row r="191" spans="2:18" ht="15.75" hidden="1" thickBot="1">
      <c r="B191" s="692">
        <v>406</v>
      </c>
      <c r="C191" s="692"/>
      <c r="D191" s="692" t="s">
        <v>14</v>
      </c>
      <c r="E191" s="693">
        <f>(E186+E187+E188+E189+E190+E193)*porcantigcargo</f>
        <v>93337.93517741912</v>
      </c>
      <c r="F191" s="688"/>
      <c r="G191" s="693">
        <f>(G186+G187+G188+G189+G190+G193)*porcantigcargo</f>
        <v>88703.61527050154</v>
      </c>
      <c r="H191" s="688"/>
      <c r="I191" s="693">
        <f>(I186+I187+I188+I189+I190+I193)*porcantigcargo</f>
        <v>77238.66511529278</v>
      </c>
      <c r="J191" s="688"/>
      <c r="K191" s="693">
        <f>(K186+K187+K188+K189+K190+K193)*porcantigcargo</f>
        <v>73560.63344313597</v>
      </c>
      <c r="L191" s="688"/>
      <c r="M191" s="693">
        <f>(M186+M187+M188+M189+M190+M193)*porcantigcargo</f>
        <v>66730.00319484479</v>
      </c>
      <c r="N191" s="688"/>
      <c r="O191" s="693">
        <f>(O186+O187+O188+O189+O190+O193)*porcantigcargo</f>
        <v>56746.77437041919</v>
      </c>
      <c r="P191" s="688"/>
      <c r="Q191" s="693">
        <f>(Q186+Q187+Q188+Q189+Q190+Q193)*porcantigcargo</f>
        <v>52543.30960223999</v>
      </c>
      <c r="R191" s="688"/>
    </row>
    <row r="192" spans="2:18" ht="15.75" hidden="1" thickBot="1">
      <c r="B192" s="692">
        <v>408</v>
      </c>
      <c r="C192" s="692"/>
      <c r="D192" s="692" t="s">
        <v>331</v>
      </c>
      <c r="E192" s="693">
        <f>(E186+E187+E188+E189+E190+E193)*porczona</f>
        <v>0</v>
      </c>
      <c r="F192" s="688"/>
      <c r="G192" s="693">
        <f>(G186+G187+G188+G189+G190+G193)*porczona</f>
        <v>0</v>
      </c>
      <c r="H192" s="688"/>
      <c r="I192" s="693">
        <f>(I186+I187+I188+I189+I190+I193)*porczona</f>
        <v>0</v>
      </c>
      <c r="J192" s="688"/>
      <c r="K192" s="693">
        <f>(K186+K187+K188+K189+K190+K193)*porczona</f>
        <v>0</v>
      </c>
      <c r="L192" s="688"/>
      <c r="M192" s="693">
        <f>(M186+M187+M188+M189+M190+M193)*porczona</f>
        <v>0</v>
      </c>
      <c r="N192" s="688"/>
      <c r="O192" s="693">
        <f>(O186+O187+O188+O189+O190+O193)*porczona</f>
        <v>0</v>
      </c>
      <c r="P192" s="688"/>
      <c r="Q192" s="693">
        <f>(Q186+Q187+Q188+Q189+Q190+Q193)*porczona</f>
        <v>0</v>
      </c>
      <c r="R192" s="688"/>
    </row>
    <row r="193" spans="2:18" ht="15.75" hidden="1" thickBot="1">
      <c r="B193" s="692">
        <v>416</v>
      </c>
      <c r="C193" s="692"/>
      <c r="D193" s="692" t="s">
        <v>315</v>
      </c>
      <c r="E193" s="693">
        <f>puntosproljor*indiceproljorene23*porjubcar*frac*aumento6</f>
        <v>0</v>
      </c>
      <c r="F193" s="688"/>
      <c r="G193" s="693">
        <f>puntosproljor*indiceproljorene23*porjubcar*frac*aumento5</f>
        <v>0</v>
      </c>
      <c r="H193" s="688"/>
      <c r="I193" s="693">
        <f>puntosproljor*indiceproljorene23*porjubcar*frac*Aumento4</f>
        <v>0</v>
      </c>
      <c r="J193" s="688"/>
      <c r="K193" s="693">
        <f>puntosproljor*indiceproljorene23*porjubcar*frac*Aumento3</f>
        <v>0</v>
      </c>
      <c r="L193" s="688"/>
      <c r="M193" s="693">
        <f>puntosproljor*indiceproljorene23*porjubcar*frac*Aumento2</f>
        <v>0</v>
      </c>
      <c r="N193" s="688"/>
      <c r="O193" s="693">
        <f>puntosproljor*indiceproljorene23*porjubcar*frac*aumento1</f>
        <v>0</v>
      </c>
      <c r="P193" s="688"/>
      <c r="Q193" s="693">
        <f>puntosproljor*indiceproljorene23*porjubcar*frac</f>
        <v>0</v>
      </c>
      <c r="R193" s="688"/>
    </row>
    <row r="194" spans="2:18" ht="15.75" hidden="1" thickBot="1">
      <c r="B194" s="692">
        <v>432</v>
      </c>
      <c r="C194" s="692"/>
      <c r="D194" s="692" t="s">
        <v>329</v>
      </c>
      <c r="E194" s="693">
        <f>cod06ene23*porjubcar*frac*aumento6</f>
        <v>72101.162704</v>
      </c>
      <c r="F194" s="688"/>
      <c r="G194" s="693">
        <f>cod06ene23*porjubcar*frac*aumento5</f>
        <v>68521.269352</v>
      </c>
      <c r="H194" s="688"/>
      <c r="I194" s="693">
        <f>cod06ene23*porjubcar*frac*Aumento4</f>
        <v>59664.8892</v>
      </c>
      <c r="J194" s="688"/>
      <c r="K194" s="693">
        <f>cod06ene23*porjubcar*frac*Aumento3</f>
        <v>56823.704</v>
      </c>
      <c r="L194" s="688"/>
      <c r="M194" s="693">
        <f>cod06ene23*porjubcar*frac*Aumento2</f>
        <v>51547.2172</v>
      </c>
      <c r="N194" s="688"/>
      <c r="O194" s="693">
        <f>cod06ene23*porjubcar*frac*aumento1</f>
        <v>43835.4288</v>
      </c>
      <c r="P194" s="688"/>
      <c r="Q194" s="693">
        <f>cod06ene23*porjubcar*frac</f>
        <v>40588.36</v>
      </c>
      <c r="R194" s="688"/>
    </row>
    <row r="195" spans="2:18" ht="15.75" hidden="1" thickBot="1">
      <c r="B195" s="692">
        <v>434</v>
      </c>
      <c r="C195" s="692"/>
      <c r="D195" s="692" t="s">
        <v>313</v>
      </c>
      <c r="E195" s="693">
        <f>(E186+E187+E188+E189+E190+E191+E192+E193+E194+E196)*0.07*0.95</f>
        <v>16479.891729890187</v>
      </c>
      <c r="F195" s="688"/>
      <c r="G195" s="693">
        <f>(G186+G187+G188+G189+G190+G191+G192+G193+G194+G196)*0.07*0.95</f>
        <v>15661.648963296902</v>
      </c>
      <c r="H195" s="688"/>
      <c r="I195" s="693">
        <f>(I186+I187+I188+I189+I190+I191+I192+I193+I194+I196)*0.07*0.95</f>
        <v>13637.379443221445</v>
      </c>
      <c r="J195" s="688"/>
      <c r="K195" s="693">
        <f>(K186+K187+K188+K189+K190+K191+K192+K193+K194+K196)*0.07*0.95</f>
        <v>12987.980422115661</v>
      </c>
      <c r="L195" s="688"/>
      <c r="M195" s="693">
        <f>(M186+M187+M188+M189+M190+M191+M192+M193+M194+M196)*0.07*0.95</f>
        <v>11781.953668633492</v>
      </c>
      <c r="N195" s="688"/>
      <c r="O195" s="693">
        <f>(O186+O187+O188+O189+O190+O191+O192+O193+O194+O196)*0.07*0.95</f>
        <v>10019.299182774941</v>
      </c>
      <c r="P195" s="688"/>
      <c r="Q195" s="693">
        <f>(Q186+Q187+Q188+Q189+Q190+Q191+Q192+Q193+Q194+Q196)*0.07*0.95</f>
        <v>9277.128872939758</v>
      </c>
      <c r="R195" s="688"/>
    </row>
    <row r="196" spans="2:18" ht="15.75" hidden="1" thickBot="1">
      <c r="B196" s="692">
        <v>437</v>
      </c>
      <c r="C196" s="692"/>
      <c r="D196" s="702" t="s">
        <v>484</v>
      </c>
      <c r="E196" s="703">
        <f>IF(AND(puntosproljor&lt;620,PUNTOSbasicos&lt;2200),3156.02,6312.04)*porjubcar*frac*aumento6</f>
        <v>4597.21022096</v>
      </c>
      <c r="F196" s="704"/>
      <c r="G196" s="703">
        <f>IF(AND(puntosproljor&lt;620,PUNTOSbasicos&lt;2200),3156.02,6312.04)*porjubcar*frac*aumento5</f>
        <v>4368.95423048</v>
      </c>
      <c r="H196" s="704"/>
      <c r="I196" s="703">
        <f>IF(AND(puntosproljor&lt;620,PUNTOSbasicos&lt;2200),3156.02,6312.04)*porjubcar*frac*Aumento4</f>
        <v>3804.266508</v>
      </c>
      <c r="J196" s="704"/>
      <c r="K196" s="703">
        <f>IF(AND(puntosproljor&lt;620,PUNTOSbasicos&lt;2200),3156.02,6312.04)*porjubcar*frac*Aumento3</f>
        <v>3623.11096</v>
      </c>
      <c r="L196" s="704"/>
      <c r="M196" s="703">
        <f>IF(AND(puntosproljor&lt;620,PUNTOSbasicos&lt;2200),3156.02,6312.04)*porjubcar*frac*Aumento2</f>
        <v>3286.679228</v>
      </c>
      <c r="N196" s="704"/>
      <c r="O196" s="703">
        <f>IF(AND(puntosproljor&lt;620,PUNTOSbasicos&lt;2200),3156.02,6312.04)*porjubcar*frac*aumento1</f>
        <v>2794.971312</v>
      </c>
      <c r="P196" s="704"/>
      <c r="Q196" s="703">
        <f>IF(AND(puntosproljor&lt;620,PUNTOSbasicos&lt;2200),3156.02,6312.04)*porjubcar*frac</f>
        <v>2587.9364</v>
      </c>
      <c r="R196" s="704"/>
    </row>
    <row r="197" spans="2:18" ht="16.5" hidden="1" thickBot="1">
      <c r="B197" s="692"/>
      <c r="C197" s="692"/>
      <c r="D197" s="692" t="s">
        <v>327</v>
      </c>
      <c r="E197" s="705">
        <f>E150</f>
        <v>0</v>
      </c>
      <c r="F197" s="688"/>
      <c r="G197" s="705">
        <f>G150</f>
        <v>0</v>
      </c>
      <c r="H197" s="688"/>
      <c r="I197" s="705">
        <f>I150</f>
        <v>0</v>
      </c>
      <c r="J197" s="688"/>
      <c r="K197" s="705">
        <f>K150</f>
        <v>0</v>
      </c>
      <c r="L197" s="688"/>
      <c r="M197" s="705">
        <f>M150</f>
        <v>0</v>
      </c>
      <c r="N197" s="688"/>
      <c r="O197" s="705">
        <f>O150</f>
        <v>0</v>
      </c>
      <c r="P197" s="688"/>
      <c r="Q197" s="705">
        <f>Q150</f>
        <v>0</v>
      </c>
      <c r="R197" s="688"/>
    </row>
    <row r="198" spans="2:18" ht="18.75" hidden="1" thickBot="1">
      <c r="B198" s="692"/>
      <c r="C198" s="692"/>
      <c r="D198" s="707" t="s">
        <v>15</v>
      </c>
      <c r="E198" s="708">
        <f>SUM(E186:E197)</f>
        <v>264297.8124801186</v>
      </c>
      <c r="F198" s="709"/>
      <c r="G198" s="708">
        <f>SUM(G186:G197)</f>
        <v>251175.1672083631</v>
      </c>
      <c r="H198" s="709"/>
      <c r="I198" s="708">
        <f>SUM(I186:I197)</f>
        <v>218710.7545292582</v>
      </c>
      <c r="J198" s="709"/>
      <c r="K198" s="708">
        <f>SUM(K186:K197)</f>
        <v>208295.9566945316</v>
      </c>
      <c r="L198" s="709"/>
      <c r="M198" s="708">
        <f>SUM(M186:M197)</f>
        <v>188954.18928718226</v>
      </c>
      <c r="N198" s="709"/>
      <c r="O198" s="708">
        <f>SUM(O186:O197)</f>
        <v>160685.45230721013</v>
      </c>
      <c r="P198" s="709"/>
      <c r="Q198" s="708">
        <f>SUM(Q186:Q197)</f>
        <v>148782.82621037975</v>
      </c>
      <c r="R198" s="709"/>
    </row>
    <row r="199" spans="2:18" ht="15.75" hidden="1" thickBot="1">
      <c r="B199" s="692">
        <v>703</v>
      </c>
      <c r="C199" s="711">
        <v>0.0025</v>
      </c>
      <c r="D199" s="712" t="s">
        <v>316</v>
      </c>
      <c r="E199" s="713">
        <f>(E198-E197)*$C199</f>
        <v>660.7445312002965</v>
      </c>
      <c r="F199" s="714"/>
      <c r="G199" s="713">
        <f>(G198-G197)*$C199</f>
        <v>627.9379180209078</v>
      </c>
      <c r="H199" s="714"/>
      <c r="I199" s="713">
        <f>(I198-I197)*$C199</f>
        <v>546.7768863231455</v>
      </c>
      <c r="J199" s="714"/>
      <c r="K199" s="713">
        <f>(K198-K197)*$C199</f>
        <v>520.739891736329</v>
      </c>
      <c r="L199" s="714"/>
      <c r="M199" s="713">
        <f>(M198-M197)*$C199</f>
        <v>472.3854732179557</v>
      </c>
      <c r="N199" s="714"/>
      <c r="O199" s="713">
        <f>(O198-O197)*$C199</f>
        <v>401.7136307680253</v>
      </c>
      <c r="P199" s="714"/>
      <c r="Q199" s="713">
        <f>(Q198-Q197)*$C199</f>
        <v>371.95706552594936</v>
      </c>
      <c r="R199" s="714"/>
    </row>
    <row r="200" spans="2:18" ht="15.75" hidden="1" thickBot="1">
      <c r="B200" s="685">
        <v>707</v>
      </c>
      <c r="C200" s="715">
        <v>0.03</v>
      </c>
      <c r="D200" s="692" t="s">
        <v>17</v>
      </c>
      <c r="E200" s="713">
        <f>(E198-E197)*$C200</f>
        <v>7928.934374403558</v>
      </c>
      <c r="F200" s="688"/>
      <c r="G200" s="713">
        <f>(G198-G197)*$C200</f>
        <v>7535.255016250892</v>
      </c>
      <c r="H200" s="688"/>
      <c r="I200" s="713">
        <f>(I198-I197)*$C200</f>
        <v>6561.322635877746</v>
      </c>
      <c r="J200" s="688"/>
      <c r="K200" s="713">
        <f>(K198-K197)*$C200</f>
        <v>6248.878700835948</v>
      </c>
      <c r="L200" s="688"/>
      <c r="M200" s="713">
        <f>(M198-M197)*$C200</f>
        <v>5668.625678615468</v>
      </c>
      <c r="N200" s="688"/>
      <c r="O200" s="713">
        <f>(O198-O197)*$C200</f>
        <v>4820.563569216304</v>
      </c>
      <c r="P200" s="688"/>
      <c r="Q200" s="713">
        <f>(Q198-Q197)*$C200</f>
        <v>4463.484786311392</v>
      </c>
      <c r="R200" s="688"/>
    </row>
    <row r="201" spans="2:18" ht="16.5" hidden="1" thickBot="1">
      <c r="B201" s="685">
        <v>709</v>
      </c>
      <c r="C201" s="716">
        <f>C154</f>
        <v>0.0015</v>
      </c>
      <c r="D201" s="692" t="s">
        <v>18</v>
      </c>
      <c r="E201" s="713">
        <f>(E198-E197)*$C201</f>
        <v>396.4467187201779</v>
      </c>
      <c r="F201" s="688"/>
      <c r="G201" s="713">
        <f>(G198-G197)*$C201</f>
        <v>376.76275081254465</v>
      </c>
      <c r="H201" s="688"/>
      <c r="I201" s="713">
        <f>(I198-I197)*$C201</f>
        <v>328.06613179388734</v>
      </c>
      <c r="J201" s="688"/>
      <c r="K201" s="713">
        <f>(K198-K197)*$C201</f>
        <v>312.44393504179743</v>
      </c>
      <c r="L201" s="688"/>
      <c r="M201" s="713">
        <f>(M198-M197)*$C201</f>
        <v>283.4312839307734</v>
      </c>
      <c r="N201" s="688"/>
      <c r="O201" s="713">
        <f>(O198-O197)*$C201</f>
        <v>241.0281784608152</v>
      </c>
      <c r="P201" s="688"/>
      <c r="Q201" s="713">
        <f>(Q198-Q197)*$C201</f>
        <v>223.17423931556962</v>
      </c>
      <c r="R201" s="688"/>
    </row>
    <row r="202" spans="2:18" ht="15.75" hidden="1" thickBot="1">
      <c r="B202" s="685">
        <v>713</v>
      </c>
      <c r="C202" s="717">
        <v>0.007</v>
      </c>
      <c r="D202" s="692" t="s">
        <v>20</v>
      </c>
      <c r="E202" s="713">
        <f>(E198-E197)*$C202</f>
        <v>1850.0846873608302</v>
      </c>
      <c r="F202" s="688"/>
      <c r="G202" s="713">
        <f>(G198-G197)*$C202</f>
        <v>1758.2261704585417</v>
      </c>
      <c r="H202" s="688"/>
      <c r="I202" s="713">
        <f>(I198-I197)*$C202</f>
        <v>1530.9752817048075</v>
      </c>
      <c r="J202" s="688"/>
      <c r="K202" s="713">
        <f>(K198-K197)*$C202</f>
        <v>1458.0716968617212</v>
      </c>
      <c r="L202" s="688"/>
      <c r="M202" s="713">
        <f>(M198-M197)*$C202</f>
        <v>1322.6793250102758</v>
      </c>
      <c r="N202" s="688"/>
      <c r="O202" s="713">
        <f>(O198-O197)*$C202</f>
        <v>1124.798166150471</v>
      </c>
      <c r="P202" s="688"/>
      <c r="Q202" s="713">
        <f>(Q198-Q197)*$C202</f>
        <v>1041.4797834726583</v>
      </c>
      <c r="R202" s="688"/>
    </row>
    <row r="203" spans="2:18" ht="15.75" hidden="1" thickBot="1">
      <c r="B203" s="685">
        <v>787</v>
      </c>
      <c r="C203" s="715">
        <v>0.01</v>
      </c>
      <c r="D203" s="692" t="s">
        <v>387</v>
      </c>
      <c r="E203" s="713">
        <f>(E198-E197)*$C203</f>
        <v>2642.978124801186</v>
      </c>
      <c r="F203" s="688"/>
      <c r="G203" s="713">
        <f>(G198-G197)*$C203</f>
        <v>2511.751672083631</v>
      </c>
      <c r="H203" s="688"/>
      <c r="I203" s="713">
        <f>(I198-I197)*$C203</f>
        <v>2187.107545292582</v>
      </c>
      <c r="J203" s="688"/>
      <c r="K203" s="713">
        <f>(K198-K197)*$C203</f>
        <v>2082.959566945316</v>
      </c>
      <c r="L203" s="688"/>
      <c r="M203" s="713">
        <f>(M198-M197)*$C203</f>
        <v>1889.5418928718227</v>
      </c>
      <c r="N203" s="688"/>
      <c r="O203" s="713">
        <f>(O198-O197)*$C203</f>
        <v>1606.8545230721013</v>
      </c>
      <c r="P203" s="688"/>
      <c r="Q203" s="713">
        <f>(Q198-Q197)*$C203</f>
        <v>1487.8282621037974</v>
      </c>
      <c r="R203" s="688"/>
    </row>
    <row r="204" spans="2:21" ht="16.5" hidden="1" thickBot="1">
      <c r="B204" s="685"/>
      <c r="C204" s="685"/>
      <c r="D204" s="692" t="s">
        <v>21</v>
      </c>
      <c r="E204" s="718"/>
      <c r="F204" s="688"/>
      <c r="G204" s="718"/>
      <c r="H204" s="688"/>
      <c r="I204" s="718"/>
      <c r="J204" s="688"/>
      <c r="K204" s="718"/>
      <c r="L204" s="688"/>
      <c r="M204" s="718"/>
      <c r="N204" s="688"/>
      <c r="O204" s="718"/>
      <c r="P204" s="688"/>
      <c r="Q204" s="718"/>
      <c r="R204" s="688"/>
      <c r="S204" s="47"/>
      <c r="T204" s="47"/>
      <c r="U204" s="47"/>
    </row>
    <row r="205" spans="2:20" ht="16.5" hidden="1" thickBot="1">
      <c r="B205" s="685"/>
      <c r="C205" s="685"/>
      <c r="D205" s="719" t="s">
        <v>22</v>
      </c>
      <c r="E205" s="708">
        <f>SUM(E199:E204)</f>
        <v>13479.188436486047</v>
      </c>
      <c r="F205" s="710"/>
      <c r="G205" s="708">
        <f>SUM(G199:G204)</f>
        <v>12809.93352762652</v>
      </c>
      <c r="H205" s="710"/>
      <c r="I205" s="708">
        <f>SUM(I199:I204)</f>
        <v>11154.248480992168</v>
      </c>
      <c r="J205" s="710"/>
      <c r="K205" s="708">
        <f>SUM(K199:K204)</f>
        <v>10623.093791421112</v>
      </c>
      <c r="L205" s="710"/>
      <c r="M205" s="708">
        <f>SUM(M199:M204)</f>
        <v>9636.663653646294</v>
      </c>
      <c r="N205" s="710"/>
      <c r="O205" s="708">
        <f>SUM(O199:O204)</f>
        <v>8194.958067667718</v>
      </c>
      <c r="P205" s="710"/>
      <c r="Q205" s="708">
        <f>SUM(Q199:Q204)</f>
        <v>7587.924136729367</v>
      </c>
      <c r="R205" s="710"/>
      <c r="T205" s="10">
        <f>S199-T199</f>
        <v>0</v>
      </c>
    </row>
    <row r="206" spans="2:20" ht="16.5" hidden="1" thickBot="1">
      <c r="B206" s="720"/>
      <c r="C206" s="720"/>
      <c r="D206" s="692"/>
      <c r="E206" s="721"/>
      <c r="F206" s="688"/>
      <c r="G206" s="721"/>
      <c r="H206" s="688"/>
      <c r="I206" s="721"/>
      <c r="J206" s="688"/>
      <c r="K206" s="721"/>
      <c r="L206" s="688"/>
      <c r="M206" s="721"/>
      <c r="N206" s="688"/>
      <c r="O206" s="721"/>
      <c r="P206" s="688"/>
      <c r="Q206" s="721"/>
      <c r="R206" s="688"/>
      <c r="T206" s="10">
        <f>S200-T200</f>
        <v>0</v>
      </c>
    </row>
    <row r="207" spans="2:20" ht="21" hidden="1" thickBot="1">
      <c r="B207" s="722"/>
      <c r="C207" s="722"/>
      <c r="D207" s="723" t="s">
        <v>23</v>
      </c>
      <c r="E207" s="900">
        <f>E198-E205</f>
        <v>250818.62404363253</v>
      </c>
      <c r="F207" s="901"/>
      <c r="G207" s="900">
        <f>G198-G205</f>
        <v>238365.23368073656</v>
      </c>
      <c r="H207" s="901"/>
      <c r="I207" s="900">
        <f>I198-I205</f>
        <v>207556.50604826605</v>
      </c>
      <c r="J207" s="901"/>
      <c r="K207" s="900">
        <f>K198-K205</f>
        <v>197672.86290311048</v>
      </c>
      <c r="L207" s="901"/>
      <c r="M207" s="900">
        <f>M198-M205</f>
        <v>179317.52563353596</v>
      </c>
      <c r="N207" s="901"/>
      <c r="O207" s="900">
        <f>O198-O205</f>
        <v>152490.4942395424</v>
      </c>
      <c r="P207" s="901"/>
      <c r="Q207" s="900">
        <f>Q198-Q205</f>
        <v>141194.9020736504</v>
      </c>
      <c r="R207" s="724"/>
      <c r="T207" s="10">
        <f>T206-2640</f>
        <v>-2640</v>
      </c>
    </row>
    <row r="208" spans="2:20" ht="16.5" hidden="1" thickBot="1">
      <c r="B208" s="722"/>
      <c r="C208" s="722"/>
      <c r="D208" s="725"/>
      <c r="E208" s="726"/>
      <c r="F208" s="727"/>
      <c r="G208" s="726"/>
      <c r="H208" s="727"/>
      <c r="I208" s="726"/>
      <c r="J208" s="727"/>
      <c r="K208" s="726"/>
      <c r="L208" s="727"/>
      <c r="M208" s="726"/>
      <c r="N208" s="727"/>
      <c r="O208" s="726"/>
      <c r="P208" s="727"/>
      <c r="Q208" s="726"/>
      <c r="R208" s="727"/>
      <c r="T208" s="10">
        <f>T207-3838</f>
        <v>-6478</v>
      </c>
    </row>
    <row r="209" spans="2:18" ht="16.5" hidden="1" thickBot="1">
      <c r="B209" s="685"/>
      <c r="C209" s="728"/>
      <c r="D209" s="729" t="s">
        <v>499</v>
      </c>
      <c r="E209" s="730">
        <f>E207-G207</f>
        <v>12453.390362895967</v>
      </c>
      <c r="F209" s="731"/>
      <c r="G209" s="730">
        <f>G207-I207</f>
        <v>30808.727632470516</v>
      </c>
      <c r="H209" s="731"/>
      <c r="I209" s="730">
        <f>I207-K207</f>
        <v>9883.643145155569</v>
      </c>
      <c r="J209" s="731"/>
      <c r="K209" s="730">
        <f>K207-M207</f>
        <v>18355.33726957452</v>
      </c>
      <c r="L209" s="731"/>
      <c r="M209" s="730">
        <f>M207-O207</f>
        <v>26827.03139399356</v>
      </c>
      <c r="N209" s="731"/>
      <c r="O209" s="730">
        <f>O207-Q207</f>
        <v>11295.592165892012</v>
      </c>
      <c r="P209" s="731"/>
      <c r="Q209" s="730"/>
      <c r="R209" s="731"/>
    </row>
    <row r="210" spans="2:18" ht="16.5" hidden="1" thickBot="1">
      <c r="B210" s="732"/>
      <c r="C210" s="728"/>
      <c r="D210" s="729" t="s">
        <v>492</v>
      </c>
      <c r="E210" s="733">
        <f>E209/G207</f>
        <v>0.05224499466887811</v>
      </c>
      <c r="F210" s="731"/>
      <c r="G210" s="733">
        <f>G209/I207</f>
        <v>0.14843537414965988</v>
      </c>
      <c r="H210" s="731"/>
      <c r="I210" s="733">
        <f>I209/K207</f>
        <v>0.050000000000000225</v>
      </c>
      <c r="J210" s="731"/>
      <c r="K210" s="733">
        <f>K209/M207</f>
        <v>0.1023622047244093</v>
      </c>
      <c r="L210" s="731"/>
      <c r="M210" s="733">
        <f>M209/O207</f>
        <v>0.17592592592592585</v>
      </c>
      <c r="N210" s="731"/>
      <c r="O210" s="733">
        <f>O209/Q207</f>
        <v>0.07999999999999986</v>
      </c>
      <c r="P210" s="731"/>
      <c r="Q210" s="733"/>
      <c r="R210" s="731"/>
    </row>
    <row r="211" spans="2:18" ht="15.75" hidden="1" thickBot="1">
      <c r="B211" s="685"/>
      <c r="C211" s="728"/>
      <c r="D211" s="692"/>
      <c r="E211" s="692"/>
      <c r="F211" s="688"/>
      <c r="G211" s="692"/>
      <c r="H211" s="688"/>
      <c r="I211" s="692"/>
      <c r="J211" s="688"/>
      <c r="K211" s="692"/>
      <c r="L211" s="688"/>
      <c r="M211" s="692"/>
      <c r="N211" s="688"/>
      <c r="O211" s="692"/>
      <c r="P211" s="688"/>
      <c r="Q211" s="692"/>
      <c r="R211" s="688"/>
    </row>
    <row r="212" spans="2:18" ht="16.5" hidden="1" thickBot="1">
      <c r="B212" s="685"/>
      <c r="C212" s="728"/>
      <c r="D212" s="734" t="s">
        <v>501</v>
      </c>
      <c r="E212" s="735">
        <f>E207-$Q207</f>
        <v>109623.72196998214</v>
      </c>
      <c r="F212" s="731"/>
      <c r="G212" s="735">
        <f>G207-$Q207</f>
        <v>97170.33160708618</v>
      </c>
      <c r="H212" s="731"/>
      <c r="I212" s="735">
        <f>I207-$Q207</f>
        <v>66361.60397461566</v>
      </c>
      <c r="J212" s="731"/>
      <c r="K212" s="735">
        <f>K207-$Q207</f>
        <v>56477.96082946009</v>
      </c>
      <c r="L212" s="731"/>
      <c r="M212" s="735">
        <f>M207-$Q207</f>
        <v>38122.62355988557</v>
      </c>
      <c r="N212" s="731"/>
      <c r="O212" s="735">
        <f>O207-$Q207</f>
        <v>11295.592165892012</v>
      </c>
      <c r="P212" s="731"/>
      <c r="Q212" s="735"/>
      <c r="R212" s="731"/>
    </row>
    <row r="213" spans="2:18" ht="16.5" hidden="1" thickBot="1">
      <c r="B213" s="685"/>
      <c r="C213" s="728"/>
      <c r="D213" s="734" t="s">
        <v>509</v>
      </c>
      <c r="E213" s="736">
        <f>E212/$Q207</f>
        <v>0.7763999999999999</v>
      </c>
      <c r="F213" s="731"/>
      <c r="G213" s="736">
        <f>G212/$Q207</f>
        <v>0.6881999999999998</v>
      </c>
      <c r="H213" s="731"/>
      <c r="I213" s="736">
        <f>I212/$Q207</f>
        <v>0.46999999999999986</v>
      </c>
      <c r="J213" s="731"/>
      <c r="K213" s="736">
        <f>K212/$Q207</f>
        <v>0.3999999999999995</v>
      </c>
      <c r="L213" s="731"/>
      <c r="M213" s="736">
        <f>M212/$Q207</f>
        <v>0.26999999999999974</v>
      </c>
      <c r="N213" s="731"/>
      <c r="O213" s="736">
        <f>O212/$Q207</f>
        <v>0.07999999999999986</v>
      </c>
      <c r="P213" s="731"/>
      <c r="Q213" s="736"/>
      <c r="R213" s="731"/>
    </row>
    <row r="214" spans="2:18" s="47" customFormat="1" ht="16.5" hidden="1" thickBot="1">
      <c r="B214" s="685"/>
      <c r="C214" s="728"/>
      <c r="D214" s="738"/>
      <c r="E214" s="737"/>
      <c r="F214" s="731"/>
      <c r="G214" s="737"/>
      <c r="H214" s="731"/>
      <c r="I214" s="737"/>
      <c r="J214" s="731"/>
      <c r="K214" s="737"/>
      <c r="L214" s="731"/>
      <c r="M214" s="737"/>
      <c r="N214" s="731"/>
      <c r="O214" s="737"/>
      <c r="P214" s="731"/>
      <c r="Q214" s="737"/>
      <c r="R214" s="731"/>
    </row>
    <row r="215" spans="2:18" ht="16.5" hidden="1" thickBot="1">
      <c r="B215" s="685"/>
      <c r="C215" s="728"/>
      <c r="D215" s="734"/>
      <c r="E215" s="735"/>
      <c r="F215" s="731"/>
      <c r="G215" s="735"/>
      <c r="H215" s="731"/>
      <c r="I215" s="735"/>
      <c r="J215" s="731"/>
      <c r="K215" s="735"/>
      <c r="L215" s="731"/>
      <c r="M215" s="735"/>
      <c r="N215" s="731"/>
      <c r="O215" s="735"/>
      <c r="P215" s="731"/>
      <c r="Q215" s="735"/>
      <c r="R215" s="731"/>
    </row>
    <row r="216" spans="2:18" ht="16.5" hidden="1" thickBot="1">
      <c r="B216" s="685"/>
      <c r="C216" s="728"/>
      <c r="D216" s="734"/>
      <c r="E216" s="739"/>
      <c r="F216" s="731"/>
      <c r="G216" s="739"/>
      <c r="H216" s="731"/>
      <c r="I216" s="739"/>
      <c r="J216" s="731"/>
      <c r="K216" s="739"/>
      <c r="L216" s="731"/>
      <c r="M216" s="739"/>
      <c r="N216" s="731"/>
      <c r="O216" s="739"/>
      <c r="P216" s="731"/>
      <c r="Q216" s="739"/>
      <c r="R216" s="731"/>
    </row>
    <row r="217" spans="2:18" ht="15.75" hidden="1" thickBot="1">
      <c r="B217" s="685"/>
      <c r="C217" s="728"/>
      <c r="D217" s="740"/>
      <c r="E217" s="740"/>
      <c r="F217" s="741"/>
      <c r="G217" s="740"/>
      <c r="H217" s="741"/>
      <c r="I217" s="740"/>
      <c r="J217" s="741"/>
      <c r="K217" s="740"/>
      <c r="L217" s="741"/>
      <c r="M217" s="740"/>
      <c r="N217" s="741"/>
      <c r="O217" s="740"/>
      <c r="P217" s="741"/>
      <c r="Q217" s="740"/>
      <c r="R217" s="741"/>
    </row>
    <row r="218" spans="2:18" ht="21" hidden="1" thickBot="1">
      <c r="B218" s="685"/>
      <c r="C218" s="728"/>
      <c r="D218" s="742" t="s">
        <v>479</v>
      </c>
      <c r="E218" s="743"/>
      <c r="F218" s="744"/>
      <c r="G218" s="743"/>
      <c r="H218" s="744"/>
      <c r="I218" s="743"/>
      <c r="J218" s="744"/>
      <c r="K218" s="743"/>
      <c r="L218" s="744"/>
      <c r="M218" s="743"/>
      <c r="N218" s="744"/>
      <c r="O218" s="743"/>
      <c r="P218" s="744"/>
      <c r="Q218" s="743"/>
      <c r="R218" s="744"/>
    </row>
    <row r="219" spans="2:18" ht="15.75" hidden="1" thickBot="1">
      <c r="B219" s="685"/>
      <c r="C219" s="728"/>
      <c r="D219" s="745"/>
      <c r="E219" s="685"/>
      <c r="F219" s="706"/>
      <c r="G219" s="685"/>
      <c r="H219" s="706"/>
      <c r="I219" s="685"/>
      <c r="J219" s="706"/>
      <c r="K219" s="685"/>
      <c r="L219" s="706"/>
      <c r="M219" s="685"/>
      <c r="N219" s="706"/>
      <c r="O219" s="685"/>
      <c r="P219" s="706"/>
      <c r="Q219" s="685"/>
      <c r="R219" s="706"/>
    </row>
    <row r="220" spans="2:18" ht="16.5" hidden="1" thickBot="1">
      <c r="B220" s="685"/>
      <c r="C220" s="728"/>
      <c r="D220" s="746" t="s">
        <v>480</v>
      </c>
      <c r="E220" s="747">
        <f>E198*0.5</f>
        <v>132148.9062400593</v>
      </c>
      <c r="F220" s="748"/>
      <c r="G220" s="747">
        <f>G198*0.5</f>
        <v>125587.58360418155</v>
      </c>
      <c r="H220" s="748"/>
      <c r="I220" s="747">
        <f>I198*0.5</f>
        <v>109355.3772646291</v>
      </c>
      <c r="J220" s="748"/>
      <c r="K220" s="747">
        <f>K198*0.5</f>
        <v>104147.9783472658</v>
      </c>
      <c r="L220" s="748"/>
      <c r="M220" s="747">
        <f>M198*0.5</f>
        <v>94477.09464359113</v>
      </c>
      <c r="N220" s="748"/>
      <c r="O220" s="747">
        <f>O198*0.5</f>
        <v>80342.72615360506</v>
      </c>
      <c r="P220" s="748"/>
      <c r="Q220" s="747">
        <f>Q198*0.5</f>
        <v>74391.41310518987</v>
      </c>
      <c r="R220" s="748"/>
    </row>
    <row r="221" spans="2:18" ht="15.75" hidden="1" thickBot="1">
      <c r="B221" s="685"/>
      <c r="C221" s="685"/>
      <c r="D221" s="745"/>
      <c r="E221" s="685"/>
      <c r="F221" s="706"/>
      <c r="G221" s="685"/>
      <c r="H221" s="706"/>
      <c r="I221" s="685"/>
      <c r="J221" s="706"/>
      <c r="K221" s="685"/>
      <c r="L221" s="706"/>
      <c r="M221" s="685"/>
      <c r="N221" s="706"/>
      <c r="O221" s="685"/>
      <c r="P221" s="706"/>
      <c r="Q221" s="685"/>
      <c r="R221" s="706"/>
    </row>
    <row r="222" spans="2:18" ht="16.5" hidden="1" thickBot="1">
      <c r="B222" s="685"/>
      <c r="C222" s="685"/>
      <c r="D222" s="746" t="s">
        <v>22</v>
      </c>
      <c r="E222" s="685"/>
      <c r="F222" s="748"/>
      <c r="G222" s="685"/>
      <c r="H222" s="748"/>
      <c r="I222" s="685"/>
      <c r="J222" s="748"/>
      <c r="K222" s="685"/>
      <c r="L222" s="748"/>
      <c r="M222" s="685"/>
      <c r="N222" s="748"/>
      <c r="O222" s="685"/>
      <c r="P222" s="748"/>
      <c r="Q222" s="685"/>
      <c r="R222" s="748"/>
    </row>
    <row r="223" spans="2:18" ht="15.75" hidden="1" thickBot="1">
      <c r="B223" s="692">
        <v>703</v>
      </c>
      <c r="C223" s="711">
        <v>0.0025</v>
      </c>
      <c r="D223" s="712" t="s">
        <v>316</v>
      </c>
      <c r="E223" s="713">
        <f>E220*0.0025</f>
        <v>330.37226560014824</v>
      </c>
      <c r="F223" s="714"/>
      <c r="G223" s="713">
        <f>G220*0.0025</f>
        <v>313.9689590104539</v>
      </c>
      <c r="H223" s="714"/>
      <c r="I223" s="713">
        <f>I220*0.0025</f>
        <v>273.38844316157275</v>
      </c>
      <c r="J223" s="714"/>
      <c r="K223" s="713">
        <f>K220*0.0025</f>
        <v>260.3699458681645</v>
      </c>
      <c r="L223" s="714"/>
      <c r="M223" s="713">
        <f>M220*0.0025</f>
        <v>236.19273660897784</v>
      </c>
      <c r="N223" s="714"/>
      <c r="O223" s="713">
        <f>O220*0.0025</f>
        <v>200.85681538401266</v>
      </c>
      <c r="P223" s="714"/>
      <c r="Q223" s="713">
        <f>Q220*0.0025</f>
        <v>185.97853276297468</v>
      </c>
      <c r="R223" s="714"/>
    </row>
    <row r="224" spans="2:18" ht="15.75" hidden="1" thickBot="1">
      <c r="B224" s="685">
        <v>707</v>
      </c>
      <c r="C224" s="715">
        <v>0.03</v>
      </c>
      <c r="D224" s="692" t="s">
        <v>17</v>
      </c>
      <c r="E224" s="713">
        <f>E220*0.03</f>
        <v>3964.467187201779</v>
      </c>
      <c r="F224" s="688"/>
      <c r="G224" s="713">
        <f>G220*0.03</f>
        <v>3767.627508125446</v>
      </c>
      <c r="H224" s="688"/>
      <c r="I224" s="713">
        <f>I220*0.03</f>
        <v>3280.661317938873</v>
      </c>
      <c r="J224" s="688"/>
      <c r="K224" s="713">
        <f>K220*0.03</f>
        <v>3124.439350417974</v>
      </c>
      <c r="L224" s="688"/>
      <c r="M224" s="713">
        <f>M220*0.03</f>
        <v>2834.312839307734</v>
      </c>
      <c r="N224" s="688"/>
      <c r="O224" s="713">
        <f>O220*0.03</f>
        <v>2410.281784608152</v>
      </c>
      <c r="P224" s="688"/>
      <c r="Q224" s="713">
        <f>Q220*0.03</f>
        <v>2231.742393155696</v>
      </c>
      <c r="R224" s="688"/>
    </row>
    <row r="225" spans="2:18" ht="16.5" hidden="1" thickBot="1">
      <c r="B225" s="685">
        <v>709</v>
      </c>
      <c r="C225" s="716">
        <f>C175</f>
        <v>0.0015</v>
      </c>
      <c r="D225" s="692" t="s">
        <v>18</v>
      </c>
      <c r="E225" s="713">
        <f>E220*0.0015</f>
        <v>198.22335936008895</v>
      </c>
      <c r="F225" s="688"/>
      <c r="G225" s="713">
        <f>G220*0.0015</f>
        <v>188.38137540627233</v>
      </c>
      <c r="H225" s="688"/>
      <c r="I225" s="713">
        <f>I220*0.0015</f>
        <v>164.03306589694367</v>
      </c>
      <c r="J225" s="688"/>
      <c r="K225" s="713">
        <f>K220*0.0015</f>
        <v>156.22196752089872</v>
      </c>
      <c r="L225" s="688"/>
      <c r="M225" s="713">
        <f>M220*0.0015</f>
        <v>141.7156419653867</v>
      </c>
      <c r="N225" s="688"/>
      <c r="O225" s="713">
        <f>O220*0.0015</f>
        <v>120.5140892304076</v>
      </c>
      <c r="P225" s="688"/>
      <c r="Q225" s="713">
        <f>Q220*0.0015</f>
        <v>111.58711965778481</v>
      </c>
      <c r="R225" s="688"/>
    </row>
    <row r="226" spans="2:18" ht="15.75" hidden="1" thickBot="1">
      <c r="B226" s="685">
        <v>713</v>
      </c>
      <c r="C226" s="717">
        <v>0.007</v>
      </c>
      <c r="D226" s="692" t="s">
        <v>20</v>
      </c>
      <c r="E226" s="713">
        <f>E220*0.007</f>
        <v>925.0423436804151</v>
      </c>
      <c r="F226" s="688"/>
      <c r="G226" s="713">
        <f>G220*0.007</f>
        <v>879.1130852292708</v>
      </c>
      <c r="H226" s="688"/>
      <c r="I226" s="713">
        <f>I220*0.007</f>
        <v>765.4876408524037</v>
      </c>
      <c r="J226" s="688"/>
      <c r="K226" s="713">
        <f>K220*0.007</f>
        <v>729.0358484308606</v>
      </c>
      <c r="L226" s="688"/>
      <c r="M226" s="713">
        <f>M220*0.007</f>
        <v>661.3396625051379</v>
      </c>
      <c r="N226" s="688"/>
      <c r="O226" s="713">
        <f>O220*0.007</f>
        <v>562.3990830752355</v>
      </c>
      <c r="P226" s="688"/>
      <c r="Q226" s="713">
        <f>Q220*0.007</f>
        <v>520.7398917363291</v>
      </c>
      <c r="R226" s="688"/>
    </row>
    <row r="227" spans="2:18" ht="15.75" hidden="1" thickBot="1">
      <c r="B227" s="685">
        <v>787</v>
      </c>
      <c r="C227" s="715">
        <v>0.01</v>
      </c>
      <c r="D227" s="692" t="s">
        <v>387</v>
      </c>
      <c r="E227" s="713">
        <f>E220*0.01</f>
        <v>1321.489062400593</v>
      </c>
      <c r="F227" s="688"/>
      <c r="G227" s="713">
        <f>G220*0.01</f>
        <v>1255.8758360418155</v>
      </c>
      <c r="H227" s="688"/>
      <c r="I227" s="713">
        <f>I220*0.01</f>
        <v>1093.553772646291</v>
      </c>
      <c r="J227" s="688"/>
      <c r="K227" s="713">
        <f>K220*0.01</f>
        <v>1041.479783472658</v>
      </c>
      <c r="L227" s="688"/>
      <c r="M227" s="713">
        <f>M220*0.01</f>
        <v>944.7709464359114</v>
      </c>
      <c r="N227" s="688"/>
      <c r="O227" s="713">
        <f>O220*0.01</f>
        <v>803.4272615360507</v>
      </c>
      <c r="P227" s="688"/>
      <c r="Q227" s="713">
        <f>Q220*0.01</f>
        <v>743.9141310518987</v>
      </c>
      <c r="R227" s="688"/>
    </row>
    <row r="228" spans="2:18" ht="16.5" hidden="1" thickBot="1">
      <c r="B228" s="685"/>
      <c r="C228" s="685"/>
      <c r="D228" s="719" t="s">
        <v>481</v>
      </c>
      <c r="E228" s="708">
        <f>SUM(E223:E227)</f>
        <v>6739.5942182430235</v>
      </c>
      <c r="F228" s="710"/>
      <c r="G228" s="708">
        <f>SUM(G223:G227)</f>
        <v>6404.96676381326</v>
      </c>
      <c r="H228" s="710"/>
      <c r="I228" s="708">
        <f>SUM(I223:I227)</f>
        <v>5577.124240496084</v>
      </c>
      <c r="J228" s="710"/>
      <c r="K228" s="708">
        <f>SUM(K223:K227)</f>
        <v>5311.546895710556</v>
      </c>
      <c r="L228" s="710"/>
      <c r="M228" s="708">
        <f>SUM(M223:M227)</f>
        <v>4818.331826823147</v>
      </c>
      <c r="N228" s="710"/>
      <c r="O228" s="708">
        <f>SUM(O223:O227)</f>
        <v>4097.479033833859</v>
      </c>
      <c r="P228" s="710"/>
      <c r="Q228" s="708">
        <f>SUM(Q223:Q227)</f>
        <v>3793.9620683646835</v>
      </c>
      <c r="R228" s="710"/>
    </row>
    <row r="229" spans="2:18" ht="16.5" hidden="1" thickBot="1">
      <c r="B229" s="685"/>
      <c r="C229" s="685"/>
      <c r="D229" s="692"/>
      <c r="E229" s="721"/>
      <c r="F229" s="688"/>
      <c r="G229" s="721"/>
      <c r="H229" s="688"/>
      <c r="I229" s="721"/>
      <c r="J229" s="688"/>
      <c r="K229" s="721"/>
      <c r="L229" s="688"/>
      <c r="M229" s="721"/>
      <c r="N229" s="688"/>
      <c r="O229" s="721"/>
      <c r="P229" s="688"/>
      <c r="Q229" s="721"/>
      <c r="R229" s="688"/>
    </row>
    <row r="230" spans="2:18" ht="21" hidden="1" thickBot="1">
      <c r="B230" s="685"/>
      <c r="C230" s="685"/>
      <c r="D230" s="723" t="s">
        <v>23</v>
      </c>
      <c r="E230" s="749">
        <f>E220-E228</f>
        <v>125409.31202181627</v>
      </c>
      <c r="F230" s="724"/>
      <c r="G230" s="749">
        <f>G220-G228</f>
        <v>119182.61684036828</v>
      </c>
      <c r="H230" s="724"/>
      <c r="I230" s="749">
        <f>I220-I228</f>
        <v>103778.25302413302</v>
      </c>
      <c r="J230" s="724"/>
      <c r="K230" s="749">
        <f>K220-K228</f>
        <v>98836.43145155524</v>
      </c>
      <c r="L230" s="724"/>
      <c r="M230" s="749">
        <f>M220-M228</f>
        <v>89658.76281676798</v>
      </c>
      <c r="N230" s="724"/>
      <c r="O230" s="749">
        <f>O220-O228</f>
        <v>76245.2471197712</v>
      </c>
      <c r="P230" s="724"/>
      <c r="Q230" s="749">
        <f>Q220-Q228</f>
        <v>70597.4510368252</v>
      </c>
      <c r="R230" s="724"/>
    </row>
    <row r="231" spans="4:18" ht="12.75" hidden="1">
      <c r="D231" s="495"/>
      <c r="E231" s="590"/>
      <c r="F231" s="337"/>
      <c r="G231" s="590"/>
      <c r="H231" s="337"/>
      <c r="I231" s="590"/>
      <c r="J231" s="337"/>
      <c r="K231" s="590"/>
      <c r="L231" s="337"/>
      <c r="M231" s="590"/>
      <c r="N231" s="337"/>
      <c r="O231" s="590"/>
      <c r="P231" s="337"/>
      <c r="Q231" s="590"/>
      <c r="R231" s="337"/>
    </row>
    <row r="232" spans="4:18" s="413" customFormat="1" ht="20.25" hidden="1">
      <c r="D232" s="537"/>
      <c r="E232" s="924" t="str">
        <f>"AGO 23 "&amp;((aumento6-1)*100)&amp;"%"</f>
        <v>AGO 23 77,64%</v>
      </c>
      <c r="F232" s="618"/>
      <c r="G232" s="925" t="str">
        <f>"JUL 23 "&amp;((aumento5-1)*100)&amp;"%"</f>
        <v>JUL 23 68,82%</v>
      </c>
      <c r="H232" s="618"/>
      <c r="I232" s="925" t="str">
        <f>"JUN 23 "&amp;((Aumento4-1)*100)&amp;"%"</f>
        <v>JUN 23 47%</v>
      </c>
      <c r="J232" s="618"/>
      <c r="K232" s="925" t="str">
        <f>"MAY 23 "&amp;((Aumento3-1)*100)&amp;"%"</f>
        <v>MAY 23 40%</v>
      </c>
      <c r="L232" s="618"/>
      <c r="M232" s="925" t="str">
        <f>"MAR 23 "&amp;((Aumento2-1)*100)&amp;"%"</f>
        <v>MAR 23 27%</v>
      </c>
      <c r="N232" s="659"/>
      <c r="O232" s="926" t="str">
        <f>"FEB 23 "&amp;((aumento1-1)*100)&amp;"%"</f>
        <v>FEB 23 8,00000000000001%</v>
      </c>
      <c r="P232" s="659"/>
      <c r="Q232" s="636">
        <v>44927</v>
      </c>
      <c r="R232" s="659"/>
    </row>
    <row r="233" spans="1:20" ht="15.75" thickBot="1">
      <c r="A233" s="340"/>
      <c r="B233" s="470"/>
      <c r="C233" s="470"/>
      <c r="D233" s="536"/>
      <c r="E233" s="591"/>
      <c r="F233" s="629"/>
      <c r="G233" s="591"/>
      <c r="H233" s="629"/>
      <c r="I233" s="591"/>
      <c r="J233" s="629"/>
      <c r="K233" s="591"/>
      <c r="L233" s="629"/>
      <c r="M233" s="591"/>
      <c r="N233" s="629"/>
      <c r="O233" s="591"/>
      <c r="P233" s="629"/>
      <c r="Q233" s="591"/>
      <c r="R233" s="629"/>
      <c r="S233" s="591"/>
      <c r="T233" s="629"/>
    </row>
    <row r="234" spans="1:20" ht="18" customHeight="1" thickBot="1">
      <c r="A234" s="340"/>
      <c r="B234" s="856" t="s">
        <v>24</v>
      </c>
      <c r="C234" s="432"/>
      <c r="D234" s="537"/>
      <c r="E234" s="592"/>
      <c r="F234" s="562"/>
      <c r="G234" s="592"/>
      <c r="H234" s="453">
        <v>0</v>
      </c>
      <c r="I234" s="822" t="s">
        <v>517</v>
      </c>
      <c r="J234" s="823" t="str">
        <f>numhorasmed&amp;" horas"</f>
        <v>36 horas</v>
      </c>
      <c r="K234" s="831">
        <f>porcantighorasmed</f>
        <v>1.2</v>
      </c>
      <c r="L234" s="562"/>
      <c r="M234" s="592"/>
      <c r="N234" s="562"/>
      <c r="O234" s="592"/>
      <c r="P234" s="562"/>
      <c r="Q234" s="592"/>
      <c r="R234" s="562"/>
      <c r="T234" s="562"/>
    </row>
    <row r="235" spans="1:20" ht="18" customHeight="1">
      <c r="A235" s="340"/>
      <c r="B235" s="443"/>
      <c r="C235" s="432"/>
      <c r="D235" s="537"/>
      <c r="E235" s="592"/>
      <c r="F235" s="562"/>
      <c r="G235" s="592"/>
      <c r="H235" s="847">
        <v>44927</v>
      </c>
      <c r="I235" s="848">
        <f>Q246</f>
        <v>207618.41793988214</v>
      </c>
      <c r="J235" s="830"/>
      <c r="K235" s="849"/>
      <c r="L235" s="562"/>
      <c r="M235" s="592"/>
      <c r="N235" s="562"/>
      <c r="O235" s="592"/>
      <c r="T235" s="562"/>
    </row>
    <row r="236" spans="1:20" ht="18" customHeight="1">
      <c r="A236" s="340"/>
      <c r="B236" s="443"/>
      <c r="C236" s="432"/>
      <c r="D236" s="537"/>
      <c r="E236" s="592"/>
      <c r="F236" s="562"/>
      <c r="G236" s="592"/>
      <c r="H236" s="850">
        <v>44958</v>
      </c>
      <c r="I236" s="851">
        <f>O246</f>
        <v>224227.8913750727</v>
      </c>
      <c r="J236" s="852">
        <f aca="true" t="shared" si="23" ref="J236:J241">I236-$I$235</f>
        <v>16609.473435190564</v>
      </c>
      <c r="K236" s="931">
        <f aca="true" t="shared" si="24" ref="K236:K241">J236/I$235</f>
        <v>0.07999999999999996</v>
      </c>
      <c r="T236" s="562"/>
    </row>
    <row r="237" spans="1:20" ht="18" customHeight="1" thickBot="1">
      <c r="A237" s="340"/>
      <c r="B237" s="340"/>
      <c r="C237" s="340"/>
      <c r="D237" s="511"/>
      <c r="E237" s="593"/>
      <c r="F237" s="562"/>
      <c r="G237" s="593"/>
      <c r="H237" s="850">
        <v>44986</v>
      </c>
      <c r="I237" s="851">
        <f>M246</f>
        <v>263675.3907836503</v>
      </c>
      <c r="J237" s="852">
        <f t="shared" si="23"/>
        <v>56056.97284376813</v>
      </c>
      <c r="K237" s="931">
        <f t="shared" si="24"/>
        <v>0.2699999999999998</v>
      </c>
      <c r="T237" s="562"/>
    </row>
    <row r="238" spans="1:20" ht="18" customHeight="1" thickBot="1">
      <c r="A238" s="340"/>
      <c r="B238" s="81" t="s">
        <v>25</v>
      </c>
      <c r="C238" s="404"/>
      <c r="D238" s="538">
        <v>36</v>
      </c>
      <c r="E238" s="593"/>
      <c r="F238" s="630"/>
      <c r="G238" s="593"/>
      <c r="H238" s="918">
        <v>45047</v>
      </c>
      <c r="I238" s="851">
        <f>K246</f>
        <v>290665.7851158349</v>
      </c>
      <c r="J238" s="852">
        <f t="shared" si="23"/>
        <v>83047.36717595276</v>
      </c>
      <c r="K238" s="931">
        <f t="shared" si="24"/>
        <v>0.3999999999999996</v>
      </c>
      <c r="T238" s="630"/>
    </row>
    <row r="239" spans="1:20" ht="18" customHeight="1" thickBot="1">
      <c r="A239" s="340"/>
      <c r="B239" s="81" t="s">
        <v>9</v>
      </c>
      <c r="C239" s="404"/>
      <c r="D239" s="539">
        <v>1.2</v>
      </c>
      <c r="E239" s="579"/>
      <c r="F239" s="631"/>
      <c r="G239" s="579"/>
      <c r="H239" s="918">
        <v>45078</v>
      </c>
      <c r="I239" s="851">
        <f>I246</f>
        <v>305199.0743716267</v>
      </c>
      <c r="J239" s="852">
        <f t="shared" si="23"/>
        <v>97580.65643174457</v>
      </c>
      <c r="K239" s="931">
        <f t="shared" si="24"/>
        <v>0.46999999999999986</v>
      </c>
      <c r="T239" s="631"/>
    </row>
    <row r="240" spans="1:20" ht="18" customHeight="1" thickBot="1">
      <c r="A240" s="340"/>
      <c r="B240" s="818">
        <v>1</v>
      </c>
      <c r="C240" s="426"/>
      <c r="D240" s="540">
        <v>0.82</v>
      </c>
      <c r="E240" s="597"/>
      <c r="F240" s="632"/>
      <c r="G240" s="597"/>
      <c r="H240" s="918">
        <v>45108</v>
      </c>
      <c r="I240" s="851">
        <f>G246</f>
        <v>350501.41316610907</v>
      </c>
      <c r="J240" s="852">
        <f t="shared" si="23"/>
        <v>142882.99522622692</v>
      </c>
      <c r="K240" s="931">
        <f t="shared" si="24"/>
        <v>0.6882000000000001</v>
      </c>
      <c r="P240" s="632"/>
      <c r="Q240" s="597"/>
      <c r="R240" s="632"/>
      <c r="S240" s="597"/>
      <c r="T240" s="632"/>
    </row>
    <row r="241" spans="1:20" ht="18" customHeight="1">
      <c r="A241" s="340"/>
      <c r="B241" s="916"/>
      <c r="C241" s="448"/>
      <c r="D241" s="917"/>
      <c r="E241" s="597"/>
      <c r="F241" s="632"/>
      <c r="G241" s="597"/>
      <c r="H241" s="918">
        <v>45139</v>
      </c>
      <c r="I241" s="851">
        <f>E246</f>
        <v>368813.3576284066</v>
      </c>
      <c r="J241" s="852">
        <f t="shared" si="23"/>
        <v>161194.93968852446</v>
      </c>
      <c r="K241" s="931">
        <f t="shared" si="24"/>
        <v>0.7763999999999999</v>
      </c>
      <c r="P241" s="632"/>
      <c r="Q241" s="597"/>
      <c r="R241" s="632"/>
      <c r="S241" s="597"/>
      <c r="T241" s="632"/>
    </row>
    <row r="242" spans="1:20" ht="15.75">
      <c r="A242" s="340"/>
      <c r="B242" s="649" t="s">
        <v>495</v>
      </c>
      <c r="C242" s="448"/>
      <c r="D242" s="646">
        <v>1</v>
      </c>
      <c r="E242" s="579" t="s">
        <v>496</v>
      </c>
      <c r="F242" s="669"/>
      <c r="G242" s="579" t="s">
        <v>496</v>
      </c>
      <c r="H242" s="669"/>
      <c r="I242" s="579" t="s">
        <v>496</v>
      </c>
      <c r="J242" s="669"/>
      <c r="K242" s="579" t="s">
        <v>496</v>
      </c>
      <c r="L242" s="669"/>
      <c r="M242" s="579" t="s">
        <v>496</v>
      </c>
      <c r="N242" s="669"/>
      <c r="O242" s="579" t="s">
        <v>496</v>
      </c>
      <c r="P242" s="669"/>
      <c r="Q242" s="579" t="s">
        <v>496</v>
      </c>
      <c r="R242" s="669"/>
      <c r="S242" s="579" t="s">
        <v>496</v>
      </c>
      <c r="T242" s="669"/>
    </row>
    <row r="243" spans="1:20" ht="16.5" thickBot="1">
      <c r="A243" s="340"/>
      <c r="B243" s="649"/>
      <c r="C243" s="448"/>
      <c r="D243" s="645"/>
      <c r="E243" s="579"/>
      <c r="F243" s="669"/>
      <c r="G243" s="579"/>
      <c r="H243" s="669"/>
      <c r="I243" s="929"/>
      <c r="J243" s="669"/>
      <c r="K243" s="579"/>
      <c r="L243" s="669"/>
      <c r="M243" s="579"/>
      <c r="N243" s="669"/>
      <c r="O243" s="579"/>
      <c r="P243" s="669"/>
      <c r="Q243" s="579"/>
      <c r="R243" s="669"/>
      <c r="S243" s="95"/>
      <c r="T243" s="669"/>
    </row>
    <row r="244" spans="1:20" ht="24" thickTop="1">
      <c r="A244" s="340"/>
      <c r="B244" s="649"/>
      <c r="C244" s="448"/>
      <c r="D244" s="645"/>
      <c r="E244" s="934" t="s">
        <v>536</v>
      </c>
      <c r="F244" s="935"/>
      <c r="G244" s="938">
        <f>I246-K246+I288-K288</f>
        <v>21799.933883687714</v>
      </c>
      <c r="H244" s="928" t="s">
        <v>535</v>
      </c>
      <c r="J244" s="669"/>
      <c r="K244" s="894"/>
      <c r="L244" s="669"/>
      <c r="M244" s="894"/>
      <c r="N244" s="669"/>
      <c r="O244" s="894"/>
      <c r="P244" s="669"/>
      <c r="Q244" s="894"/>
      <c r="R244" s="669"/>
      <c r="S244" s="95"/>
      <c r="T244" s="669"/>
    </row>
    <row r="245" spans="1:20" ht="27" thickBot="1">
      <c r="A245" s="340"/>
      <c r="B245" s="649"/>
      <c r="C245" s="448"/>
      <c r="D245" s="645"/>
      <c r="E245" s="936" t="s">
        <v>534</v>
      </c>
      <c r="F245" s="937"/>
      <c r="G245" s="939">
        <f>G246+G244</f>
        <v>372301.3470497968</v>
      </c>
      <c r="H245" s="957">
        <f>G245/K246-1</f>
        <v>0.2808571428571436</v>
      </c>
      <c r="I245" s="958" t="s">
        <v>539</v>
      </c>
      <c r="J245" s="669"/>
      <c r="K245" s="895"/>
      <c r="L245" s="669"/>
      <c r="M245" s="895"/>
      <c r="N245" s="669"/>
      <c r="O245" s="895"/>
      <c r="P245" s="669"/>
      <c r="Q245" s="895"/>
      <c r="R245" s="669"/>
      <c r="S245" s="95"/>
      <c r="T245" s="669"/>
    </row>
    <row r="246" spans="1:18" ht="24.75" thickBot="1" thickTop="1">
      <c r="A246" s="340"/>
      <c r="B246" s="413"/>
      <c r="C246" s="413"/>
      <c r="D246" s="553" t="str">
        <f>D290</f>
        <v>Líquido</v>
      </c>
      <c r="E246" s="889">
        <f>E290</f>
        <v>368813.3576284066</v>
      </c>
      <c r="F246" s="819"/>
      <c r="G246" s="889">
        <f>G290</f>
        <v>350501.41316610907</v>
      </c>
      <c r="H246" s="819"/>
      <c r="I246" s="889">
        <f>I290</f>
        <v>305199.0743716267</v>
      </c>
      <c r="J246" s="819"/>
      <c r="K246" s="889">
        <f>K290</f>
        <v>290665.7851158349</v>
      </c>
      <c r="L246" s="819"/>
      <c r="M246" s="889">
        <f>M290</f>
        <v>263675.3907836503</v>
      </c>
      <c r="N246" s="819"/>
      <c r="O246" s="889">
        <f>O290</f>
        <v>224227.8913750727</v>
      </c>
      <c r="P246" s="819"/>
      <c r="Q246" s="889">
        <f>Q290</f>
        <v>207618.41793988214</v>
      </c>
      <c r="R246" s="819"/>
    </row>
    <row r="247" spans="1:18" ht="17.25" thickBot="1" thickTop="1">
      <c r="A247" s="340"/>
      <c r="B247" s="444" t="str">
        <f>B291</f>
        <v>Puntos básicos</v>
      </c>
      <c r="C247" s="445"/>
      <c r="D247" s="541">
        <f>D291</f>
        <v>2330.28</v>
      </c>
      <c r="E247" s="579"/>
      <c r="F247" s="633"/>
      <c r="G247" s="579"/>
      <c r="H247" s="633"/>
      <c r="I247" s="579"/>
      <c r="J247" s="633"/>
      <c r="K247" s="579"/>
      <c r="L247" s="633"/>
      <c r="M247" s="579"/>
      <c r="N247" s="633"/>
      <c r="O247" s="579"/>
      <c r="P247" s="633"/>
      <c r="Q247" s="579"/>
      <c r="R247" s="633"/>
    </row>
    <row r="248" spans="1:18" ht="20.25">
      <c r="A248" s="340"/>
      <c r="C248" s="229"/>
      <c r="D248" s="643"/>
      <c r="E248" s="946">
        <v>45139</v>
      </c>
      <c r="F248" s="947">
        <f>aumento6-1</f>
        <v>0.7764</v>
      </c>
      <c r="G248" s="948">
        <v>45108</v>
      </c>
      <c r="H248" s="949">
        <f>aumento5-1</f>
        <v>0.6881999999999999</v>
      </c>
      <c r="I248" s="950" t="str">
        <f>"JUN 23 "&amp;((Aumento4-1)*100)&amp;"%"</f>
        <v>JUN 23 47%</v>
      </c>
      <c r="J248" s="618"/>
      <c r="K248" s="925" t="str">
        <f>"MAY 23 "&amp;((Aumento3-1)*100)&amp;"%"</f>
        <v>MAY 23 40%</v>
      </c>
      <c r="L248" s="618"/>
      <c r="M248" s="925" t="str">
        <f>"MAR 23 "&amp;((Aumento2-1)*100)&amp;"%"</f>
        <v>MAR 23 27%</v>
      </c>
      <c r="N248" s="659"/>
      <c r="O248" s="926" t="str">
        <f>"FEB 23 "&amp;((aumento1-1)*100)&amp;"%"</f>
        <v>FEB 23 8,00000000000001%</v>
      </c>
      <c r="P248" s="659"/>
      <c r="Q248" s="636">
        <v>44927</v>
      </c>
      <c r="R248" s="659"/>
    </row>
    <row r="249" spans="1:18" ht="15.75" thickBot="1">
      <c r="A249" s="340"/>
      <c r="D249" s="551">
        <f aca="true" t="shared" si="25" ref="D249:E265">D293</f>
        <v>0</v>
      </c>
      <c r="E249" s="582"/>
      <c r="F249" s="634"/>
      <c r="G249" s="582"/>
      <c r="H249" s="634"/>
      <c r="I249" s="582"/>
      <c r="J249" s="634"/>
      <c r="K249" s="582"/>
      <c r="L249" s="634"/>
      <c r="M249" s="582"/>
      <c r="N249" s="634"/>
      <c r="O249" s="582"/>
      <c r="P249" s="634"/>
      <c r="Q249" s="582"/>
      <c r="R249" s="634"/>
    </row>
    <row r="250" spans="1:18" ht="15">
      <c r="A250" s="340"/>
      <c r="B250" s="406">
        <f aca="true" t="shared" si="26" ref="B250:B263">B294</f>
        <v>400</v>
      </c>
      <c r="C250" s="406">
        <f aca="true" t="shared" si="27" ref="C250:C256">C294</f>
        <v>0</v>
      </c>
      <c r="D250" s="406" t="str">
        <f t="shared" si="25"/>
        <v>Sueldo básico</v>
      </c>
      <c r="E250" s="486">
        <f t="shared" si="25"/>
        <v>130802.4365454501</v>
      </c>
      <c r="F250" s="616"/>
      <c r="G250" s="486">
        <f aca="true" t="shared" si="28" ref="G250:G255">G294</f>
        <v>124307.96744878904</v>
      </c>
      <c r="H250" s="616"/>
      <c r="I250" s="486">
        <f aca="true" t="shared" si="29" ref="I250:K255">I294</f>
        <v>108241.15161101759</v>
      </c>
      <c r="J250" s="616"/>
      <c r="K250" s="486">
        <f t="shared" si="29"/>
        <v>103086.81105811198</v>
      </c>
      <c r="L250" s="616"/>
      <c r="M250" s="486">
        <f aca="true" t="shared" si="30" ref="M250:M255">M294</f>
        <v>93514.46431700159</v>
      </c>
      <c r="N250" s="616"/>
      <c r="O250" s="486">
        <f aca="true" t="shared" si="31" ref="O250:Q255">O294</f>
        <v>79524.1113876864</v>
      </c>
      <c r="P250" s="616"/>
      <c r="Q250" s="486">
        <f t="shared" si="31"/>
        <v>73633.43647007999</v>
      </c>
      <c r="R250" s="616"/>
    </row>
    <row r="251" spans="1:18" ht="15">
      <c r="A251" s="340"/>
      <c r="B251" s="406">
        <f t="shared" si="26"/>
        <v>406</v>
      </c>
      <c r="C251" s="406">
        <f t="shared" si="27"/>
        <v>0</v>
      </c>
      <c r="D251" s="406" t="str">
        <f t="shared" si="25"/>
        <v>Antigüedad</v>
      </c>
      <c r="E251" s="446">
        <f t="shared" si="25"/>
        <v>156962.9238545401</v>
      </c>
      <c r="F251" s="615"/>
      <c r="G251" s="446">
        <f t="shared" si="28"/>
        <v>149169.56093854684</v>
      </c>
      <c r="H251" s="615"/>
      <c r="I251" s="446">
        <f t="shared" si="29"/>
        <v>129889.3819332211</v>
      </c>
      <c r="J251" s="615"/>
      <c r="K251" s="446">
        <f t="shared" si="29"/>
        <v>123704.17326973437</v>
      </c>
      <c r="L251" s="615"/>
      <c r="M251" s="446">
        <f t="shared" si="30"/>
        <v>112217.3571804019</v>
      </c>
      <c r="N251" s="615"/>
      <c r="O251" s="446">
        <f t="shared" si="31"/>
        <v>95428.93366522367</v>
      </c>
      <c r="P251" s="615"/>
      <c r="Q251" s="446">
        <f t="shared" si="31"/>
        <v>88360.12376409599</v>
      </c>
      <c r="R251" s="615"/>
    </row>
    <row r="252" spans="1:18" ht="15">
      <c r="A252" s="340"/>
      <c r="B252" s="406">
        <f t="shared" si="26"/>
        <v>432</v>
      </c>
      <c r="C252" s="406">
        <f t="shared" si="27"/>
        <v>0</v>
      </c>
      <c r="D252" s="406" t="str">
        <f t="shared" si="25"/>
        <v>Dto. 1109/05(cod06act)</v>
      </c>
      <c r="E252" s="446">
        <f t="shared" si="25"/>
        <v>32465.187964800003</v>
      </c>
      <c r="F252" s="615"/>
      <c r="G252" s="446">
        <f t="shared" si="28"/>
        <v>30853.2595824</v>
      </c>
      <c r="H252" s="615"/>
      <c r="I252" s="446">
        <f t="shared" si="29"/>
        <v>26865.473040000004</v>
      </c>
      <c r="J252" s="615"/>
      <c r="K252" s="446">
        <f t="shared" si="29"/>
        <v>25586.164800000002</v>
      </c>
      <c r="L252" s="615"/>
      <c r="M252" s="446">
        <f t="shared" si="30"/>
        <v>23210.306640000003</v>
      </c>
      <c r="N252" s="615"/>
      <c r="O252" s="446">
        <f t="shared" si="31"/>
        <v>19737.898560000005</v>
      </c>
      <c r="P252" s="615"/>
      <c r="Q252" s="446">
        <f t="shared" si="31"/>
        <v>18275.832000000002</v>
      </c>
      <c r="R252" s="615"/>
    </row>
    <row r="253" spans="1:18" ht="15">
      <c r="A253" s="340"/>
      <c r="B253" s="406">
        <f t="shared" si="26"/>
        <v>434</v>
      </c>
      <c r="C253" s="406">
        <f t="shared" si="27"/>
        <v>0</v>
      </c>
      <c r="D253" s="406" t="str">
        <f t="shared" si="25"/>
        <v>Traslado cod 188</v>
      </c>
      <c r="E253" s="446">
        <f t="shared" si="25"/>
        <v>24232.667033513742</v>
      </c>
      <c r="F253" s="615"/>
      <c r="G253" s="446">
        <f t="shared" si="28"/>
        <v>23029.491379181436</v>
      </c>
      <c r="H253" s="615"/>
      <c r="I253" s="446">
        <f t="shared" si="29"/>
        <v>20052.92757220513</v>
      </c>
      <c r="J253" s="615"/>
      <c r="K253" s="446">
        <f t="shared" si="29"/>
        <v>19098.02625924298</v>
      </c>
      <c r="L253" s="615"/>
      <c r="M253" s="446">
        <f t="shared" si="30"/>
        <v>17324.63810659899</v>
      </c>
      <c r="N253" s="615"/>
      <c r="O253" s="446">
        <f t="shared" si="31"/>
        <v>14732.763114273159</v>
      </c>
      <c r="P253" s="615"/>
      <c r="Q253" s="446">
        <f t="shared" si="31"/>
        <v>13641.447328030703</v>
      </c>
      <c r="R253" s="615"/>
    </row>
    <row r="254" spans="1:18" ht="15">
      <c r="A254" s="340"/>
      <c r="B254" s="447">
        <f t="shared" si="26"/>
        <v>1458</v>
      </c>
      <c r="C254" s="406">
        <f t="shared" si="27"/>
        <v>0</v>
      </c>
      <c r="D254" s="600" t="str">
        <f t="shared" si="25"/>
        <v>Adic hs media (Cod 18 en activos)</v>
      </c>
      <c r="E254" s="490">
        <f t="shared" si="25"/>
        <v>13017.203171020798</v>
      </c>
      <c r="F254" s="670"/>
      <c r="G254" s="490">
        <f t="shared" si="28"/>
        <v>12370.886283110398</v>
      </c>
      <c r="H254" s="670"/>
      <c r="I254" s="490">
        <f t="shared" si="29"/>
        <v>10771.94813184</v>
      </c>
      <c r="J254" s="670"/>
      <c r="K254" s="490">
        <f t="shared" si="29"/>
        <v>10258.998220799998</v>
      </c>
      <c r="L254" s="670"/>
      <c r="M254" s="490">
        <f t="shared" si="30"/>
        <v>9306.37695744</v>
      </c>
      <c r="N254" s="670"/>
      <c r="O254" s="490">
        <f t="shared" si="31"/>
        <v>7914.08434176</v>
      </c>
      <c r="P254" s="670"/>
      <c r="Q254" s="490">
        <f t="shared" si="31"/>
        <v>7327.855871999999</v>
      </c>
      <c r="R254" s="670"/>
    </row>
    <row r="255" spans="1:18" ht="15">
      <c r="A255" s="340"/>
      <c r="B255" s="407">
        <f t="shared" si="26"/>
        <v>437</v>
      </c>
      <c r="C255" s="406">
        <f t="shared" si="27"/>
        <v>0</v>
      </c>
      <c r="D255" s="601" t="str">
        <f t="shared" si="25"/>
        <v>DTO. N1462/18 DOCENT</v>
      </c>
      <c r="E255" s="491">
        <f t="shared" si="25"/>
        <v>9194.418985272</v>
      </c>
      <c r="F255" s="671"/>
      <c r="G255" s="491">
        <f t="shared" si="28"/>
        <v>8737.907076636</v>
      </c>
      <c r="H255" s="671"/>
      <c r="I255" s="491">
        <f t="shared" si="29"/>
        <v>7608.5318105999995</v>
      </c>
      <c r="J255" s="671"/>
      <c r="K255" s="491">
        <f t="shared" si="29"/>
        <v>7246.220772</v>
      </c>
      <c r="L255" s="671"/>
      <c r="M255" s="491">
        <f t="shared" si="30"/>
        <v>6573.3574146</v>
      </c>
      <c r="N255" s="671"/>
      <c r="O255" s="491">
        <f t="shared" si="31"/>
        <v>5589.9417384</v>
      </c>
      <c r="P255" s="671"/>
      <c r="Q255" s="491">
        <f t="shared" si="31"/>
        <v>5175.87198</v>
      </c>
      <c r="R255" s="671"/>
    </row>
    <row r="256" spans="1:18" ht="15.75">
      <c r="A256" s="340"/>
      <c r="B256" s="406">
        <f t="shared" si="26"/>
        <v>0</v>
      </c>
      <c r="C256" s="406">
        <f t="shared" si="27"/>
        <v>0</v>
      </c>
      <c r="D256" s="406" t="str">
        <f t="shared" si="25"/>
        <v>Otros</v>
      </c>
      <c r="E256" s="487">
        <v>0</v>
      </c>
      <c r="F256" s="620"/>
      <c r="G256" s="487">
        <v>0</v>
      </c>
      <c r="H256" s="620"/>
      <c r="I256" s="487">
        <v>0</v>
      </c>
      <c r="J256" s="620"/>
      <c r="K256" s="487">
        <v>0</v>
      </c>
      <c r="L256" s="620"/>
      <c r="M256" s="487">
        <v>0</v>
      </c>
      <c r="N256" s="620"/>
      <c r="O256" s="487">
        <v>0</v>
      </c>
      <c r="P256" s="620"/>
      <c r="Q256" s="487">
        <v>0</v>
      </c>
      <c r="R256" s="620"/>
    </row>
    <row r="257" spans="1:18" ht="20.25">
      <c r="A257" s="340"/>
      <c r="B257" s="647">
        <f t="shared" si="26"/>
        <v>1584</v>
      </c>
      <c r="C257" s="656">
        <v>15</v>
      </c>
      <c r="D257" s="648" t="str">
        <f t="shared" si="25"/>
        <v>Adic Dec 173/21 (cod 38 activos)</v>
      </c>
      <c r="E257" s="491">
        <f t="shared" si="25"/>
        <v>21958.83750168</v>
      </c>
      <c r="F257" s="671"/>
      <c r="G257" s="491">
        <f aca="true" t="shared" si="32" ref="G257:G263">G301</f>
        <v>20868.55971084</v>
      </c>
      <c r="H257" s="671"/>
      <c r="I257" s="491">
        <f aca="true" t="shared" si="33" ref="I257:K263">I301</f>
        <v>18171.296513999998</v>
      </c>
      <c r="J257" s="671"/>
      <c r="K257" s="491">
        <f t="shared" si="33"/>
        <v>17305.99668</v>
      </c>
      <c r="L257" s="671"/>
      <c r="M257" s="491">
        <f aca="true" t="shared" si="34" ref="M257:M263">M301</f>
        <v>15699.011274</v>
      </c>
      <c r="N257" s="671"/>
      <c r="O257" s="491">
        <f aca="true" t="shared" si="35" ref="O257:Q263">O301</f>
        <v>13350.340296</v>
      </c>
      <c r="P257" s="671"/>
      <c r="Q257" s="491">
        <f t="shared" si="35"/>
        <v>12361.4262</v>
      </c>
      <c r="R257" s="671"/>
    </row>
    <row r="258" spans="1:18" ht="18">
      <c r="A258" s="340"/>
      <c r="B258" s="406">
        <f t="shared" si="26"/>
        <v>0</v>
      </c>
      <c r="C258" s="16">
        <f>C302</f>
        <v>0</v>
      </c>
      <c r="D258" s="602" t="str">
        <f t="shared" si="25"/>
        <v>Haberes</v>
      </c>
      <c r="E258" s="612">
        <f t="shared" si="25"/>
        <v>388633.6750562767</v>
      </c>
      <c r="F258" s="666"/>
      <c r="G258" s="612">
        <f t="shared" si="32"/>
        <v>369337.63241950376</v>
      </c>
      <c r="H258" s="666"/>
      <c r="I258" s="612">
        <f t="shared" si="33"/>
        <v>321600.7106128838</v>
      </c>
      <c r="J258" s="666"/>
      <c r="K258" s="612">
        <f t="shared" si="33"/>
        <v>306286.3910598893</v>
      </c>
      <c r="L258" s="666"/>
      <c r="M258" s="612">
        <f t="shared" si="34"/>
        <v>277845.51189004246</v>
      </c>
      <c r="N258" s="666"/>
      <c r="O258" s="612">
        <f t="shared" si="35"/>
        <v>236278.07310334322</v>
      </c>
      <c r="P258" s="666"/>
      <c r="Q258" s="612">
        <f t="shared" si="35"/>
        <v>218775.99361420667</v>
      </c>
      <c r="R258" s="666"/>
    </row>
    <row r="259" spans="1:18" ht="15">
      <c r="A259" s="340"/>
      <c r="B259" s="406">
        <f t="shared" si="26"/>
        <v>703</v>
      </c>
      <c r="C259" s="460">
        <f>C303</f>
        <v>0.0025</v>
      </c>
      <c r="D259" s="611" t="str">
        <f t="shared" si="25"/>
        <v>Federació de  jubil</v>
      </c>
      <c r="E259" s="488">
        <f t="shared" si="25"/>
        <v>971.5841876406919</v>
      </c>
      <c r="F259" s="619"/>
      <c r="G259" s="488">
        <f t="shared" si="32"/>
        <v>923.3440810487594</v>
      </c>
      <c r="H259" s="619"/>
      <c r="I259" s="488">
        <f t="shared" si="33"/>
        <v>804.0017765322095</v>
      </c>
      <c r="J259" s="619"/>
      <c r="K259" s="488">
        <f t="shared" si="33"/>
        <v>765.7159776497232</v>
      </c>
      <c r="L259" s="619"/>
      <c r="M259" s="488">
        <f t="shared" si="34"/>
        <v>694.6137797251062</v>
      </c>
      <c r="N259" s="619"/>
      <c r="O259" s="488">
        <f t="shared" si="35"/>
        <v>590.6951827583581</v>
      </c>
      <c r="P259" s="619"/>
      <c r="Q259" s="488">
        <f t="shared" si="35"/>
        <v>546.9399840355167</v>
      </c>
      <c r="R259" s="619"/>
    </row>
    <row r="260" spans="1:18" ht="15">
      <c r="A260" s="340"/>
      <c r="B260" s="604">
        <f t="shared" si="26"/>
        <v>707</v>
      </c>
      <c r="C260" s="605">
        <f>C304</f>
        <v>0.03</v>
      </c>
      <c r="D260" s="406" t="str">
        <f t="shared" si="25"/>
        <v>Aporte IOSPER</v>
      </c>
      <c r="E260" s="489">
        <f t="shared" si="25"/>
        <v>11659.010251688302</v>
      </c>
      <c r="F260" s="615"/>
      <c r="G260" s="489">
        <f t="shared" si="32"/>
        <v>11080.128972585113</v>
      </c>
      <c r="H260" s="615"/>
      <c r="I260" s="489">
        <f t="shared" si="33"/>
        <v>9648.021318386513</v>
      </c>
      <c r="J260" s="615"/>
      <c r="K260" s="489">
        <f t="shared" si="33"/>
        <v>9188.591731796678</v>
      </c>
      <c r="L260" s="615"/>
      <c r="M260" s="489">
        <f t="shared" si="34"/>
        <v>8335.365356701273</v>
      </c>
      <c r="N260" s="615"/>
      <c r="O260" s="489">
        <f t="shared" si="35"/>
        <v>7088.342193100297</v>
      </c>
      <c r="P260" s="615"/>
      <c r="Q260" s="489">
        <f t="shared" si="35"/>
        <v>6563.2798084262</v>
      </c>
      <c r="R260" s="615"/>
    </row>
    <row r="261" spans="1:18" ht="15.75">
      <c r="A261" s="340"/>
      <c r="B261" s="604">
        <f t="shared" si="26"/>
        <v>709</v>
      </c>
      <c r="C261" s="606">
        <v>0.0015</v>
      </c>
      <c r="D261" s="406" t="str">
        <f t="shared" si="25"/>
        <v>Seguro ley 3011</v>
      </c>
      <c r="E261" s="489">
        <f t="shared" si="25"/>
        <v>582.9505125844152</v>
      </c>
      <c r="F261" s="615"/>
      <c r="G261" s="489">
        <f t="shared" si="32"/>
        <v>554.0064486292556</v>
      </c>
      <c r="H261" s="615"/>
      <c r="I261" s="489">
        <f t="shared" si="33"/>
        <v>482.4010659193257</v>
      </c>
      <c r="J261" s="615"/>
      <c r="K261" s="489">
        <f t="shared" si="33"/>
        <v>459.42958658983395</v>
      </c>
      <c r="L261" s="615"/>
      <c r="M261" s="489">
        <f t="shared" si="34"/>
        <v>416.7682678350637</v>
      </c>
      <c r="N261" s="615"/>
      <c r="O261" s="489">
        <f t="shared" si="35"/>
        <v>354.4171096550148</v>
      </c>
      <c r="P261" s="615"/>
      <c r="Q261" s="489">
        <f t="shared" si="35"/>
        <v>328.16399042131</v>
      </c>
      <c r="R261" s="615"/>
    </row>
    <row r="262" spans="1:18" ht="15">
      <c r="A262" s="340"/>
      <c r="B262" s="604">
        <f t="shared" si="26"/>
        <v>713</v>
      </c>
      <c r="C262" s="607">
        <f>C306</f>
        <v>0.007</v>
      </c>
      <c r="D262" s="406" t="str">
        <f t="shared" si="25"/>
        <v>Serv Sepelio IAPS</v>
      </c>
      <c r="E262" s="489">
        <f t="shared" si="25"/>
        <v>2720.435725393937</v>
      </c>
      <c r="F262" s="615"/>
      <c r="G262" s="489">
        <f t="shared" si="32"/>
        <v>2585.3634269365266</v>
      </c>
      <c r="H262" s="615"/>
      <c r="I262" s="489">
        <f t="shared" si="33"/>
        <v>2251.204974290187</v>
      </c>
      <c r="J262" s="615"/>
      <c r="K262" s="489">
        <f t="shared" si="33"/>
        <v>2144.004737419225</v>
      </c>
      <c r="L262" s="615"/>
      <c r="M262" s="489">
        <f t="shared" si="34"/>
        <v>1944.9185832302971</v>
      </c>
      <c r="N262" s="615"/>
      <c r="O262" s="489">
        <f t="shared" si="35"/>
        <v>1653.9465117234026</v>
      </c>
      <c r="P262" s="615"/>
      <c r="Q262" s="489">
        <f t="shared" si="35"/>
        <v>1531.4319552994468</v>
      </c>
      <c r="R262" s="615"/>
    </row>
    <row r="263" spans="1:18" ht="15.75" thickBot="1">
      <c r="A263" s="340"/>
      <c r="B263" s="784">
        <f t="shared" si="26"/>
        <v>787</v>
      </c>
      <c r="C263" s="785">
        <f>C307</f>
        <v>0.01</v>
      </c>
      <c r="D263" s="406" t="str">
        <f t="shared" si="25"/>
        <v>Desc AGMER 1 %</v>
      </c>
      <c r="E263" s="489">
        <f t="shared" si="25"/>
        <v>3886.3367505627675</v>
      </c>
      <c r="F263" s="615"/>
      <c r="G263" s="489">
        <f t="shared" si="32"/>
        <v>3693.376324195038</v>
      </c>
      <c r="H263" s="615"/>
      <c r="I263" s="489">
        <f t="shared" si="33"/>
        <v>3216.007106128838</v>
      </c>
      <c r="J263" s="615"/>
      <c r="K263" s="489">
        <f t="shared" si="33"/>
        <v>3062.8639105988927</v>
      </c>
      <c r="L263" s="615"/>
      <c r="M263" s="489">
        <f t="shared" si="34"/>
        <v>2778.4551189004246</v>
      </c>
      <c r="N263" s="615"/>
      <c r="O263" s="489">
        <f t="shared" si="35"/>
        <v>2362.7807310334324</v>
      </c>
      <c r="P263" s="615"/>
      <c r="Q263" s="489">
        <f t="shared" si="35"/>
        <v>2187.7599361420666</v>
      </c>
      <c r="R263" s="615"/>
    </row>
    <row r="264" spans="1:18" ht="16.5" thickBot="1">
      <c r="A264" s="340"/>
      <c r="B264" s="786"/>
      <c r="C264" s="787"/>
      <c r="D264" s="434" t="str">
        <f t="shared" si="25"/>
        <v>Otros descuentos</v>
      </c>
      <c r="E264" s="492">
        <v>0</v>
      </c>
      <c r="F264" s="620"/>
      <c r="G264" s="492">
        <v>0</v>
      </c>
      <c r="H264" s="620"/>
      <c r="I264" s="492">
        <v>0</v>
      </c>
      <c r="J264" s="620"/>
      <c r="K264" s="492">
        <v>0</v>
      </c>
      <c r="L264" s="620"/>
      <c r="M264" s="492">
        <v>0</v>
      </c>
      <c r="N264" s="620"/>
      <c r="O264" s="492">
        <v>0</v>
      </c>
      <c r="P264" s="620"/>
      <c r="Q264" s="492">
        <v>0</v>
      </c>
      <c r="R264" s="620"/>
    </row>
    <row r="265" spans="1:18" ht="16.5" thickBot="1">
      <c r="A265" s="340"/>
      <c r="B265" s="379"/>
      <c r="C265" s="782"/>
      <c r="D265" s="783" t="str">
        <f t="shared" si="25"/>
        <v>Descuentos</v>
      </c>
      <c r="E265" s="596">
        <f>E309</f>
        <v>19820.317427870115</v>
      </c>
      <c r="F265" s="672"/>
      <c r="G265" s="596">
        <f>G309</f>
        <v>18836.21925339469</v>
      </c>
      <c r="H265" s="672"/>
      <c r="I265" s="596">
        <f>I309</f>
        <v>16401.636241257074</v>
      </c>
      <c r="J265" s="672"/>
      <c r="K265" s="596">
        <f>K309</f>
        <v>15620.605944054354</v>
      </c>
      <c r="L265" s="672"/>
      <c r="M265" s="596">
        <f>M309</f>
        <v>14170.121106392166</v>
      </c>
      <c r="N265" s="672"/>
      <c r="O265" s="596">
        <f>O309</f>
        <v>12050.181728270503</v>
      </c>
      <c r="P265" s="672"/>
      <c r="Q265" s="596">
        <f>Q309</f>
        <v>11157.57567432454</v>
      </c>
      <c r="R265" s="672"/>
    </row>
    <row r="266" spans="1:18" ht="16.5" thickBot="1">
      <c r="A266" s="340"/>
      <c r="B266" s="95"/>
      <c r="C266" s="775"/>
      <c r="D266" s="799"/>
      <c r="E266" s="578"/>
      <c r="F266" s="592"/>
      <c r="G266" s="578"/>
      <c r="H266" s="592"/>
      <c r="I266" s="578"/>
      <c r="J266" s="592"/>
      <c r="K266" s="578"/>
      <c r="L266" s="592"/>
      <c r="M266" s="578"/>
      <c r="N266" s="592"/>
      <c r="O266" s="578"/>
      <c r="P266" s="592"/>
      <c r="Q266" s="578"/>
      <c r="R266" s="592"/>
    </row>
    <row r="267" spans="1:18" ht="24" thickBot="1">
      <c r="A267" s="340"/>
      <c r="B267" s="454"/>
      <c r="C267" s="775"/>
      <c r="D267" s="779" t="str">
        <f>D311</f>
        <v>Líquido</v>
      </c>
      <c r="E267" s="913">
        <f>E311</f>
        <v>368813.3576284066</v>
      </c>
      <c r="F267" s="912"/>
      <c r="G267" s="913">
        <f>G311</f>
        <v>350501.41316610907</v>
      </c>
      <c r="H267" s="912"/>
      <c r="I267" s="913">
        <f>I311</f>
        <v>305199.0743716267</v>
      </c>
      <c r="J267" s="912"/>
      <c r="K267" s="913">
        <f>K311</f>
        <v>290665.7851158349</v>
      </c>
      <c r="L267" s="912"/>
      <c r="M267" s="913">
        <f>M311</f>
        <v>263675.3907836503</v>
      </c>
      <c r="N267" s="912"/>
      <c r="O267" s="913">
        <f>O311</f>
        <v>224227.8913750727</v>
      </c>
      <c r="P267" s="912"/>
      <c r="Q267" s="913">
        <f>Q311</f>
        <v>207618.41793988214</v>
      </c>
      <c r="R267" s="833"/>
    </row>
    <row r="268" spans="1:18" ht="21" thickBot="1">
      <c r="A268" s="340"/>
      <c r="B268" s="454"/>
      <c r="C268" s="413"/>
      <c r="D268" s="542"/>
      <c r="E268" s="845"/>
      <c r="F268" s="846"/>
      <c r="G268" s="845"/>
      <c r="H268" s="846"/>
      <c r="I268" s="845"/>
      <c r="J268" s="846"/>
      <c r="K268" s="845"/>
      <c r="L268" s="846"/>
      <c r="M268" s="845"/>
      <c r="N268" s="846"/>
      <c r="O268" s="845"/>
      <c r="P268" s="846"/>
      <c r="Q268" s="845"/>
      <c r="R268" s="846"/>
    </row>
    <row r="269" spans="1:18" ht="21" thickTop="1">
      <c r="A269" s="340"/>
      <c r="B269" s="413"/>
      <c r="C269" s="465"/>
      <c r="D269" s="526" t="str">
        <f>D313</f>
        <v>Aumento mensual</v>
      </c>
      <c r="E269" s="840">
        <f>E313</f>
        <v>18311.944462297542</v>
      </c>
      <c r="F269" s="841"/>
      <c r="G269" s="840">
        <f>G313</f>
        <v>45302.33879448235</v>
      </c>
      <c r="H269" s="841"/>
      <c r="I269" s="840">
        <f>I313</f>
        <v>14533.28925579181</v>
      </c>
      <c r="J269" s="841"/>
      <c r="K269" s="840">
        <f>K313</f>
        <v>26990.39433218463</v>
      </c>
      <c r="L269" s="841"/>
      <c r="M269" s="840">
        <f>M313</f>
        <v>39447.49940857757</v>
      </c>
      <c r="N269" s="841"/>
      <c r="O269" s="840">
        <f>O313</f>
        <v>16609.473435190564</v>
      </c>
      <c r="P269" s="841"/>
      <c r="Q269" s="840"/>
      <c r="R269" s="841"/>
    </row>
    <row r="270" spans="1:18" ht="21" thickBot="1">
      <c r="A270" s="340"/>
      <c r="B270" s="413"/>
      <c r="C270" s="465"/>
      <c r="D270" s="527" t="str">
        <f>D314</f>
        <v>Aum porcentual</v>
      </c>
      <c r="E270" s="853">
        <f>E314</f>
        <v>0.052244994668877914</v>
      </c>
      <c r="F270" s="854"/>
      <c r="G270" s="853">
        <f>G314</f>
        <v>0.1484353741496601</v>
      </c>
      <c r="H270" s="854"/>
      <c r="I270" s="853">
        <f>I314</f>
        <v>0.05000000000000022</v>
      </c>
      <c r="J270" s="854"/>
      <c r="K270" s="853">
        <f>K314</f>
        <v>0.10236220472440928</v>
      </c>
      <c r="L270" s="854"/>
      <c r="M270" s="853">
        <f>M314</f>
        <v>0.17592592592592576</v>
      </c>
      <c r="N270" s="854"/>
      <c r="O270" s="853">
        <f>O314</f>
        <v>0.07999999999999996</v>
      </c>
      <c r="P270" s="854"/>
      <c r="Q270" s="853"/>
      <c r="R270" s="854"/>
    </row>
    <row r="271" spans="1:18" ht="21.75" thickBot="1" thickTop="1">
      <c r="A271" s="340"/>
      <c r="B271" s="413"/>
      <c r="C271" s="413"/>
      <c r="D271" s="677"/>
      <c r="E271" s="842"/>
      <c r="F271" s="843"/>
      <c r="G271" s="842"/>
      <c r="H271" s="843"/>
      <c r="I271" s="842"/>
      <c r="J271" s="843"/>
      <c r="K271" s="842"/>
      <c r="L271" s="843"/>
      <c r="M271" s="842"/>
      <c r="N271" s="843"/>
      <c r="O271" s="842"/>
      <c r="P271" s="843"/>
      <c r="Q271" s="842"/>
      <c r="R271" s="843"/>
    </row>
    <row r="272" spans="1:18" ht="21" thickTop="1">
      <c r="A272" s="340"/>
      <c r="B272" s="413"/>
      <c r="C272" s="413"/>
      <c r="D272" s="678" t="str">
        <f aca="true" t="shared" si="36" ref="D272:E274">D316</f>
        <v>Aumento a feb 21</v>
      </c>
      <c r="E272" s="844">
        <f t="shared" si="36"/>
        <v>161194.93968852446</v>
      </c>
      <c r="F272" s="841"/>
      <c r="G272" s="844">
        <f>G316</f>
        <v>142882.99522622692</v>
      </c>
      <c r="H272" s="841"/>
      <c r="I272" s="844">
        <f>I316</f>
        <v>97580.65643174457</v>
      </c>
      <c r="J272" s="841"/>
      <c r="K272" s="844">
        <f>K316</f>
        <v>83047.36717595276</v>
      </c>
      <c r="L272" s="841"/>
      <c r="M272" s="844">
        <f>M316</f>
        <v>56056.97284376813</v>
      </c>
      <c r="N272" s="841"/>
      <c r="O272" s="844">
        <f>O316</f>
        <v>16609.473435190564</v>
      </c>
      <c r="P272" s="841"/>
      <c r="Q272" s="844"/>
      <c r="R272" s="841"/>
    </row>
    <row r="273" spans="1:18" ht="21" thickBot="1">
      <c r="A273" s="340"/>
      <c r="B273" s="413"/>
      <c r="C273" s="413"/>
      <c r="D273" s="680" t="str">
        <f t="shared" si="36"/>
        <v>Aum a feb 21 porc</v>
      </c>
      <c r="E273" s="855">
        <f t="shared" si="36"/>
        <v>0.7763999999999999</v>
      </c>
      <c r="F273" s="854"/>
      <c r="G273" s="855">
        <f>G317</f>
        <v>0.6882000000000001</v>
      </c>
      <c r="H273" s="854"/>
      <c r="I273" s="855">
        <f>I317</f>
        <v>0.46999999999999986</v>
      </c>
      <c r="J273" s="854"/>
      <c r="K273" s="855">
        <f>K317</f>
        <v>0.3999999999999996</v>
      </c>
      <c r="L273" s="854"/>
      <c r="M273" s="855">
        <f>M317</f>
        <v>0.2699999999999998</v>
      </c>
      <c r="N273" s="854"/>
      <c r="O273" s="855">
        <f>O317</f>
        <v>0.07999999999999996</v>
      </c>
      <c r="P273" s="854"/>
      <c r="Q273" s="855"/>
      <c r="R273" s="854"/>
    </row>
    <row r="274" spans="1:18" ht="16.5" thickTop="1">
      <c r="A274" s="340"/>
      <c r="B274" s="413"/>
      <c r="C274" s="413"/>
      <c r="D274" s="614">
        <f t="shared" si="36"/>
        <v>0</v>
      </c>
      <c r="E274" s="682">
        <f t="shared" si="36"/>
        <v>0</v>
      </c>
      <c r="F274" s="676"/>
      <c r="G274" s="682">
        <f>G318</f>
        <v>0</v>
      </c>
      <c r="H274" s="676"/>
      <c r="I274" s="682">
        <f>I318</f>
        <v>0</v>
      </c>
      <c r="J274" s="676"/>
      <c r="K274" s="682">
        <f>K318</f>
        <v>0</v>
      </c>
      <c r="L274" s="676"/>
      <c r="M274" s="682">
        <f>M318</f>
        <v>0</v>
      </c>
      <c r="N274" s="676"/>
      <c r="O274" s="682">
        <f>O318</f>
        <v>0</v>
      </c>
      <c r="P274" s="676"/>
      <c r="Q274" s="682">
        <f>Q318</f>
        <v>0</v>
      </c>
      <c r="R274" s="676"/>
    </row>
    <row r="275" spans="1:18" ht="15">
      <c r="A275" s="340"/>
      <c r="B275" s="413"/>
      <c r="C275" s="413"/>
      <c r="D275" s="497">
        <f>D321</f>
        <v>0</v>
      </c>
      <c r="E275" s="582"/>
      <c r="F275" s="337"/>
      <c r="G275" s="582"/>
      <c r="H275" s="337"/>
      <c r="I275" s="582"/>
      <c r="J275" s="337"/>
      <c r="K275" s="582"/>
      <c r="L275" s="337"/>
      <c r="M275" s="582"/>
      <c r="N275" s="337"/>
      <c r="O275" s="582"/>
      <c r="P275" s="337"/>
      <c r="Q275" s="582"/>
      <c r="R275" s="337"/>
    </row>
    <row r="276" spans="1:18" ht="20.25">
      <c r="A276" s="340"/>
      <c r="B276" s="340"/>
      <c r="C276" s="413"/>
      <c r="D276" s="876" t="str">
        <f>D322</f>
        <v>MEDIO AGUINALDO</v>
      </c>
      <c r="E276" s="877"/>
      <c r="F276" s="878"/>
      <c r="G276" s="877"/>
      <c r="H276" s="878"/>
      <c r="I276" s="877"/>
      <c r="J276" s="878"/>
      <c r="K276" s="877"/>
      <c r="L276" s="878"/>
      <c r="M276" s="877"/>
      <c r="N276" s="878"/>
      <c r="O276" s="877"/>
      <c r="P276" s="878"/>
      <c r="Q276" s="877"/>
      <c r="R276" s="878"/>
    </row>
    <row r="277" spans="1:18" ht="15">
      <c r="A277" s="340"/>
      <c r="B277" s="340"/>
      <c r="C277" s="340"/>
      <c r="D277" s="879"/>
      <c r="E277" s="604"/>
      <c r="F277" s="880"/>
      <c r="G277" s="604"/>
      <c r="H277" s="880"/>
      <c r="I277" s="604"/>
      <c r="J277" s="880"/>
      <c r="K277" s="604"/>
      <c r="L277" s="880"/>
      <c r="M277" s="604"/>
      <c r="N277" s="880"/>
      <c r="O277" s="604"/>
      <c r="P277" s="880"/>
      <c r="Q277" s="604"/>
      <c r="R277" s="880"/>
    </row>
    <row r="278" spans="1:18" ht="15.75">
      <c r="A278" s="340"/>
      <c r="B278" s="340"/>
      <c r="C278" s="340"/>
      <c r="D278" s="612" t="str">
        <f>D324</f>
        <v>Código 550</v>
      </c>
      <c r="E278" s="881">
        <f>E324</f>
        <v>194316.83752813836</v>
      </c>
      <c r="F278" s="882"/>
      <c r="G278" s="881">
        <f>G324</f>
        <v>184668.81620975188</v>
      </c>
      <c r="H278" s="882"/>
      <c r="I278" s="881">
        <f>I324</f>
        <v>160800.3553064419</v>
      </c>
      <c r="J278" s="882"/>
      <c r="K278" s="881">
        <f>K324</f>
        <v>153143.19552994464</v>
      </c>
      <c r="L278" s="882"/>
      <c r="M278" s="881">
        <f>M324</f>
        <v>138922.75594502123</v>
      </c>
      <c r="N278" s="882"/>
      <c r="O278" s="881">
        <f>O324</f>
        <v>118139.03655167161</v>
      </c>
      <c r="P278" s="882"/>
      <c r="Q278" s="881">
        <f>Q324</f>
        <v>109387.99680710334</v>
      </c>
      <c r="R278" s="882"/>
    </row>
    <row r="279" spans="1:18" ht="15">
      <c r="A279" s="340"/>
      <c r="B279" s="340"/>
      <c r="C279" s="340"/>
      <c r="D279" s="883"/>
      <c r="E279" s="604"/>
      <c r="F279" s="880"/>
      <c r="G279" s="604"/>
      <c r="H279" s="880"/>
      <c r="I279" s="604"/>
      <c r="J279" s="880"/>
      <c r="K279" s="604"/>
      <c r="L279" s="880"/>
      <c r="M279" s="604"/>
      <c r="N279" s="880"/>
      <c r="O279" s="604"/>
      <c r="P279" s="880"/>
      <c r="Q279" s="604"/>
      <c r="R279" s="880"/>
    </row>
    <row r="280" spans="1:18" ht="15.75">
      <c r="A280" s="340"/>
      <c r="B280" s="340"/>
      <c r="C280" s="340"/>
      <c r="D280" s="612" t="str">
        <f aca="true" t="shared" si="37" ref="D280:E286">D326</f>
        <v>Descuentos</v>
      </c>
      <c r="E280" s="604"/>
      <c r="F280" s="882"/>
      <c r="G280" s="604"/>
      <c r="H280" s="882"/>
      <c r="I280" s="604"/>
      <c r="J280" s="882"/>
      <c r="K280" s="604"/>
      <c r="L280" s="882"/>
      <c r="M280" s="604"/>
      <c r="N280" s="882"/>
      <c r="O280" s="604"/>
      <c r="P280" s="882"/>
      <c r="Q280" s="604"/>
      <c r="R280" s="882"/>
    </row>
    <row r="281" spans="1:18" ht="15">
      <c r="A281" s="340"/>
      <c r="B281" s="408">
        <f>B327</f>
        <v>703</v>
      </c>
      <c r="C281" s="872">
        <f>C327</f>
        <v>0.0025</v>
      </c>
      <c r="D281" s="603" t="str">
        <f t="shared" si="37"/>
        <v>Federación de  jubil</v>
      </c>
      <c r="E281" s="610">
        <f t="shared" si="37"/>
        <v>485.79209382034594</v>
      </c>
      <c r="F281" s="667"/>
      <c r="G281" s="610">
        <f aca="true" t="shared" si="38" ref="G281:G286">G327</f>
        <v>461.6720405243797</v>
      </c>
      <c r="H281" s="667"/>
      <c r="I281" s="610">
        <f aca="true" t="shared" si="39" ref="I281:K286">I327</f>
        <v>402.00088826610477</v>
      </c>
      <c r="J281" s="667"/>
      <c r="K281" s="610">
        <f t="shared" si="39"/>
        <v>382.8579888248616</v>
      </c>
      <c r="L281" s="667"/>
      <c r="M281" s="610">
        <f aca="true" t="shared" si="40" ref="M281:M286">M327</f>
        <v>347.3068898625531</v>
      </c>
      <c r="N281" s="667"/>
      <c r="O281" s="610">
        <f aca="true" t="shared" si="41" ref="O281:Q286">O327</f>
        <v>295.34759137917905</v>
      </c>
      <c r="P281" s="667"/>
      <c r="Q281" s="610">
        <f t="shared" si="41"/>
        <v>273.46999201775833</v>
      </c>
      <c r="R281" s="667"/>
    </row>
    <row r="282" spans="1:18" ht="15">
      <c r="A282" s="340"/>
      <c r="B282" s="409">
        <f>B328</f>
        <v>707</v>
      </c>
      <c r="C282" s="873">
        <f>C328</f>
        <v>0.03</v>
      </c>
      <c r="D282" s="406" t="str">
        <f t="shared" si="37"/>
        <v>Aporte IOSPER</v>
      </c>
      <c r="E282" s="610">
        <f t="shared" si="37"/>
        <v>5829.505125844151</v>
      </c>
      <c r="F282" s="665"/>
      <c r="G282" s="610">
        <f t="shared" si="38"/>
        <v>5540.0644862925565</v>
      </c>
      <c r="H282" s="665"/>
      <c r="I282" s="610">
        <f t="shared" si="39"/>
        <v>4824.010659193256</v>
      </c>
      <c r="J282" s="665"/>
      <c r="K282" s="610">
        <f t="shared" si="39"/>
        <v>4594.295865898339</v>
      </c>
      <c r="L282" s="665"/>
      <c r="M282" s="610">
        <f t="shared" si="40"/>
        <v>4167.682678350637</v>
      </c>
      <c r="N282" s="665"/>
      <c r="O282" s="610">
        <f t="shared" si="41"/>
        <v>3544.1710965501484</v>
      </c>
      <c r="P282" s="665"/>
      <c r="Q282" s="610">
        <f t="shared" si="41"/>
        <v>3281.6399042131</v>
      </c>
      <c r="R282" s="665"/>
    </row>
    <row r="283" spans="1:18" ht="15.75">
      <c r="A283" s="340"/>
      <c r="B283" s="409">
        <f>B329</f>
        <v>709</v>
      </c>
      <c r="C283" s="874">
        <v>0.0015</v>
      </c>
      <c r="D283" s="406" t="str">
        <f t="shared" si="37"/>
        <v>Seguro ley 3011</v>
      </c>
      <c r="E283" s="610">
        <f t="shared" si="37"/>
        <v>291.4752562922076</v>
      </c>
      <c r="F283" s="665"/>
      <c r="G283" s="610">
        <f t="shared" si="38"/>
        <v>277.0032243146278</v>
      </c>
      <c r="H283" s="665"/>
      <c r="I283" s="610">
        <f t="shared" si="39"/>
        <v>241.20053295966284</v>
      </c>
      <c r="J283" s="665"/>
      <c r="K283" s="610">
        <f t="shared" si="39"/>
        <v>229.71479329491697</v>
      </c>
      <c r="L283" s="665"/>
      <c r="M283" s="610">
        <f t="shared" si="40"/>
        <v>208.38413391753184</v>
      </c>
      <c r="N283" s="665"/>
      <c r="O283" s="610">
        <f t="shared" si="41"/>
        <v>177.2085548275074</v>
      </c>
      <c r="P283" s="665"/>
      <c r="Q283" s="610">
        <f t="shared" si="41"/>
        <v>164.081995210655</v>
      </c>
      <c r="R283" s="665"/>
    </row>
    <row r="284" spans="1:18" ht="15">
      <c r="A284" s="340"/>
      <c r="B284" s="409">
        <f>B330</f>
        <v>713</v>
      </c>
      <c r="C284" s="875">
        <f>C330</f>
        <v>0.007</v>
      </c>
      <c r="D284" s="406" t="str">
        <f t="shared" si="37"/>
        <v>Serv Sepelio IAPS</v>
      </c>
      <c r="E284" s="610">
        <f t="shared" si="37"/>
        <v>1360.2178626969685</v>
      </c>
      <c r="F284" s="665"/>
      <c r="G284" s="610">
        <f t="shared" si="38"/>
        <v>1292.6817134682633</v>
      </c>
      <c r="H284" s="665"/>
      <c r="I284" s="610">
        <f t="shared" si="39"/>
        <v>1125.6024871450934</v>
      </c>
      <c r="J284" s="665"/>
      <c r="K284" s="610">
        <f t="shared" si="39"/>
        <v>1072.0023687096125</v>
      </c>
      <c r="L284" s="665"/>
      <c r="M284" s="610">
        <f t="shared" si="40"/>
        <v>972.4592916151486</v>
      </c>
      <c r="N284" s="665"/>
      <c r="O284" s="610">
        <f t="shared" si="41"/>
        <v>826.9732558617013</v>
      </c>
      <c r="P284" s="665"/>
      <c r="Q284" s="610">
        <f t="shared" si="41"/>
        <v>765.7159776497234</v>
      </c>
      <c r="R284" s="665"/>
    </row>
    <row r="285" spans="1:18" ht="15">
      <c r="A285" s="340"/>
      <c r="B285" s="409">
        <f>B331</f>
        <v>787</v>
      </c>
      <c r="C285" s="873">
        <f>C331</f>
        <v>0.01</v>
      </c>
      <c r="D285" s="406" t="str">
        <f t="shared" si="37"/>
        <v>Desc AGMER 1 %</v>
      </c>
      <c r="E285" s="610">
        <f t="shared" si="37"/>
        <v>1943.1683752813838</v>
      </c>
      <c r="F285" s="665"/>
      <c r="G285" s="610">
        <f t="shared" si="38"/>
        <v>1846.688162097519</v>
      </c>
      <c r="H285" s="665"/>
      <c r="I285" s="610">
        <f t="shared" si="39"/>
        <v>1608.003553064419</v>
      </c>
      <c r="J285" s="665"/>
      <c r="K285" s="610">
        <f t="shared" si="39"/>
        <v>1531.4319552994464</v>
      </c>
      <c r="L285" s="665"/>
      <c r="M285" s="610">
        <f t="shared" si="40"/>
        <v>1389.2275594502123</v>
      </c>
      <c r="N285" s="665"/>
      <c r="O285" s="610">
        <f t="shared" si="41"/>
        <v>1181.3903655167162</v>
      </c>
      <c r="P285" s="665"/>
      <c r="Q285" s="610">
        <f t="shared" si="41"/>
        <v>1093.8799680710333</v>
      </c>
      <c r="R285" s="665"/>
    </row>
    <row r="286" spans="1:18" ht="15.75">
      <c r="A286" s="340"/>
      <c r="B286" s="340"/>
      <c r="D286" s="410" t="str">
        <f t="shared" si="37"/>
        <v>Total Descuentos</v>
      </c>
      <c r="E286" s="173">
        <f t="shared" si="37"/>
        <v>9910.158713935058</v>
      </c>
      <c r="F286" s="884"/>
      <c r="G286" s="173">
        <f t="shared" si="38"/>
        <v>9418.109626697345</v>
      </c>
      <c r="H286" s="884"/>
      <c r="I286" s="173">
        <f t="shared" si="39"/>
        <v>8200.818120628537</v>
      </c>
      <c r="J286" s="884"/>
      <c r="K286" s="173">
        <f t="shared" si="39"/>
        <v>7810.302972027177</v>
      </c>
      <c r="L286" s="884"/>
      <c r="M286" s="173">
        <f t="shared" si="40"/>
        <v>7085.060553196083</v>
      </c>
      <c r="N286" s="884"/>
      <c r="O286" s="173">
        <f t="shared" si="41"/>
        <v>6025.090864135252</v>
      </c>
      <c r="P286" s="884"/>
      <c r="Q286" s="173">
        <f t="shared" si="41"/>
        <v>5578.78783716227</v>
      </c>
      <c r="R286" s="884"/>
    </row>
    <row r="287" spans="1:18" ht="15.75">
      <c r="A287" s="340"/>
      <c r="B287" s="340"/>
      <c r="C287" s="340"/>
      <c r="D287" s="406"/>
      <c r="E287" s="885"/>
      <c r="F287" s="665"/>
      <c r="G287" s="885"/>
      <c r="H287" s="665"/>
      <c r="I287" s="885"/>
      <c r="J287" s="665"/>
      <c r="K287" s="885"/>
      <c r="L287" s="665"/>
      <c r="M287" s="885"/>
      <c r="N287" s="665"/>
      <c r="O287" s="885"/>
      <c r="P287" s="665"/>
      <c r="Q287" s="885"/>
      <c r="R287" s="665"/>
    </row>
    <row r="288" spans="1:18" ht="20.25">
      <c r="A288" s="340"/>
      <c r="B288" s="340"/>
      <c r="C288" s="340"/>
      <c r="D288" s="886" t="str">
        <f>D334</f>
        <v>Líquido</v>
      </c>
      <c r="E288" s="887">
        <f>E334</f>
        <v>184406.6788142033</v>
      </c>
      <c r="F288" s="888"/>
      <c r="G288" s="887">
        <f>G334</f>
        <v>175250.70658305453</v>
      </c>
      <c r="H288" s="888"/>
      <c r="I288" s="887">
        <f>I334</f>
        <v>152599.53718581336</v>
      </c>
      <c r="J288" s="888"/>
      <c r="K288" s="887">
        <f>K334</f>
        <v>145332.89255791745</v>
      </c>
      <c r="L288" s="888"/>
      <c r="M288" s="887">
        <f>M334</f>
        <v>131837.69539182514</v>
      </c>
      <c r="N288" s="888"/>
      <c r="O288" s="887">
        <f>O334</f>
        <v>112113.94568753635</v>
      </c>
      <c r="P288" s="888"/>
      <c r="Q288" s="887">
        <f>Q334</f>
        <v>103809.20896994107</v>
      </c>
      <c r="R288" s="888"/>
    </row>
    <row r="289" spans="1:18" ht="15.75">
      <c r="A289" s="340"/>
      <c r="B289" s="649"/>
      <c r="C289" s="448"/>
      <c r="D289" s="645"/>
      <c r="E289" s="579"/>
      <c r="F289" s="669"/>
      <c r="G289" s="579"/>
      <c r="H289" s="669"/>
      <c r="I289" s="579"/>
      <c r="J289" s="669"/>
      <c r="K289" s="579"/>
      <c r="L289" s="669"/>
      <c r="M289" s="579"/>
      <c r="N289" s="669"/>
      <c r="O289" s="579"/>
      <c r="P289" s="669"/>
      <c r="Q289" s="579"/>
      <c r="R289" s="669"/>
    </row>
    <row r="290" spans="1:18" ht="24" hidden="1" thickBot="1">
      <c r="A290" s="340"/>
      <c r="B290" s="692"/>
      <c r="C290" s="692"/>
      <c r="D290" s="686" t="s">
        <v>23</v>
      </c>
      <c r="E290" s="751">
        <f>E311</f>
        <v>368813.3576284066</v>
      </c>
      <c r="F290" s="752"/>
      <c r="G290" s="751">
        <f>G311</f>
        <v>350501.41316610907</v>
      </c>
      <c r="H290" s="752"/>
      <c r="I290" s="751">
        <f>I311</f>
        <v>305199.0743716267</v>
      </c>
      <c r="J290" s="752"/>
      <c r="K290" s="751">
        <f>K311</f>
        <v>290665.7851158349</v>
      </c>
      <c r="L290" s="752"/>
      <c r="M290" s="751">
        <f>M311</f>
        <v>263675.3907836503</v>
      </c>
      <c r="N290" s="752"/>
      <c r="O290" s="751">
        <f>O311</f>
        <v>224227.8913750727</v>
      </c>
      <c r="P290" s="752"/>
      <c r="Q290" s="751">
        <f>Q311</f>
        <v>207618.41793988214</v>
      </c>
      <c r="R290" s="752"/>
    </row>
    <row r="291" spans="1:18" ht="16.5" hidden="1" thickBot="1">
      <c r="A291" s="340"/>
      <c r="B291" s="719" t="s">
        <v>11</v>
      </c>
      <c r="C291" s="692"/>
      <c r="D291" s="766">
        <f>D238*64.73</f>
        <v>2330.28</v>
      </c>
      <c r="E291" s="720"/>
      <c r="F291" s="767"/>
      <c r="G291" s="720"/>
      <c r="H291" s="767"/>
      <c r="I291" s="720"/>
      <c r="J291" s="767"/>
      <c r="K291" s="720"/>
      <c r="L291" s="767"/>
      <c r="M291" s="720"/>
      <c r="N291" s="767"/>
      <c r="O291" s="720"/>
      <c r="P291" s="767"/>
      <c r="Q291" s="720"/>
      <c r="R291" s="767"/>
    </row>
    <row r="292" spans="2:18" ht="21" hidden="1" thickBot="1">
      <c r="B292" s="740"/>
      <c r="C292" s="755"/>
      <c r="D292" s="768"/>
      <c r="E292" s="924" t="str">
        <f>"AGO 23 "&amp;((aumento6-1)*100)&amp;"%"</f>
        <v>AGO 23 77,64%</v>
      </c>
      <c r="F292" s="618"/>
      <c r="G292" s="925" t="str">
        <f>"JUL 23 "&amp;((aumento5-1)*100)&amp;"%"</f>
        <v>JUL 23 68,82%</v>
      </c>
      <c r="H292" s="618"/>
      <c r="I292" s="925" t="str">
        <f>"JUN 23 "&amp;((Aumento4-1)*100)&amp;"%"</f>
        <v>JUN 23 47%</v>
      </c>
      <c r="J292" s="618"/>
      <c r="K292" s="925" t="str">
        <f>"MAY 23 "&amp;((Aumento3-1)*100)&amp;"%"</f>
        <v>MAY 23 40%</v>
      </c>
      <c r="L292" s="618"/>
      <c r="M292" s="925" t="str">
        <f>"MAR 23 "&amp;((Aumento2-1)*100)&amp;"%"</f>
        <v>MAR 23 27%</v>
      </c>
      <c r="N292" s="659"/>
      <c r="O292" s="926" t="str">
        <f>"FEB 23 "&amp;((aumento1-1)*100)&amp;"%"</f>
        <v>FEB 23 8,00000000000001%</v>
      </c>
      <c r="P292" s="659"/>
      <c r="Q292" s="636">
        <v>44927</v>
      </c>
      <c r="R292" s="659"/>
    </row>
    <row r="293" spans="2:18" ht="13.5" hidden="1" thickBot="1">
      <c r="B293" s="740"/>
      <c r="C293" s="740"/>
      <c r="D293" s="755"/>
      <c r="E293" s="740"/>
      <c r="F293" s="756"/>
      <c r="G293" s="740"/>
      <c r="H293" s="756"/>
      <c r="I293" s="740"/>
      <c r="J293" s="756"/>
      <c r="K293" s="740"/>
      <c r="L293" s="756"/>
      <c r="M293" s="740"/>
      <c r="N293" s="756"/>
      <c r="O293" s="740"/>
      <c r="P293" s="756"/>
      <c r="Q293" s="740"/>
      <c r="R293" s="756"/>
    </row>
    <row r="294" spans="2:18" ht="15.75" hidden="1" thickBot="1">
      <c r="B294" s="692">
        <v>400</v>
      </c>
      <c r="C294" s="692"/>
      <c r="D294" s="692" t="s">
        <v>13</v>
      </c>
      <c r="E294" s="693">
        <f>puntotalhorasmed*indiceene23*porjubhormed*aumento6</f>
        <v>130802.4365454501</v>
      </c>
      <c r="F294" s="688"/>
      <c r="G294" s="693">
        <f>puntotalhorasmed*indiceene23*porjubhormed*aumento5</f>
        <v>124307.96744878904</v>
      </c>
      <c r="H294" s="688"/>
      <c r="I294" s="693">
        <f>puntotalhorasmed*indiceene23*porjubhormed*Aumento4</f>
        <v>108241.15161101759</v>
      </c>
      <c r="J294" s="688"/>
      <c r="K294" s="693">
        <f>puntotalhorasmed*indiceene23*porjubhormed*Aumento3</f>
        <v>103086.81105811198</v>
      </c>
      <c r="L294" s="688"/>
      <c r="M294" s="693">
        <f>puntotalhorasmed*indiceene23*porjubhormed*Aumento2</f>
        <v>93514.46431700159</v>
      </c>
      <c r="N294" s="688"/>
      <c r="O294" s="693">
        <f>puntotalhorasmed*indiceene23*porjubhormed*aumento1</f>
        <v>79524.1113876864</v>
      </c>
      <c r="P294" s="688"/>
      <c r="Q294" s="693">
        <f>puntotalhorasmed*indiceene23*porjubhormed</f>
        <v>73633.43647007999</v>
      </c>
      <c r="R294" s="688"/>
    </row>
    <row r="295" spans="2:18" ht="15.75" hidden="1" thickBot="1">
      <c r="B295" s="692">
        <v>406</v>
      </c>
      <c r="C295" s="692"/>
      <c r="D295" s="692" t="s">
        <v>14</v>
      </c>
      <c r="E295" s="693">
        <f>E294*porcantighorasmed</f>
        <v>156962.9238545401</v>
      </c>
      <c r="F295" s="688"/>
      <c r="G295" s="693">
        <f>G294*porcantighorasmed</f>
        <v>149169.56093854684</v>
      </c>
      <c r="H295" s="688"/>
      <c r="I295" s="693">
        <f>I294*porcantighorasmed</f>
        <v>129889.3819332211</v>
      </c>
      <c r="J295" s="688"/>
      <c r="K295" s="693">
        <f>K294*porcantighorasmed</f>
        <v>123704.17326973437</v>
      </c>
      <c r="L295" s="688"/>
      <c r="M295" s="693">
        <f>M294*porcantighorasmed</f>
        <v>112217.3571804019</v>
      </c>
      <c r="N295" s="688"/>
      <c r="O295" s="693">
        <f>O294*porcantighorasmed</f>
        <v>95428.93366522367</v>
      </c>
      <c r="P295" s="688"/>
      <c r="Q295" s="693">
        <f>Q294*porcantighorasmed</f>
        <v>88360.12376409599</v>
      </c>
      <c r="R295" s="688"/>
    </row>
    <row r="296" spans="2:18" ht="15.75" hidden="1" thickBot="1">
      <c r="B296" s="692">
        <v>432</v>
      </c>
      <c r="C296" s="692"/>
      <c r="D296" s="692" t="s">
        <v>317</v>
      </c>
      <c r="E296" s="693">
        <f>IF(numhorasmed&gt;36,36*619.1,619.1*numhorasmed)*porjubhormed*aumento6</f>
        <v>32465.187964800003</v>
      </c>
      <c r="F296" s="688"/>
      <c r="G296" s="693">
        <f>IF(numhorasmed&gt;36,36*619.1,619.1*numhorasmed)*porjubhormed*aumento5</f>
        <v>30853.2595824</v>
      </c>
      <c r="H296" s="688"/>
      <c r="I296" s="693">
        <f>IF(numhorasmed&gt;36,36*619.1,619.1*numhorasmed)*porjubhormed*Aumento4</f>
        <v>26865.473040000004</v>
      </c>
      <c r="J296" s="688"/>
      <c r="K296" s="693">
        <f>IF(numhorasmed&gt;36,36*619.1,619.1*numhorasmed)*porjubhormed*Aumento3</f>
        <v>25586.164800000002</v>
      </c>
      <c r="L296" s="688"/>
      <c r="M296" s="693">
        <f>IF(numhorasmed&gt;36,36*619.1,619.1*numhorasmed)*porjubhormed*Aumento2</f>
        <v>23210.306640000003</v>
      </c>
      <c r="N296" s="688"/>
      <c r="O296" s="693">
        <f>IF(numhorasmed&gt;36,36*619.1,619.1*numhorasmed)*porjubhormed*aumento1</f>
        <v>19737.898560000005</v>
      </c>
      <c r="P296" s="688"/>
      <c r="Q296" s="693">
        <f>IF(numhorasmed&gt;36,36*619.1,619.1*numhorasmed)*porjubhormed</f>
        <v>18275.832000000002</v>
      </c>
      <c r="R296" s="688"/>
    </row>
    <row r="297" spans="2:18" ht="15.75" hidden="1" thickBot="1">
      <c r="B297" s="692">
        <v>434</v>
      </c>
      <c r="C297" s="692"/>
      <c r="D297" s="692" t="s">
        <v>313</v>
      </c>
      <c r="E297" s="693">
        <f>(E294+E295+E296+E298+E299+E301)*0.07*0.95</f>
        <v>24232.667033513742</v>
      </c>
      <c r="F297" s="688"/>
      <c r="G297" s="693">
        <f>(G294+G295+G296+G298+G299+G301)*0.07*0.95</f>
        <v>23029.491379181436</v>
      </c>
      <c r="H297" s="688"/>
      <c r="I297" s="693">
        <f>(I294+I295+I296+I298+I299+I301)*0.07*0.95</f>
        <v>20052.92757220513</v>
      </c>
      <c r="J297" s="688"/>
      <c r="K297" s="693">
        <f>(K294+K295+K296+K298+K299+K301)*0.07*0.95</f>
        <v>19098.02625924298</v>
      </c>
      <c r="L297" s="688"/>
      <c r="M297" s="693">
        <f>(M294+M295+M296+M298+M299+M301)*0.07*0.95</f>
        <v>17324.63810659899</v>
      </c>
      <c r="N297" s="688"/>
      <c r="O297" s="693">
        <f>(O294+O295+O296+O298+O299+O301)*0.07*0.95</f>
        <v>14732.763114273159</v>
      </c>
      <c r="P297" s="688"/>
      <c r="Q297" s="693">
        <f>(Q294+Q295+Q296+Q298+Q299+Q301)*0.07*0.95</f>
        <v>13641.447328030703</v>
      </c>
      <c r="R297" s="688"/>
    </row>
    <row r="298" spans="2:18" ht="15.75" hidden="1" thickBot="1">
      <c r="B298" s="696">
        <v>1458</v>
      </c>
      <c r="C298" s="692"/>
      <c r="D298" s="769" t="s">
        <v>470</v>
      </c>
      <c r="E298" s="698">
        <f>IF(numhorasmed&gt;18,18*496.4672,496.4672*numhorasmed)*porjubhormed*adichsmedia*aumento6</f>
        <v>13017.203171020798</v>
      </c>
      <c r="F298" s="770"/>
      <c r="G298" s="698">
        <f>IF(numhorasmed&gt;18,18*496.4672,496.4672*numhorasmed)*porjubhormed*adichsmedia*aumento5</f>
        <v>12370.886283110398</v>
      </c>
      <c r="H298" s="770"/>
      <c r="I298" s="698">
        <f>IF(numhorasmed&gt;18,18*496.4672,496.4672*numhorasmed)*porjubhormed*adichsmedia*Aumento4</f>
        <v>10771.94813184</v>
      </c>
      <c r="J298" s="770"/>
      <c r="K298" s="698">
        <f>IF(numhorasmed&gt;18,18*496.4672,496.4672*numhorasmed)*porjubhormed*adichsmedia*Aumento3</f>
        <v>10258.998220799998</v>
      </c>
      <c r="L298" s="770"/>
      <c r="M298" s="698">
        <f>IF(numhorasmed&gt;18,18*496.4672,496.4672*numhorasmed)*porjubhormed*adichsmedia*Aumento2</f>
        <v>9306.37695744</v>
      </c>
      <c r="N298" s="770"/>
      <c r="O298" s="698">
        <f>IF(numhorasmed&gt;18,18*496.4672,496.4672*numhorasmed)*porjubhormed*adichsmedia*aumento1</f>
        <v>7914.08434176</v>
      </c>
      <c r="P298" s="770"/>
      <c r="Q298" s="698">
        <f>IF(numhorasmed&gt;18,18*496.4672,496.4672*numhorasmed)*porjubhormed*adichsmedia</f>
        <v>7327.855871999999</v>
      </c>
      <c r="R298" s="770"/>
    </row>
    <row r="299" spans="2:18" ht="15.75" hidden="1" thickBot="1">
      <c r="B299" s="694">
        <v>437</v>
      </c>
      <c r="C299" s="692"/>
      <c r="D299" s="702" t="s">
        <v>484</v>
      </c>
      <c r="E299" s="757">
        <f>IF(numhorasmed&gt;30,210.4013*30,210.4013*numhorasmed)*porjubhormed*aumento6</f>
        <v>9194.418985272</v>
      </c>
      <c r="F299" s="704"/>
      <c r="G299" s="757">
        <f>IF(numhorasmed&gt;30,210.4013*30,210.4013*numhorasmed)*porjubhormed*aumento5</f>
        <v>8737.907076636</v>
      </c>
      <c r="H299" s="704"/>
      <c r="I299" s="757">
        <f>IF(numhorasmed&gt;30,210.4013*30,210.4013*numhorasmed)*porjubhormed*Aumento4</f>
        <v>7608.5318105999995</v>
      </c>
      <c r="J299" s="704"/>
      <c r="K299" s="757">
        <f>IF(numhorasmed&gt;30,210.4013*30,210.4013*numhorasmed)*porjubhormed*Aumento3</f>
        <v>7246.220772</v>
      </c>
      <c r="L299" s="704"/>
      <c r="M299" s="757">
        <f>IF(numhorasmed&gt;30,210.4013*30,210.4013*numhorasmed)*porjubhormed*Aumento2</f>
        <v>6573.3574146</v>
      </c>
      <c r="N299" s="704"/>
      <c r="O299" s="757">
        <f>IF(numhorasmed&gt;30,210.4013*30,210.4013*numhorasmed)*porjubhormed*aumento1</f>
        <v>5589.9417384</v>
      </c>
      <c r="P299" s="704"/>
      <c r="Q299" s="757">
        <f>IF(numhorasmed&gt;30,210.4013*30,210.4013*numhorasmed)*porjubhormed</f>
        <v>5175.87198</v>
      </c>
      <c r="R299" s="704"/>
    </row>
    <row r="300" spans="2:18" ht="16.5" hidden="1" thickBot="1">
      <c r="B300" s="692"/>
      <c r="C300" s="692"/>
      <c r="D300" s="692" t="s">
        <v>327</v>
      </c>
      <c r="E300" s="705">
        <f>E256</f>
        <v>0</v>
      </c>
      <c r="F300" s="688"/>
      <c r="G300" s="705">
        <f>G256</f>
        <v>0</v>
      </c>
      <c r="H300" s="688"/>
      <c r="I300" s="705">
        <f>I256</f>
        <v>0</v>
      </c>
      <c r="J300" s="688"/>
      <c r="K300" s="705">
        <f>K256</f>
        <v>0</v>
      </c>
      <c r="L300" s="688"/>
      <c r="M300" s="705">
        <f>M256</f>
        <v>0</v>
      </c>
      <c r="N300" s="688"/>
      <c r="O300" s="705">
        <f>O256</f>
        <v>0</v>
      </c>
      <c r="P300" s="688"/>
      <c r="Q300" s="705">
        <f>Q256</f>
        <v>0</v>
      </c>
      <c r="R300" s="688"/>
    </row>
    <row r="301" spans="2:18" ht="16.5" hidden="1" thickBot="1">
      <c r="B301" s="758">
        <v>1584</v>
      </c>
      <c r="C301" s="771">
        <f>C257</f>
        <v>15</v>
      </c>
      <c r="D301" s="760" t="s">
        <v>494</v>
      </c>
      <c r="E301" s="757">
        <f>IF($C301="",IF(numhorasmed&lt;15,1004.9945*numhorasmed,15074.91),IF($C301&lt;15,1004.994*$C301,15074.91))*porjubhormed*aumento6</f>
        <v>21958.83750168</v>
      </c>
      <c r="F301" s="704"/>
      <c r="G301" s="757">
        <f>IF($C301="",IF(numhorasmed&lt;15,1004.9945*numhorasmed,15074.91),IF($C301&lt;15,1004.994*$C301,15074.91))*porjubhormed*aumento5</f>
        <v>20868.55971084</v>
      </c>
      <c r="H301" s="704"/>
      <c r="I301" s="757">
        <f>IF($C301="",IF(numhorasmed&lt;15,1004.9945*numhorasmed,15074.91),IF($C301&lt;15,1004.994*$C301,15074.91))*porjubhormed*Aumento4</f>
        <v>18171.296513999998</v>
      </c>
      <c r="J301" s="704"/>
      <c r="K301" s="757">
        <f>IF($C301="",IF(numhorasmed&lt;15,1004.9945*numhorasmed,15074.91),IF($C301&lt;15,1004.994*$C301,15074.91))*porjubhormed*Aumento3</f>
        <v>17305.99668</v>
      </c>
      <c r="L301" s="704"/>
      <c r="M301" s="757">
        <f>IF($C301="",IF(numhorasmed&lt;15,1004.9945*numhorasmed,15074.91),IF($C301&lt;15,1004.994*$C301,15074.91))*porjubhormed*Aumento2</f>
        <v>15699.011274</v>
      </c>
      <c r="N301" s="704"/>
      <c r="O301" s="757">
        <f>IF($C301="",IF(numhorasmed&lt;15,1004.9945*numhorasmed,15074.91),IF($C301&lt;15,1004.994*$C301,15074.91))*porjubhormed*aumento1</f>
        <v>13350.340296</v>
      </c>
      <c r="P301" s="704"/>
      <c r="Q301" s="757">
        <f>IF($C301="",IF(numhorasmed&lt;15,1004.9945*numhorasmed,15074.91),IF($C301&lt;15,1004.994*$C301,15074.91))*porjubhormed</f>
        <v>12361.4262</v>
      </c>
      <c r="R301" s="704"/>
    </row>
    <row r="302" spans="2:18" ht="18.75" hidden="1" thickBot="1">
      <c r="B302" s="692"/>
      <c r="C302" s="740"/>
      <c r="D302" s="707" t="s">
        <v>15</v>
      </c>
      <c r="E302" s="746">
        <f>SUM(E294:E301)</f>
        <v>388633.6750562767</v>
      </c>
      <c r="F302" s="709"/>
      <c r="G302" s="746">
        <f>SUM(G294:G301)</f>
        <v>369337.63241950376</v>
      </c>
      <c r="H302" s="709"/>
      <c r="I302" s="746">
        <f>SUM(I294:I301)</f>
        <v>321600.7106128838</v>
      </c>
      <c r="J302" s="709"/>
      <c r="K302" s="746">
        <f>SUM(K294:K301)</f>
        <v>306286.3910598893</v>
      </c>
      <c r="L302" s="709"/>
      <c r="M302" s="746">
        <f>SUM(M294:M301)</f>
        <v>277845.51189004246</v>
      </c>
      <c r="N302" s="709"/>
      <c r="O302" s="746">
        <f>SUM(O294:O301)</f>
        <v>236278.07310334322</v>
      </c>
      <c r="P302" s="709"/>
      <c r="Q302" s="746">
        <f>SUM(Q294:Q301)</f>
        <v>218775.99361420667</v>
      </c>
      <c r="R302" s="709"/>
    </row>
    <row r="303" spans="2:18" ht="15.75" hidden="1" thickBot="1">
      <c r="B303" s="692">
        <v>703</v>
      </c>
      <c r="C303" s="711">
        <v>0.0025</v>
      </c>
      <c r="D303" s="712" t="s">
        <v>16</v>
      </c>
      <c r="E303" s="713">
        <f>(E302-E300)*$C303</f>
        <v>971.5841876406919</v>
      </c>
      <c r="F303" s="714"/>
      <c r="G303" s="713">
        <f>(G302-G300)*$C303</f>
        <v>923.3440810487594</v>
      </c>
      <c r="H303" s="714"/>
      <c r="I303" s="713">
        <f>(I302-I300)*$C303</f>
        <v>804.0017765322095</v>
      </c>
      <c r="J303" s="714"/>
      <c r="K303" s="713">
        <f>(K302-K300)*$C303</f>
        <v>765.7159776497232</v>
      </c>
      <c r="L303" s="714"/>
      <c r="M303" s="713">
        <f>(M302-M300)*$C303</f>
        <v>694.6137797251062</v>
      </c>
      <c r="N303" s="714"/>
      <c r="O303" s="713">
        <f>(O302-O300)*$C303</f>
        <v>590.6951827583581</v>
      </c>
      <c r="P303" s="714"/>
      <c r="Q303" s="713">
        <f>(Q302-Q300)*$C303</f>
        <v>546.9399840355167</v>
      </c>
      <c r="R303" s="714"/>
    </row>
    <row r="304" spans="2:18" ht="15.75" hidden="1" thickBot="1">
      <c r="B304" s="685">
        <v>707</v>
      </c>
      <c r="C304" s="715">
        <v>0.03</v>
      </c>
      <c r="D304" s="692" t="s">
        <v>17</v>
      </c>
      <c r="E304" s="713">
        <f>(E302-E300)*$C304</f>
        <v>11659.010251688302</v>
      </c>
      <c r="F304" s="688"/>
      <c r="G304" s="713">
        <f>(G302-G300)*$C304</f>
        <v>11080.128972585113</v>
      </c>
      <c r="H304" s="688"/>
      <c r="I304" s="713">
        <f>(I302-I300)*$C304</f>
        <v>9648.021318386513</v>
      </c>
      <c r="J304" s="688"/>
      <c r="K304" s="713">
        <f>(K302-K300)*$C304</f>
        <v>9188.591731796678</v>
      </c>
      <c r="L304" s="688"/>
      <c r="M304" s="713">
        <f>(M302-M300)*$C304</f>
        <v>8335.365356701273</v>
      </c>
      <c r="N304" s="688"/>
      <c r="O304" s="713">
        <f>(O302-O300)*$C304</f>
        <v>7088.342193100297</v>
      </c>
      <c r="P304" s="688"/>
      <c r="Q304" s="713">
        <f>(Q302-Q300)*$C304</f>
        <v>6563.2798084262</v>
      </c>
      <c r="R304" s="688"/>
    </row>
    <row r="305" spans="2:18" ht="16.5" hidden="1" thickBot="1">
      <c r="B305" s="685">
        <v>709</v>
      </c>
      <c r="C305" s="772">
        <f>C261</f>
        <v>0.0015</v>
      </c>
      <c r="D305" s="692" t="s">
        <v>18</v>
      </c>
      <c r="E305" s="713">
        <f>(E302-E300)*$C305</f>
        <v>582.9505125844152</v>
      </c>
      <c r="F305" s="688"/>
      <c r="G305" s="713">
        <f>(G302-G300)*$C305</f>
        <v>554.0064486292556</v>
      </c>
      <c r="H305" s="688"/>
      <c r="I305" s="713">
        <f>(I302-I300)*$C305</f>
        <v>482.4010659193257</v>
      </c>
      <c r="J305" s="688"/>
      <c r="K305" s="713">
        <f>(K302-K300)*$C305</f>
        <v>459.42958658983395</v>
      </c>
      <c r="L305" s="688"/>
      <c r="M305" s="713">
        <f>(M302-M300)*$C305</f>
        <v>416.7682678350637</v>
      </c>
      <c r="N305" s="688"/>
      <c r="O305" s="713">
        <f>(O302-O300)*$C305</f>
        <v>354.4171096550148</v>
      </c>
      <c r="P305" s="688"/>
      <c r="Q305" s="713">
        <f>(Q302-Q300)*$C305</f>
        <v>328.16399042131</v>
      </c>
      <c r="R305" s="688"/>
    </row>
    <row r="306" spans="2:18" ht="15.75" hidden="1" thickBot="1">
      <c r="B306" s="685">
        <v>713</v>
      </c>
      <c r="C306" s="717">
        <v>0.007</v>
      </c>
      <c r="D306" s="692" t="s">
        <v>20</v>
      </c>
      <c r="E306" s="713">
        <f>(E302-E300)*$C306</f>
        <v>2720.435725393937</v>
      </c>
      <c r="F306" s="688"/>
      <c r="G306" s="713">
        <f>(G302-G300)*$C306</f>
        <v>2585.3634269365266</v>
      </c>
      <c r="H306" s="688"/>
      <c r="I306" s="713">
        <f>(I302-I300)*$C306</f>
        <v>2251.204974290187</v>
      </c>
      <c r="J306" s="688"/>
      <c r="K306" s="713">
        <f>(K302-K300)*$C306</f>
        <v>2144.004737419225</v>
      </c>
      <c r="L306" s="688"/>
      <c r="M306" s="713">
        <f>(M302-M300)*$C306</f>
        <v>1944.9185832302971</v>
      </c>
      <c r="N306" s="688"/>
      <c r="O306" s="713">
        <f>(O302-O300)*$C306</f>
        <v>1653.9465117234026</v>
      </c>
      <c r="P306" s="688"/>
      <c r="Q306" s="713">
        <f>(Q302-Q300)*$C306</f>
        <v>1531.4319552994468</v>
      </c>
      <c r="R306" s="688"/>
    </row>
    <row r="307" spans="2:18" ht="15.75" hidden="1" thickBot="1">
      <c r="B307" s="685">
        <v>787</v>
      </c>
      <c r="C307" s="715">
        <v>0.01</v>
      </c>
      <c r="D307" s="692" t="s">
        <v>387</v>
      </c>
      <c r="E307" s="713">
        <f>(E302-E300)*$C307</f>
        <v>3886.3367505627675</v>
      </c>
      <c r="F307" s="688"/>
      <c r="G307" s="713">
        <f>(G302-G300)*$C307</f>
        <v>3693.376324195038</v>
      </c>
      <c r="H307" s="688"/>
      <c r="I307" s="713">
        <f>(I302-I300)*$C307</f>
        <v>3216.007106128838</v>
      </c>
      <c r="J307" s="688"/>
      <c r="K307" s="713">
        <f>(K302-K300)*$C307</f>
        <v>3062.8639105988927</v>
      </c>
      <c r="L307" s="688"/>
      <c r="M307" s="713">
        <f>(M302-M300)*$C307</f>
        <v>2778.4551189004246</v>
      </c>
      <c r="N307" s="688"/>
      <c r="O307" s="713">
        <f>(O302-O300)*$C307</f>
        <v>2362.7807310334324</v>
      </c>
      <c r="P307" s="688"/>
      <c r="Q307" s="713">
        <f>(Q302-Q300)*$C307</f>
        <v>2187.7599361420666</v>
      </c>
      <c r="R307" s="688"/>
    </row>
    <row r="308" spans="2:18" ht="16.5" hidden="1" thickBot="1">
      <c r="B308" s="685"/>
      <c r="C308" s="685"/>
      <c r="D308" s="692" t="s">
        <v>21</v>
      </c>
      <c r="E308" s="718">
        <f>E264</f>
        <v>0</v>
      </c>
      <c r="F308" s="688"/>
      <c r="G308" s="718">
        <f>G264</f>
        <v>0</v>
      </c>
      <c r="H308" s="688"/>
      <c r="I308" s="718">
        <f>I264</f>
        <v>0</v>
      </c>
      <c r="J308" s="688"/>
      <c r="K308" s="718">
        <f>K264</f>
        <v>0</v>
      </c>
      <c r="L308" s="688"/>
      <c r="M308" s="718">
        <f>M264</f>
        <v>0</v>
      </c>
      <c r="N308" s="688"/>
      <c r="O308" s="718">
        <f>O264</f>
        <v>0</v>
      </c>
      <c r="P308" s="688"/>
      <c r="Q308" s="718">
        <f>Q264</f>
        <v>0</v>
      </c>
      <c r="R308" s="688"/>
    </row>
    <row r="309" spans="2:18" ht="16.5" hidden="1" thickBot="1">
      <c r="B309" s="685"/>
      <c r="C309" s="720"/>
      <c r="D309" s="719" t="s">
        <v>22</v>
      </c>
      <c r="E309" s="762">
        <f>SUM(E303:E308)</f>
        <v>19820.317427870115</v>
      </c>
      <c r="F309" s="710"/>
      <c r="G309" s="762">
        <f>SUM(G303:G308)</f>
        <v>18836.21925339469</v>
      </c>
      <c r="H309" s="710"/>
      <c r="I309" s="762">
        <f>SUM(I303:I308)</f>
        <v>16401.636241257074</v>
      </c>
      <c r="J309" s="710"/>
      <c r="K309" s="762">
        <f>SUM(K303:K308)</f>
        <v>15620.605944054354</v>
      </c>
      <c r="L309" s="710"/>
      <c r="M309" s="762">
        <f>SUM(M303:M308)</f>
        <v>14170.121106392166</v>
      </c>
      <c r="N309" s="710"/>
      <c r="O309" s="762">
        <f>SUM(O303:O308)</f>
        <v>12050.181728270503</v>
      </c>
      <c r="P309" s="710"/>
      <c r="Q309" s="762">
        <f>SUM(Q303:Q308)</f>
        <v>11157.57567432454</v>
      </c>
      <c r="R309" s="710"/>
    </row>
    <row r="310" spans="2:18" ht="16.5" hidden="1" thickBot="1">
      <c r="B310" s="720"/>
      <c r="C310" s="722"/>
      <c r="D310" s="692"/>
      <c r="E310" s="721"/>
      <c r="F310" s="688"/>
      <c r="G310" s="721"/>
      <c r="H310" s="688"/>
      <c r="I310" s="721"/>
      <c r="J310" s="688"/>
      <c r="K310" s="721"/>
      <c r="L310" s="688"/>
      <c r="M310" s="721"/>
      <c r="N310" s="688"/>
      <c r="O310" s="721"/>
      <c r="P310" s="688"/>
      <c r="Q310" s="721"/>
      <c r="R310" s="688"/>
    </row>
    <row r="311" spans="2:18" ht="21" hidden="1" thickBot="1">
      <c r="B311" s="722"/>
      <c r="C311" s="722"/>
      <c r="D311" s="723" t="s">
        <v>23</v>
      </c>
      <c r="E311" s="903">
        <f>E302-E309</f>
        <v>368813.3576284066</v>
      </c>
      <c r="F311" s="899"/>
      <c r="G311" s="903">
        <f>G302-G309</f>
        <v>350501.41316610907</v>
      </c>
      <c r="H311" s="899"/>
      <c r="I311" s="903">
        <f>I302-I309</f>
        <v>305199.0743716267</v>
      </c>
      <c r="J311" s="899"/>
      <c r="K311" s="903">
        <f>K302-K309</f>
        <v>290665.7851158349</v>
      </c>
      <c r="L311" s="899"/>
      <c r="M311" s="903">
        <f>M302-M309</f>
        <v>263675.3907836503</v>
      </c>
      <c r="N311" s="899"/>
      <c r="O311" s="903">
        <f>O302-O309</f>
        <v>224227.8913750727</v>
      </c>
      <c r="P311" s="899"/>
      <c r="Q311" s="903">
        <f>Q302-Q309</f>
        <v>207618.41793988214</v>
      </c>
      <c r="R311" s="724"/>
    </row>
    <row r="312" spans="2:18" ht="16.5" hidden="1" thickBot="1">
      <c r="B312" s="722"/>
      <c r="C312" s="692"/>
      <c r="D312" s="723"/>
      <c r="E312" s="763"/>
      <c r="F312" s="724"/>
      <c r="G312" s="763"/>
      <c r="H312" s="724"/>
      <c r="I312" s="763"/>
      <c r="J312" s="724"/>
      <c r="K312" s="763"/>
      <c r="L312" s="724"/>
      <c r="M312" s="763"/>
      <c r="N312" s="724"/>
      <c r="O312" s="763"/>
      <c r="P312" s="724"/>
      <c r="Q312" s="763"/>
      <c r="R312" s="724"/>
    </row>
    <row r="313" spans="2:18" ht="16.5" hidden="1" thickBot="1">
      <c r="B313" s="692"/>
      <c r="C313" s="764"/>
      <c r="D313" s="729" t="s">
        <v>499</v>
      </c>
      <c r="E313" s="730">
        <f>E311-G311</f>
        <v>18311.944462297542</v>
      </c>
      <c r="F313" s="731"/>
      <c r="G313" s="730">
        <f>G311-I311</f>
        <v>45302.33879448235</v>
      </c>
      <c r="H313" s="731"/>
      <c r="I313" s="730">
        <f>I311-K311</f>
        <v>14533.28925579181</v>
      </c>
      <c r="J313" s="731"/>
      <c r="K313" s="730">
        <f>K311-M311</f>
        <v>26990.39433218463</v>
      </c>
      <c r="L313" s="731"/>
      <c r="M313" s="730">
        <f>M311-O311</f>
        <v>39447.49940857757</v>
      </c>
      <c r="N313" s="731"/>
      <c r="O313" s="730">
        <f>O311-Q311</f>
        <v>16609.473435190564</v>
      </c>
      <c r="P313" s="731"/>
      <c r="Q313" s="730"/>
      <c r="R313" s="731"/>
    </row>
    <row r="314" spans="2:18" ht="16.5" hidden="1" thickBot="1">
      <c r="B314" s="692"/>
      <c r="C314" s="764"/>
      <c r="D314" s="729" t="s">
        <v>492</v>
      </c>
      <c r="E314" s="733">
        <f>E313/G311</f>
        <v>0.052244994668877914</v>
      </c>
      <c r="F314" s="731"/>
      <c r="G314" s="733">
        <f>G313/I311</f>
        <v>0.1484353741496601</v>
      </c>
      <c r="H314" s="731"/>
      <c r="I314" s="733">
        <f>I313/K311</f>
        <v>0.05000000000000022</v>
      </c>
      <c r="J314" s="731"/>
      <c r="K314" s="733">
        <f>K313/M311</f>
        <v>0.10236220472440928</v>
      </c>
      <c r="L314" s="731"/>
      <c r="M314" s="733">
        <f>M313/O311</f>
        <v>0.17592592592592576</v>
      </c>
      <c r="N314" s="731"/>
      <c r="O314" s="733">
        <f>O313/Q311</f>
        <v>0.07999999999999996</v>
      </c>
      <c r="P314" s="731"/>
      <c r="Q314" s="733"/>
      <c r="R314" s="731"/>
    </row>
    <row r="315" spans="2:18" ht="15.75" hidden="1" thickBot="1">
      <c r="B315" s="692"/>
      <c r="C315" s="692"/>
      <c r="D315" s="692"/>
      <c r="E315" s="692"/>
      <c r="F315" s="688"/>
      <c r="G315" s="692"/>
      <c r="H315" s="688"/>
      <c r="I315" s="692"/>
      <c r="J315" s="688"/>
      <c r="K315" s="692"/>
      <c r="L315" s="688"/>
      <c r="M315" s="692"/>
      <c r="N315" s="688"/>
      <c r="O315" s="692"/>
      <c r="P315" s="688"/>
      <c r="Q315" s="692"/>
      <c r="R315" s="688"/>
    </row>
    <row r="316" spans="2:18" ht="16.5" hidden="1" thickBot="1">
      <c r="B316" s="692"/>
      <c r="C316" s="692"/>
      <c r="D316" s="734" t="s">
        <v>500</v>
      </c>
      <c r="E316" s="735">
        <f>E311-$Q311</f>
        <v>161194.93968852446</v>
      </c>
      <c r="F316" s="731"/>
      <c r="G316" s="735">
        <f>G311-$Q311</f>
        <v>142882.99522622692</v>
      </c>
      <c r="H316" s="731"/>
      <c r="I316" s="735">
        <f>I311-$Q311</f>
        <v>97580.65643174457</v>
      </c>
      <c r="J316" s="731"/>
      <c r="K316" s="735">
        <f>K311-$Q311</f>
        <v>83047.36717595276</v>
      </c>
      <c r="L316" s="731"/>
      <c r="M316" s="735">
        <f>M311-$Q311</f>
        <v>56056.97284376813</v>
      </c>
      <c r="N316" s="731"/>
      <c r="O316" s="735">
        <f>O311-$Q311</f>
        <v>16609.473435190564</v>
      </c>
      <c r="P316" s="731"/>
      <c r="Q316" s="735"/>
      <c r="R316" s="731"/>
    </row>
    <row r="317" spans="2:18" ht="16.5" hidden="1" thickBot="1">
      <c r="B317" s="692"/>
      <c r="C317" s="692"/>
      <c r="D317" s="734" t="s">
        <v>503</v>
      </c>
      <c r="E317" s="736">
        <f>E316/$Q311</f>
        <v>0.7763999999999999</v>
      </c>
      <c r="F317" s="731"/>
      <c r="G317" s="736">
        <f>G316/$Q311</f>
        <v>0.6882000000000001</v>
      </c>
      <c r="H317" s="731"/>
      <c r="I317" s="736">
        <f>I316/$Q311</f>
        <v>0.46999999999999986</v>
      </c>
      <c r="J317" s="731"/>
      <c r="K317" s="736">
        <f>K316/$Q311</f>
        <v>0.3999999999999996</v>
      </c>
      <c r="L317" s="731"/>
      <c r="M317" s="736">
        <f>M316/$Q311</f>
        <v>0.2699999999999998</v>
      </c>
      <c r="N317" s="731"/>
      <c r="O317" s="736">
        <f>O316/$Q311</f>
        <v>0.07999999999999996</v>
      </c>
      <c r="P317" s="731"/>
      <c r="Q317" s="736"/>
      <c r="R317" s="731"/>
    </row>
    <row r="318" spans="2:18" ht="16.5" hidden="1" thickBot="1">
      <c r="B318" s="692"/>
      <c r="C318" s="692"/>
      <c r="D318" s="738"/>
      <c r="E318" s="737"/>
      <c r="F318" s="731"/>
      <c r="G318" s="737"/>
      <c r="H318" s="731"/>
      <c r="I318" s="737"/>
      <c r="J318" s="731"/>
      <c r="K318" s="737"/>
      <c r="L318" s="731"/>
      <c r="M318" s="737"/>
      <c r="N318" s="731"/>
      <c r="O318" s="737"/>
      <c r="P318" s="731"/>
      <c r="Q318" s="737"/>
      <c r="R318" s="731"/>
    </row>
    <row r="319" spans="2:18" ht="16.5" hidden="1" thickBot="1">
      <c r="B319" s="692"/>
      <c r="C319" s="692"/>
      <c r="D319" s="734" t="s">
        <v>501</v>
      </c>
      <c r="E319" s="735"/>
      <c r="F319" s="731"/>
      <c r="G319" s="735"/>
      <c r="H319" s="731"/>
      <c r="I319" s="735"/>
      <c r="J319" s="731"/>
      <c r="K319" s="735"/>
      <c r="L319" s="731"/>
      <c r="M319" s="735"/>
      <c r="N319" s="731"/>
      <c r="O319" s="735"/>
      <c r="P319" s="731"/>
      <c r="Q319" s="735"/>
      <c r="R319" s="731"/>
    </row>
    <row r="320" spans="2:18" ht="16.5" hidden="1" thickBot="1">
      <c r="B320" s="692"/>
      <c r="C320" s="692"/>
      <c r="D320" s="734" t="s">
        <v>502</v>
      </c>
      <c r="E320" s="739"/>
      <c r="F320" s="731"/>
      <c r="G320" s="739"/>
      <c r="H320" s="731"/>
      <c r="I320" s="739"/>
      <c r="J320" s="731"/>
      <c r="K320" s="739"/>
      <c r="L320" s="731"/>
      <c r="M320" s="739"/>
      <c r="N320" s="731"/>
      <c r="O320" s="739"/>
      <c r="P320" s="731"/>
      <c r="Q320" s="739"/>
      <c r="R320" s="731"/>
    </row>
    <row r="321" spans="2:18" ht="15.75" hidden="1" thickBot="1">
      <c r="B321" s="692"/>
      <c r="C321" s="692"/>
      <c r="D321" s="740"/>
      <c r="E321" s="740"/>
      <c r="F321" s="741"/>
      <c r="G321" s="740"/>
      <c r="H321" s="741"/>
      <c r="I321" s="740"/>
      <c r="J321" s="741"/>
      <c r="K321" s="740"/>
      <c r="L321" s="741"/>
      <c r="M321" s="740"/>
      <c r="N321" s="741"/>
      <c r="O321" s="740"/>
      <c r="P321" s="741"/>
      <c r="Q321" s="740"/>
      <c r="R321" s="741"/>
    </row>
    <row r="322" spans="2:18" ht="21" hidden="1" thickBot="1">
      <c r="B322" s="685"/>
      <c r="C322" s="692"/>
      <c r="D322" s="742" t="s">
        <v>479</v>
      </c>
      <c r="E322" s="765"/>
      <c r="F322" s="744"/>
      <c r="G322" s="765"/>
      <c r="H322" s="744"/>
      <c r="I322" s="765"/>
      <c r="J322" s="744"/>
      <c r="K322" s="765"/>
      <c r="L322" s="744"/>
      <c r="M322" s="765"/>
      <c r="N322" s="744"/>
      <c r="O322" s="765"/>
      <c r="P322" s="744"/>
      <c r="Q322" s="765"/>
      <c r="R322" s="744"/>
    </row>
    <row r="323" spans="2:18" ht="15.75" hidden="1" thickBot="1">
      <c r="B323" s="685"/>
      <c r="C323" s="685"/>
      <c r="D323" s="745"/>
      <c r="E323" s="685"/>
      <c r="F323" s="706"/>
      <c r="G323" s="685"/>
      <c r="H323" s="706"/>
      <c r="I323" s="685"/>
      <c r="J323" s="706"/>
      <c r="K323" s="685"/>
      <c r="L323" s="706"/>
      <c r="M323" s="685"/>
      <c r="N323" s="706"/>
      <c r="O323" s="685"/>
      <c r="P323" s="706"/>
      <c r="Q323" s="685"/>
      <c r="R323" s="706"/>
    </row>
    <row r="324" spans="2:18" ht="16.5" hidden="1" thickBot="1">
      <c r="B324" s="685"/>
      <c r="C324" s="685"/>
      <c r="D324" s="746" t="s">
        <v>480</v>
      </c>
      <c r="E324" s="747">
        <f>E302*0.5</f>
        <v>194316.83752813836</v>
      </c>
      <c r="F324" s="748"/>
      <c r="G324" s="747">
        <f>G302*0.5</f>
        <v>184668.81620975188</v>
      </c>
      <c r="H324" s="748"/>
      <c r="I324" s="747">
        <f>I302*0.5</f>
        <v>160800.3553064419</v>
      </c>
      <c r="J324" s="748"/>
      <c r="K324" s="747">
        <f>K302*0.5</f>
        <v>153143.19552994464</v>
      </c>
      <c r="L324" s="748"/>
      <c r="M324" s="747">
        <f>M302*0.5</f>
        <v>138922.75594502123</v>
      </c>
      <c r="N324" s="748"/>
      <c r="O324" s="747">
        <f>O302*0.5</f>
        <v>118139.03655167161</v>
      </c>
      <c r="P324" s="748"/>
      <c r="Q324" s="747">
        <f>Q302*0.5</f>
        <v>109387.99680710334</v>
      </c>
      <c r="R324" s="748"/>
    </row>
    <row r="325" spans="2:18" ht="15.75" hidden="1" thickBot="1">
      <c r="B325" s="685"/>
      <c r="C325" s="685"/>
      <c r="D325" s="745"/>
      <c r="E325" s="685"/>
      <c r="F325" s="706"/>
      <c r="G325" s="685"/>
      <c r="H325" s="706"/>
      <c r="I325" s="685"/>
      <c r="J325" s="706"/>
      <c r="K325" s="685"/>
      <c r="L325" s="706"/>
      <c r="M325" s="685"/>
      <c r="N325" s="706"/>
      <c r="O325" s="685"/>
      <c r="P325" s="706"/>
      <c r="Q325" s="685"/>
      <c r="R325" s="706"/>
    </row>
    <row r="326" spans="2:18" ht="16.5" hidden="1" thickBot="1">
      <c r="B326" s="685"/>
      <c r="C326" s="685"/>
      <c r="D326" s="746" t="s">
        <v>22</v>
      </c>
      <c r="E326" s="685"/>
      <c r="F326" s="748"/>
      <c r="G326" s="685"/>
      <c r="H326" s="748"/>
      <c r="I326" s="685"/>
      <c r="J326" s="748"/>
      <c r="K326" s="685"/>
      <c r="L326" s="748"/>
      <c r="M326" s="685"/>
      <c r="N326" s="748"/>
      <c r="O326" s="685"/>
      <c r="P326" s="748"/>
      <c r="Q326" s="685"/>
      <c r="R326" s="748"/>
    </row>
    <row r="327" spans="2:18" ht="15.75" hidden="1" thickBot="1">
      <c r="B327" s="692">
        <v>703</v>
      </c>
      <c r="C327" s="711">
        <v>0.0025</v>
      </c>
      <c r="D327" s="712" t="s">
        <v>316</v>
      </c>
      <c r="E327" s="713">
        <f>E324*0.0025</f>
        <v>485.79209382034594</v>
      </c>
      <c r="F327" s="714"/>
      <c r="G327" s="713">
        <f>G324*0.0025</f>
        <v>461.6720405243797</v>
      </c>
      <c r="H327" s="714"/>
      <c r="I327" s="713">
        <f>I324*0.0025</f>
        <v>402.00088826610477</v>
      </c>
      <c r="J327" s="714"/>
      <c r="K327" s="713">
        <f>K324*0.0025</f>
        <v>382.8579888248616</v>
      </c>
      <c r="L327" s="714"/>
      <c r="M327" s="713">
        <f>M324*0.0025</f>
        <v>347.3068898625531</v>
      </c>
      <c r="N327" s="714"/>
      <c r="O327" s="713">
        <f>O324*0.0025</f>
        <v>295.34759137917905</v>
      </c>
      <c r="P327" s="714"/>
      <c r="Q327" s="713">
        <f>Q324*0.0025</f>
        <v>273.46999201775833</v>
      </c>
      <c r="R327" s="714"/>
    </row>
    <row r="328" spans="2:18" ht="15.75" hidden="1" thickBot="1">
      <c r="B328" s="685">
        <v>707</v>
      </c>
      <c r="C328" s="715">
        <v>0.03</v>
      </c>
      <c r="D328" s="692" t="s">
        <v>17</v>
      </c>
      <c r="E328" s="713">
        <f>E324*0.03</f>
        <v>5829.505125844151</v>
      </c>
      <c r="F328" s="688"/>
      <c r="G328" s="713">
        <f>G324*0.03</f>
        <v>5540.0644862925565</v>
      </c>
      <c r="H328" s="688"/>
      <c r="I328" s="713">
        <f>I324*0.03</f>
        <v>4824.010659193256</v>
      </c>
      <c r="J328" s="688"/>
      <c r="K328" s="713">
        <f>K324*0.03</f>
        <v>4594.295865898339</v>
      </c>
      <c r="L328" s="688"/>
      <c r="M328" s="713">
        <f>M324*0.03</f>
        <v>4167.682678350637</v>
      </c>
      <c r="N328" s="688"/>
      <c r="O328" s="713">
        <f>O324*0.03</f>
        <v>3544.1710965501484</v>
      </c>
      <c r="P328" s="688"/>
      <c r="Q328" s="713">
        <f>Q324*0.03</f>
        <v>3281.6399042131</v>
      </c>
      <c r="R328" s="688"/>
    </row>
    <row r="329" spans="2:18" ht="16.5" hidden="1" thickBot="1">
      <c r="B329" s="685">
        <v>709</v>
      </c>
      <c r="C329" s="772">
        <f>C283</f>
        <v>0.0015</v>
      </c>
      <c r="D329" s="692" t="s">
        <v>18</v>
      </c>
      <c r="E329" s="713">
        <f>E324*0.0015</f>
        <v>291.4752562922076</v>
      </c>
      <c r="F329" s="688"/>
      <c r="G329" s="713">
        <f>G324*0.0015</f>
        <v>277.0032243146278</v>
      </c>
      <c r="H329" s="688"/>
      <c r="I329" s="713">
        <f>I324*0.0015</f>
        <v>241.20053295966284</v>
      </c>
      <c r="J329" s="688"/>
      <c r="K329" s="713">
        <f>K324*0.0015</f>
        <v>229.71479329491697</v>
      </c>
      <c r="L329" s="688"/>
      <c r="M329" s="713">
        <f>M324*0.0015</f>
        <v>208.38413391753184</v>
      </c>
      <c r="N329" s="688"/>
      <c r="O329" s="713">
        <f>O324*0.0015</f>
        <v>177.2085548275074</v>
      </c>
      <c r="P329" s="688"/>
      <c r="Q329" s="713">
        <f>Q324*0.0015</f>
        <v>164.081995210655</v>
      </c>
      <c r="R329" s="688"/>
    </row>
    <row r="330" spans="2:18" ht="15.75" hidden="1" thickBot="1">
      <c r="B330" s="685">
        <v>713</v>
      </c>
      <c r="C330" s="717">
        <v>0.007</v>
      </c>
      <c r="D330" s="692" t="s">
        <v>20</v>
      </c>
      <c r="E330" s="713">
        <f>E324*0.007</f>
        <v>1360.2178626969685</v>
      </c>
      <c r="F330" s="688"/>
      <c r="G330" s="713">
        <f>G324*0.007</f>
        <v>1292.6817134682633</v>
      </c>
      <c r="H330" s="688"/>
      <c r="I330" s="713">
        <f>I324*0.007</f>
        <v>1125.6024871450934</v>
      </c>
      <c r="J330" s="688"/>
      <c r="K330" s="713">
        <f>K324*0.007</f>
        <v>1072.0023687096125</v>
      </c>
      <c r="L330" s="688"/>
      <c r="M330" s="713">
        <f>M324*0.007</f>
        <v>972.4592916151486</v>
      </c>
      <c r="N330" s="688"/>
      <c r="O330" s="713">
        <f>O324*0.007</f>
        <v>826.9732558617013</v>
      </c>
      <c r="P330" s="688"/>
      <c r="Q330" s="713">
        <f>Q324*0.007</f>
        <v>765.7159776497234</v>
      </c>
      <c r="R330" s="688"/>
    </row>
    <row r="331" spans="2:18" ht="15.75" hidden="1" thickBot="1">
      <c r="B331" s="685">
        <v>787</v>
      </c>
      <c r="C331" s="715">
        <v>0.01</v>
      </c>
      <c r="D331" s="692" t="s">
        <v>387</v>
      </c>
      <c r="E331" s="713">
        <f>E324*0.01</f>
        <v>1943.1683752813838</v>
      </c>
      <c r="F331" s="688"/>
      <c r="G331" s="713">
        <f>G324*0.01</f>
        <v>1846.688162097519</v>
      </c>
      <c r="H331" s="688"/>
      <c r="I331" s="713">
        <f>I324*0.01</f>
        <v>1608.003553064419</v>
      </c>
      <c r="J331" s="688"/>
      <c r="K331" s="713">
        <f>K324*0.01</f>
        <v>1531.4319552994464</v>
      </c>
      <c r="L331" s="688"/>
      <c r="M331" s="713">
        <f>M324*0.01</f>
        <v>1389.2275594502123</v>
      </c>
      <c r="N331" s="688"/>
      <c r="O331" s="713">
        <f>O324*0.01</f>
        <v>1181.3903655167162</v>
      </c>
      <c r="P331" s="688"/>
      <c r="Q331" s="713">
        <f>Q324*0.01</f>
        <v>1093.8799680710333</v>
      </c>
      <c r="R331" s="688"/>
    </row>
    <row r="332" spans="2:18" ht="16.5" hidden="1" thickBot="1">
      <c r="B332" s="685"/>
      <c r="C332" s="740"/>
      <c r="D332" s="719" t="s">
        <v>481</v>
      </c>
      <c r="E332" s="708">
        <f>SUM(E327:E331)</f>
        <v>9910.158713935058</v>
      </c>
      <c r="F332" s="710"/>
      <c r="G332" s="708">
        <f>SUM(G327:G331)</f>
        <v>9418.109626697345</v>
      </c>
      <c r="H332" s="710"/>
      <c r="I332" s="708">
        <f>SUM(I327:I331)</f>
        <v>8200.818120628537</v>
      </c>
      <c r="J332" s="710"/>
      <c r="K332" s="708">
        <f>SUM(K327:K331)</f>
        <v>7810.302972027177</v>
      </c>
      <c r="L332" s="710"/>
      <c r="M332" s="708">
        <f>SUM(M327:M331)</f>
        <v>7085.060553196083</v>
      </c>
      <c r="N332" s="710"/>
      <c r="O332" s="708">
        <f>SUM(O327:O331)</f>
        <v>6025.090864135252</v>
      </c>
      <c r="P332" s="710"/>
      <c r="Q332" s="708">
        <f>SUM(Q327:Q331)</f>
        <v>5578.78783716227</v>
      </c>
      <c r="R332" s="710"/>
    </row>
    <row r="333" spans="2:18" ht="16.5" hidden="1" thickBot="1">
      <c r="B333" s="685"/>
      <c r="C333" s="685"/>
      <c r="D333" s="692"/>
      <c r="E333" s="721"/>
      <c r="F333" s="688"/>
      <c r="G333" s="721"/>
      <c r="H333" s="688"/>
      <c r="I333" s="721"/>
      <c r="J333" s="688"/>
      <c r="K333" s="721"/>
      <c r="L333" s="688"/>
      <c r="M333" s="721"/>
      <c r="N333" s="688"/>
      <c r="O333" s="721"/>
      <c r="P333" s="688"/>
      <c r="Q333" s="721"/>
      <c r="R333" s="688"/>
    </row>
    <row r="334" spans="2:18" ht="21" hidden="1" thickBot="1">
      <c r="B334" s="685"/>
      <c r="C334" s="685"/>
      <c r="D334" s="723" t="s">
        <v>23</v>
      </c>
      <c r="E334" s="749">
        <f>E324-E332</f>
        <v>184406.6788142033</v>
      </c>
      <c r="F334" s="724"/>
      <c r="G334" s="749">
        <f>G324-G332</f>
        <v>175250.70658305453</v>
      </c>
      <c r="H334" s="724"/>
      <c r="I334" s="749">
        <f>I324-I332</f>
        <v>152599.53718581336</v>
      </c>
      <c r="J334" s="724"/>
      <c r="K334" s="749">
        <f>K324-K332</f>
        <v>145332.89255791745</v>
      </c>
      <c r="L334" s="724"/>
      <c r="M334" s="749">
        <f>M324-M332</f>
        <v>131837.69539182514</v>
      </c>
      <c r="N334" s="724"/>
      <c r="O334" s="749">
        <f>O324-O332</f>
        <v>112113.94568753635</v>
      </c>
      <c r="P334" s="724"/>
      <c r="Q334" s="749">
        <f>Q324-Q332</f>
        <v>103809.20896994107</v>
      </c>
      <c r="R334" s="724"/>
    </row>
    <row r="335" spans="2:20" ht="15.75" hidden="1">
      <c r="B335" s="413"/>
      <c r="C335" s="340"/>
      <c r="D335" s="543"/>
      <c r="E335" s="566"/>
      <c r="F335" s="566"/>
      <c r="G335" s="566"/>
      <c r="H335" s="566"/>
      <c r="I335" s="566"/>
      <c r="J335" s="566"/>
      <c r="K335" s="566"/>
      <c r="L335" s="566"/>
      <c r="M335" s="566"/>
      <c r="N335" s="618"/>
      <c r="O335" s="566"/>
      <c r="P335" s="618"/>
      <c r="Q335" s="566"/>
      <c r="R335" s="618"/>
      <c r="S335" s="566"/>
      <c r="T335" s="618"/>
    </row>
    <row r="336" spans="2:20" ht="15" hidden="1">
      <c r="B336" s="413"/>
      <c r="C336" s="413"/>
      <c r="D336" s="551"/>
      <c r="E336" s="565"/>
      <c r="F336" s="565"/>
      <c r="G336" s="565"/>
      <c r="H336" s="565"/>
      <c r="I336" s="565"/>
      <c r="J336" s="565"/>
      <c r="K336" s="565"/>
      <c r="L336" s="565"/>
      <c r="M336" s="565"/>
      <c r="N336" s="634"/>
      <c r="O336" s="565"/>
      <c r="P336" s="634"/>
      <c r="Q336" s="565"/>
      <c r="R336" s="634"/>
      <c r="S336" s="565"/>
      <c r="T336" s="634"/>
    </row>
    <row r="337" spans="1:20" ht="15.75" thickBot="1">
      <c r="A337" s="468"/>
      <c r="B337" s="469"/>
      <c r="C337" s="469"/>
      <c r="D337" s="544"/>
      <c r="E337" s="567"/>
      <c r="F337" s="567"/>
      <c r="G337" s="567"/>
      <c r="H337" s="567"/>
      <c r="I337" s="567"/>
      <c r="J337" s="567"/>
      <c r="K337" s="567"/>
      <c r="L337" s="567"/>
      <c r="M337" s="567"/>
      <c r="N337" s="562"/>
      <c r="O337" s="567"/>
      <c r="P337" s="562"/>
      <c r="Q337" s="567"/>
      <c r="R337" s="562"/>
      <c r="S337" s="567"/>
      <c r="T337" s="562"/>
    </row>
    <row r="338" spans="2:20" ht="18.75" customHeight="1" thickBot="1">
      <c r="B338" s="856" t="s">
        <v>26</v>
      </c>
      <c r="C338" s="432"/>
      <c r="D338" s="537"/>
      <c r="E338" s="562"/>
      <c r="F338" s="562"/>
      <c r="G338" s="562"/>
      <c r="H338" s="453">
        <v>0</v>
      </c>
      <c r="I338" s="822" t="s">
        <v>517</v>
      </c>
      <c r="J338" s="823" t="str">
        <f>numhorasmed&amp;" horas"</f>
        <v>36 horas</v>
      </c>
      <c r="K338" s="831">
        <f>porcantighorasmed</f>
        <v>1.2</v>
      </c>
      <c r="P338" s="562"/>
      <c r="Q338" s="562"/>
      <c r="R338" s="562"/>
      <c r="T338" s="562"/>
    </row>
    <row r="339" spans="2:20" ht="18.75" customHeight="1">
      <c r="B339" s="443"/>
      <c r="C339" s="432"/>
      <c r="D339" s="537"/>
      <c r="E339" s="562"/>
      <c r="F339" s="562"/>
      <c r="G339" s="562"/>
      <c r="H339" s="847">
        <v>44927</v>
      </c>
      <c r="I339" s="848">
        <f>Q349</f>
        <v>245813.8946517875</v>
      </c>
      <c r="J339" s="830"/>
      <c r="K339" s="849"/>
      <c r="T339" s="562"/>
    </row>
    <row r="340" spans="2:20" ht="18.75" customHeight="1">
      <c r="B340" s="443"/>
      <c r="C340" s="432"/>
      <c r="D340" s="537"/>
      <c r="E340" s="562"/>
      <c r="F340" s="562"/>
      <c r="G340" s="562"/>
      <c r="H340" s="850">
        <v>44958</v>
      </c>
      <c r="I340" s="851">
        <f>O349</f>
        <v>265479.0062239305</v>
      </c>
      <c r="J340" s="852">
        <f aca="true" t="shared" si="42" ref="J340:J345">I340-$I$339</f>
        <v>19665.11157214301</v>
      </c>
      <c r="K340" s="931">
        <f aca="true" t="shared" si="43" ref="K340:K345">J340/I$339</f>
        <v>0.08000000000000004</v>
      </c>
      <c r="T340" s="562"/>
    </row>
    <row r="341" spans="2:20" ht="18.75" customHeight="1" thickBot="1">
      <c r="B341" s="340"/>
      <c r="C341" s="340"/>
      <c r="D341" s="511"/>
      <c r="E341" s="379"/>
      <c r="F341" s="379"/>
      <c r="G341" s="379"/>
      <c r="H341" s="850">
        <v>44986</v>
      </c>
      <c r="I341" s="851">
        <f>M349</f>
        <v>312183.6462077701</v>
      </c>
      <c r="J341" s="852">
        <f t="shared" si="42"/>
        <v>66369.7515559826</v>
      </c>
      <c r="K341" s="931">
        <f t="shared" si="43"/>
        <v>0.2699999999999999</v>
      </c>
      <c r="T341" s="562"/>
    </row>
    <row r="342" spans="2:20" ht="18.75" customHeight="1" thickBot="1">
      <c r="B342" s="81" t="s">
        <v>25</v>
      </c>
      <c r="C342" s="404"/>
      <c r="D342" s="538">
        <v>36</v>
      </c>
      <c r="E342" s="563"/>
      <c r="F342" s="563"/>
      <c r="G342" s="563"/>
      <c r="H342" s="850">
        <v>45047</v>
      </c>
      <c r="I342" s="851">
        <f>K349</f>
        <v>344139.45251250244</v>
      </c>
      <c r="J342" s="852">
        <f t="shared" si="42"/>
        <v>98325.55786071494</v>
      </c>
      <c r="K342" s="931">
        <f t="shared" si="43"/>
        <v>0.39999999999999974</v>
      </c>
      <c r="T342" s="630"/>
    </row>
    <row r="343" spans="2:20" ht="18.75" customHeight="1" thickBot="1">
      <c r="B343" s="81" t="s">
        <v>9</v>
      </c>
      <c r="C343" s="404"/>
      <c r="D343" s="545">
        <v>1.2</v>
      </c>
      <c r="E343" s="568"/>
      <c r="F343" s="568"/>
      <c r="G343" s="568"/>
      <c r="H343" s="850">
        <v>45078</v>
      </c>
      <c r="I343" s="851">
        <f>I349</f>
        <v>361346.4251381276</v>
      </c>
      <c r="J343" s="852">
        <f t="shared" si="42"/>
        <v>115532.53048634008</v>
      </c>
      <c r="K343" s="931">
        <f t="shared" si="43"/>
        <v>0.4699999999999998</v>
      </c>
      <c r="T343" s="635"/>
    </row>
    <row r="344" spans="2:20" ht="18.75" customHeight="1" thickBot="1">
      <c r="B344" s="259" t="s">
        <v>361</v>
      </c>
      <c r="C344" s="426"/>
      <c r="D344" s="540">
        <v>0.82</v>
      </c>
      <c r="E344" s="564"/>
      <c r="F344" s="564"/>
      <c r="G344" s="564"/>
      <c r="H344" s="850">
        <v>45108</v>
      </c>
      <c r="I344" s="851">
        <f>G349</f>
        <v>414983.0169511476</v>
      </c>
      <c r="J344" s="852">
        <f t="shared" si="42"/>
        <v>169169.12229936008</v>
      </c>
      <c r="K344" s="931">
        <f t="shared" si="43"/>
        <v>0.6881999999999997</v>
      </c>
      <c r="L344" s="564"/>
      <c r="M344" s="564"/>
      <c r="N344" s="632"/>
      <c r="O344" s="564"/>
      <c r="P344" s="632"/>
      <c r="Q344" s="564"/>
      <c r="R344" s="632"/>
      <c r="S344" s="564"/>
      <c r="T344" s="632"/>
    </row>
    <row r="345" spans="2:20" ht="15.75">
      <c r="B345" s="649" t="s">
        <v>495</v>
      </c>
      <c r="C345" s="448"/>
      <c r="D345" s="645">
        <v>1</v>
      </c>
      <c r="E345" s="645"/>
      <c r="F345" s="645"/>
      <c r="G345" s="645"/>
      <c r="H345" s="850">
        <v>45139</v>
      </c>
      <c r="I345" s="851">
        <f>E349</f>
        <v>436663.80245943536</v>
      </c>
      <c r="J345" s="852">
        <f t="shared" si="42"/>
        <v>190849.90780764786</v>
      </c>
      <c r="K345" s="931">
        <f t="shared" si="43"/>
        <v>0.7764000000000002</v>
      </c>
      <c r="L345" s="645"/>
      <c r="M345" s="579" t="s">
        <v>496</v>
      </c>
      <c r="N345" s="669"/>
      <c r="O345" s="579" t="s">
        <v>496</v>
      </c>
      <c r="P345" s="669"/>
      <c r="Q345" s="579" t="s">
        <v>496</v>
      </c>
      <c r="R345" s="669"/>
      <c r="S345" s="579"/>
      <c r="T345" s="669"/>
    </row>
    <row r="346" spans="2:20" ht="16.5" thickBot="1">
      <c r="B346" s="649"/>
      <c r="C346" s="448"/>
      <c r="D346" s="645"/>
      <c r="E346" s="645"/>
      <c r="F346" s="645"/>
      <c r="G346" s="645"/>
      <c r="H346" s="645"/>
      <c r="I346" s="645"/>
      <c r="J346" s="645"/>
      <c r="K346" s="645"/>
      <c r="L346" s="645"/>
      <c r="M346" s="579"/>
      <c r="N346" s="669"/>
      <c r="O346" s="579"/>
      <c r="P346" s="669"/>
      <c r="Q346" s="579"/>
      <c r="R346" s="669"/>
      <c r="S346" s="95"/>
      <c r="T346" s="669"/>
    </row>
    <row r="347" spans="2:20" ht="24" thickTop="1">
      <c r="B347" s="649"/>
      <c r="C347" s="448"/>
      <c r="D347" s="645"/>
      <c r="E347" s="934" t="s">
        <v>536</v>
      </c>
      <c r="F347" s="935"/>
      <c r="G347" s="938">
        <f>I349-K349+I390-K390</f>
        <v>25810.458938437718</v>
      </c>
      <c r="H347" s="928" t="s">
        <v>535</v>
      </c>
      <c r="J347" s="645"/>
      <c r="K347" s="645"/>
      <c r="L347" s="645"/>
      <c r="M347" s="894"/>
      <c r="N347" s="669"/>
      <c r="O347" s="894"/>
      <c r="P347" s="669"/>
      <c r="Q347" s="894"/>
      <c r="R347" s="669"/>
      <c r="S347" s="95"/>
      <c r="T347" s="669"/>
    </row>
    <row r="348" spans="2:20" ht="27" thickBot="1">
      <c r="B348" s="649"/>
      <c r="C348" s="448"/>
      <c r="D348" s="645"/>
      <c r="E348" s="936" t="s">
        <v>534</v>
      </c>
      <c r="F348" s="937"/>
      <c r="G348" s="939">
        <f>G349+G347</f>
        <v>440793.47588958533</v>
      </c>
      <c r="H348" s="957">
        <f>G348/K349-1</f>
        <v>0.28085714285714314</v>
      </c>
      <c r="I348" s="958" t="s">
        <v>539</v>
      </c>
      <c r="J348" s="645"/>
      <c r="K348" s="645"/>
      <c r="L348" s="645"/>
      <c r="M348" s="895"/>
      <c r="N348" s="669"/>
      <c r="O348" s="895"/>
      <c r="P348" s="669"/>
      <c r="Q348" s="895"/>
      <c r="R348" s="669"/>
      <c r="S348" s="95"/>
      <c r="T348" s="669"/>
    </row>
    <row r="349" spans="2:18" ht="24.75" thickBot="1" thickTop="1">
      <c r="B349" s="413"/>
      <c r="C349" s="465"/>
      <c r="D349" s="553" t="str">
        <f>D392</f>
        <v>Líquido</v>
      </c>
      <c r="E349" s="889">
        <f>E392</f>
        <v>436663.80245943536</v>
      </c>
      <c r="F349" s="890"/>
      <c r="G349" s="889">
        <f>G392</f>
        <v>414983.0169511476</v>
      </c>
      <c r="H349" s="890"/>
      <c r="I349" s="889">
        <f>I392</f>
        <v>361346.4251381276</v>
      </c>
      <c r="J349" s="890"/>
      <c r="K349" s="889">
        <f>K392</f>
        <v>344139.45251250244</v>
      </c>
      <c r="L349" s="890"/>
      <c r="M349" s="889">
        <f>M392</f>
        <v>312183.6462077701</v>
      </c>
      <c r="N349" s="890"/>
      <c r="O349" s="889">
        <f>O392</f>
        <v>265479.0062239305</v>
      </c>
      <c r="P349" s="890"/>
      <c r="Q349" s="889">
        <f>Q392</f>
        <v>245813.8946517875</v>
      </c>
      <c r="R349" s="890"/>
    </row>
    <row r="350" spans="2:18" ht="17.25" thickBot="1" thickTop="1">
      <c r="B350" s="444" t="str">
        <f>B393</f>
        <v>Puntos básicos</v>
      </c>
      <c r="C350" s="445"/>
      <c r="D350" s="546">
        <f>D393</f>
        <v>3128.4</v>
      </c>
      <c r="E350" s="7"/>
      <c r="F350" s="627"/>
      <c r="G350" s="7"/>
      <c r="H350" s="627"/>
      <c r="I350" s="7"/>
      <c r="J350" s="627"/>
      <c r="K350" s="7"/>
      <c r="L350" s="627"/>
      <c r="M350" s="7"/>
      <c r="N350" s="627"/>
      <c r="O350" s="7"/>
      <c r="P350" s="627"/>
      <c r="Q350" s="7"/>
      <c r="R350" s="627"/>
    </row>
    <row r="351" spans="2:18" ht="15">
      <c r="B351" s="340"/>
      <c r="C351" s="464"/>
      <c r="D351" s="644"/>
      <c r="E351" s="379"/>
      <c r="F351" s="673"/>
      <c r="G351" s="379"/>
      <c r="H351" s="673"/>
      <c r="I351" s="379"/>
      <c r="J351" s="673"/>
      <c r="K351" s="379"/>
      <c r="L351" s="673"/>
      <c r="M351" s="379"/>
      <c r="N351" s="673"/>
      <c r="O351" s="379"/>
      <c r="P351" s="673"/>
      <c r="Q351" s="379"/>
      <c r="R351" s="673"/>
    </row>
    <row r="352" spans="4:18" ht="20.25">
      <c r="D352" s="551"/>
      <c r="E352" s="946">
        <v>45139</v>
      </c>
      <c r="F352" s="947">
        <f>aumento6-1</f>
        <v>0.7764</v>
      </c>
      <c r="G352" s="948">
        <v>45108</v>
      </c>
      <c r="H352" s="949">
        <f>aumento5-1</f>
        <v>0.6881999999999999</v>
      </c>
      <c r="I352" s="950" t="str">
        <f>"JUN 23 "&amp;((Aumento4-1)*100)&amp;"%"</f>
        <v>JUN 23 47%</v>
      </c>
      <c r="J352" s="618"/>
      <c r="K352" s="925" t="str">
        <f>"MAY 23 "&amp;((Aumento3-1)*100)&amp;"%"</f>
        <v>MAY 23 40%</v>
      </c>
      <c r="L352" s="618"/>
      <c r="M352" s="925" t="str">
        <f>"MAR 23 "&amp;((Aumento2-1)*100)&amp;"%"</f>
        <v>MAR 23 27%</v>
      </c>
      <c r="N352" s="659"/>
      <c r="O352" s="926" t="str">
        <f>"FEB 23 "&amp;((aumento1-1)*100)&amp;"%"</f>
        <v>FEB 23 8,00000000000001%</v>
      </c>
      <c r="P352" s="659"/>
      <c r="Q352" s="636">
        <v>44927</v>
      </c>
      <c r="R352" s="659"/>
    </row>
    <row r="353" spans="5:18" ht="13.5" thickBot="1">
      <c r="E353" s="2">
        <f>E396</f>
        <v>0</v>
      </c>
      <c r="F353" s="337"/>
      <c r="G353" s="2">
        <f aca="true" t="shared" si="44" ref="G353:G358">G396</f>
        <v>0</v>
      </c>
      <c r="H353" s="337"/>
      <c r="I353" s="2">
        <f aca="true" t="shared" si="45" ref="I353:K358">I396</f>
        <v>0</v>
      </c>
      <c r="J353" s="337"/>
      <c r="K353" s="2">
        <f t="shared" si="45"/>
        <v>0</v>
      </c>
      <c r="L353" s="337"/>
      <c r="M353" s="2">
        <f aca="true" t="shared" si="46" ref="M353:M358">M396</f>
        <v>0</v>
      </c>
      <c r="N353" s="337"/>
      <c r="O353" s="2">
        <f aca="true" t="shared" si="47" ref="O353:Q358">O396</f>
        <v>0</v>
      </c>
      <c r="P353" s="337"/>
      <c r="Q353" s="2">
        <f t="shared" si="47"/>
        <v>0</v>
      </c>
      <c r="R353" s="337"/>
    </row>
    <row r="354" spans="2:18" ht="15">
      <c r="B354" s="405">
        <f aca="true" t="shared" si="48" ref="B354:B366">B397</f>
        <v>402</v>
      </c>
      <c r="C354" s="433">
        <f aca="true" t="shared" si="49" ref="C354:E359">C397</f>
        <v>0</v>
      </c>
      <c r="D354" s="515" t="str">
        <f t="shared" si="49"/>
        <v>Sueldo básico</v>
      </c>
      <c r="E354" s="569">
        <f t="shared" si="49"/>
        <v>175602.22054379134</v>
      </c>
      <c r="F354" s="660"/>
      <c r="G354" s="569">
        <f t="shared" si="44"/>
        <v>166883.39828981564</v>
      </c>
      <c r="H354" s="660"/>
      <c r="I354" s="569">
        <f t="shared" si="45"/>
        <v>145313.70423292796</v>
      </c>
      <c r="J354" s="660"/>
      <c r="K354" s="569">
        <f t="shared" si="45"/>
        <v>138394.00403135997</v>
      </c>
      <c r="L354" s="660"/>
      <c r="M354" s="569">
        <f t="shared" si="46"/>
        <v>125543.13222844798</v>
      </c>
      <c r="N354" s="660"/>
      <c r="O354" s="569">
        <f t="shared" si="47"/>
        <v>106761.08882419199</v>
      </c>
      <c r="P354" s="660"/>
      <c r="Q354" s="569">
        <f t="shared" si="47"/>
        <v>98852.86002239998</v>
      </c>
      <c r="R354" s="660"/>
    </row>
    <row r="355" spans="2:18" ht="15">
      <c r="B355" s="408">
        <f t="shared" si="48"/>
        <v>406</v>
      </c>
      <c r="C355" s="434">
        <f t="shared" si="49"/>
        <v>0</v>
      </c>
      <c r="D355" s="516" t="str">
        <f t="shared" si="49"/>
        <v>Antigüedad</v>
      </c>
      <c r="E355" s="570">
        <f t="shared" si="49"/>
        <v>210722.6646525496</v>
      </c>
      <c r="F355" s="661"/>
      <c r="G355" s="570">
        <f t="shared" si="44"/>
        <v>200260.07794777877</v>
      </c>
      <c r="H355" s="661"/>
      <c r="I355" s="570">
        <f t="shared" si="45"/>
        <v>174376.44507951356</v>
      </c>
      <c r="J355" s="661"/>
      <c r="K355" s="570">
        <f t="shared" si="45"/>
        <v>166072.80483763196</v>
      </c>
      <c r="L355" s="661"/>
      <c r="M355" s="570">
        <f t="shared" si="46"/>
        <v>150651.75867413759</v>
      </c>
      <c r="N355" s="661"/>
      <c r="O355" s="570">
        <f t="shared" si="47"/>
        <v>128113.30658903038</v>
      </c>
      <c r="P355" s="661"/>
      <c r="Q355" s="570">
        <f t="shared" si="47"/>
        <v>118623.43202687998</v>
      </c>
      <c r="R355" s="661"/>
    </row>
    <row r="356" spans="2:18" ht="15">
      <c r="B356" s="408">
        <f t="shared" si="48"/>
        <v>432</v>
      </c>
      <c r="C356" s="434">
        <f t="shared" si="49"/>
        <v>0</v>
      </c>
      <c r="D356" s="516" t="str">
        <f t="shared" si="49"/>
        <v>Dto. 1109/05(cod06act)</v>
      </c>
      <c r="E356" s="570">
        <f t="shared" si="49"/>
        <v>15330.7832056</v>
      </c>
      <c r="F356" s="661"/>
      <c r="G356" s="570">
        <f t="shared" si="44"/>
        <v>14569.5948028</v>
      </c>
      <c r="H356" s="661"/>
      <c r="I356" s="570">
        <f t="shared" si="45"/>
        <v>12686.473380000001</v>
      </c>
      <c r="J356" s="661"/>
      <c r="K356" s="570">
        <f t="shared" si="45"/>
        <v>12082.3556</v>
      </c>
      <c r="L356" s="661"/>
      <c r="M356" s="570">
        <f t="shared" si="46"/>
        <v>10960.42258</v>
      </c>
      <c r="N356" s="661"/>
      <c r="O356" s="570">
        <f t="shared" si="47"/>
        <v>9320.674320000002</v>
      </c>
      <c r="P356" s="661"/>
      <c r="Q356" s="570">
        <f t="shared" si="47"/>
        <v>8630.254</v>
      </c>
      <c r="R356" s="661"/>
    </row>
    <row r="357" spans="2:18" ht="15">
      <c r="B357" s="408">
        <f t="shared" si="48"/>
        <v>434</v>
      </c>
      <c r="C357" s="434">
        <f t="shared" si="49"/>
        <v>0</v>
      </c>
      <c r="D357" s="516" t="str">
        <f t="shared" si="49"/>
        <v>Traslado cod 188</v>
      </c>
      <c r="E357" s="570">
        <f t="shared" si="49"/>
        <v>27321.530811249664</v>
      </c>
      <c r="F357" s="661"/>
      <c r="G357" s="570">
        <f t="shared" si="44"/>
        <v>25964.99004478252</v>
      </c>
      <c r="H357" s="661"/>
      <c r="I357" s="570">
        <f t="shared" si="45"/>
        <v>22609.01277445226</v>
      </c>
      <c r="J357" s="661"/>
      <c r="K357" s="570">
        <f t="shared" si="45"/>
        <v>21532.393118525964</v>
      </c>
      <c r="L357" s="661"/>
      <c r="M357" s="570">
        <f t="shared" si="46"/>
        <v>19532.956614662842</v>
      </c>
      <c r="N357" s="661"/>
      <c r="O357" s="570">
        <f t="shared" si="47"/>
        <v>16610.703262862888</v>
      </c>
      <c r="P357" s="661"/>
      <c r="Q357" s="570">
        <f t="shared" si="47"/>
        <v>15380.280798947118</v>
      </c>
      <c r="R357" s="661"/>
    </row>
    <row r="358" spans="2:18" ht="15">
      <c r="B358" s="408">
        <f t="shared" si="48"/>
        <v>437</v>
      </c>
      <c r="C358" s="435">
        <f t="shared" si="49"/>
        <v>0</v>
      </c>
      <c r="D358" s="520" t="str">
        <f t="shared" si="49"/>
        <v>DTO. N1462/18 DOCENT</v>
      </c>
      <c r="E358" s="594">
        <f t="shared" si="49"/>
        <v>9194.418985272</v>
      </c>
      <c r="F358" s="617"/>
      <c r="G358" s="594">
        <f t="shared" si="44"/>
        <v>8737.907076636</v>
      </c>
      <c r="H358" s="617"/>
      <c r="I358" s="594">
        <f t="shared" si="45"/>
        <v>7608.5318105999995</v>
      </c>
      <c r="J358" s="617"/>
      <c r="K358" s="594">
        <f t="shared" si="45"/>
        <v>7246.220772</v>
      </c>
      <c r="L358" s="617"/>
      <c r="M358" s="594">
        <f t="shared" si="46"/>
        <v>6573.3574146</v>
      </c>
      <c r="N358" s="617"/>
      <c r="O358" s="594">
        <f t="shared" si="47"/>
        <v>5589.9417384</v>
      </c>
      <c r="P358" s="617"/>
      <c r="Q358" s="594">
        <f t="shared" si="47"/>
        <v>5175.87198</v>
      </c>
      <c r="R358" s="617"/>
    </row>
    <row r="359" spans="2:18" ht="15.75">
      <c r="B359" s="408">
        <f t="shared" si="48"/>
        <v>0</v>
      </c>
      <c r="C359" s="435">
        <f t="shared" si="49"/>
        <v>0</v>
      </c>
      <c r="D359" s="521" t="str">
        <f t="shared" si="49"/>
        <v>Otros</v>
      </c>
      <c r="E359" s="573">
        <v>0</v>
      </c>
      <c r="F359" s="668"/>
      <c r="G359" s="573">
        <v>0</v>
      </c>
      <c r="H359" s="668"/>
      <c r="I359" s="573">
        <v>0</v>
      </c>
      <c r="J359" s="668"/>
      <c r="K359" s="573">
        <v>0</v>
      </c>
      <c r="L359" s="668"/>
      <c r="M359" s="573">
        <v>0</v>
      </c>
      <c r="N359" s="668"/>
      <c r="O359" s="573">
        <v>0</v>
      </c>
      <c r="P359" s="668"/>
      <c r="Q359" s="573">
        <v>0</v>
      </c>
      <c r="R359" s="668"/>
    </row>
    <row r="360" spans="2:18" ht="20.25">
      <c r="B360" s="647">
        <f t="shared" si="48"/>
        <v>1584</v>
      </c>
      <c r="C360" s="656">
        <v>15</v>
      </c>
      <c r="D360" s="648" t="str">
        <f aca="true" t="shared" si="50" ref="D360:E368">D403</f>
        <v>Adic Dec 173/21 (cod 38 activos)</v>
      </c>
      <c r="E360" s="491">
        <f t="shared" si="50"/>
        <v>21958.83750168</v>
      </c>
      <c r="F360" s="671"/>
      <c r="G360" s="491">
        <f aca="true" t="shared" si="51" ref="G360:G366">G403</f>
        <v>20868.55971084</v>
      </c>
      <c r="H360" s="671"/>
      <c r="I360" s="491">
        <f aca="true" t="shared" si="52" ref="I360:K366">I403</f>
        <v>18171.296513999998</v>
      </c>
      <c r="J360" s="671"/>
      <c r="K360" s="491">
        <f t="shared" si="52"/>
        <v>17305.99668</v>
      </c>
      <c r="L360" s="671"/>
      <c r="M360" s="491">
        <f aca="true" t="shared" si="53" ref="M360:M366">M403</f>
        <v>15699.011274</v>
      </c>
      <c r="N360" s="671"/>
      <c r="O360" s="491">
        <f aca="true" t="shared" si="54" ref="O360:Q366">O403</f>
        <v>13350.340296</v>
      </c>
      <c r="P360" s="671"/>
      <c r="Q360" s="491">
        <f t="shared" si="54"/>
        <v>12361.4262</v>
      </c>
      <c r="R360" s="671"/>
    </row>
    <row r="361" spans="2:18" ht="18">
      <c r="B361" s="406">
        <f t="shared" si="48"/>
        <v>0</v>
      </c>
      <c r="C361" s="16">
        <f>C404</f>
        <v>0</v>
      </c>
      <c r="D361" s="602" t="str">
        <f t="shared" si="50"/>
        <v>Haberes</v>
      </c>
      <c r="E361" s="599">
        <f t="shared" si="50"/>
        <v>460130.45570014266</v>
      </c>
      <c r="F361" s="674"/>
      <c r="G361" s="599">
        <f t="shared" si="51"/>
        <v>437284.52787265286</v>
      </c>
      <c r="H361" s="674"/>
      <c r="I361" s="599">
        <f t="shared" si="52"/>
        <v>380765.4637914938</v>
      </c>
      <c r="J361" s="674"/>
      <c r="K361" s="599">
        <f t="shared" si="52"/>
        <v>362633.77503951784</v>
      </c>
      <c r="L361" s="674"/>
      <c r="M361" s="599">
        <f t="shared" si="53"/>
        <v>328960.6387858484</v>
      </c>
      <c r="N361" s="674"/>
      <c r="O361" s="599">
        <f t="shared" si="54"/>
        <v>279746.05503048527</v>
      </c>
      <c r="P361" s="674"/>
      <c r="Q361" s="599">
        <f t="shared" si="54"/>
        <v>259024.12502822708</v>
      </c>
      <c r="R361" s="674"/>
    </row>
    <row r="362" spans="2:18" ht="15">
      <c r="B362" s="408">
        <f t="shared" si="48"/>
        <v>703</v>
      </c>
      <c r="C362" s="436">
        <f>C405</f>
        <v>0.0025</v>
      </c>
      <c r="D362" s="523" t="str">
        <f t="shared" si="50"/>
        <v>Federació de  jubil</v>
      </c>
      <c r="E362" s="575">
        <f t="shared" si="50"/>
        <v>1150.3261392503566</v>
      </c>
      <c r="F362" s="675"/>
      <c r="G362" s="575">
        <f t="shared" si="51"/>
        <v>1093.2113196816322</v>
      </c>
      <c r="H362" s="675"/>
      <c r="I362" s="575">
        <f t="shared" si="52"/>
        <v>951.9136594787345</v>
      </c>
      <c r="J362" s="675"/>
      <c r="K362" s="575">
        <f t="shared" si="52"/>
        <v>906.5844375987946</v>
      </c>
      <c r="L362" s="675"/>
      <c r="M362" s="575">
        <f t="shared" si="53"/>
        <v>822.401596964621</v>
      </c>
      <c r="N362" s="675"/>
      <c r="O362" s="575">
        <f t="shared" si="54"/>
        <v>699.3651375762132</v>
      </c>
      <c r="P362" s="675"/>
      <c r="Q362" s="575">
        <f t="shared" si="54"/>
        <v>647.5603125705677</v>
      </c>
      <c r="R362" s="675"/>
    </row>
    <row r="363" spans="2:18" ht="15">
      <c r="B363" s="409">
        <f t="shared" si="48"/>
        <v>707</v>
      </c>
      <c r="C363" s="437">
        <f>C406</f>
        <v>0.03</v>
      </c>
      <c r="D363" s="516" t="str">
        <f t="shared" si="50"/>
        <v>Aporte IOSPER</v>
      </c>
      <c r="E363" s="576">
        <f t="shared" si="50"/>
        <v>13803.913671004279</v>
      </c>
      <c r="F363" s="661"/>
      <c r="G363" s="576">
        <f t="shared" si="51"/>
        <v>13118.535836179586</v>
      </c>
      <c r="H363" s="661"/>
      <c r="I363" s="576">
        <f t="shared" si="52"/>
        <v>11422.963913744814</v>
      </c>
      <c r="J363" s="661"/>
      <c r="K363" s="576">
        <f t="shared" si="52"/>
        <v>10879.013251185535</v>
      </c>
      <c r="L363" s="661"/>
      <c r="M363" s="576">
        <f t="shared" si="53"/>
        <v>9868.819163575452</v>
      </c>
      <c r="N363" s="661"/>
      <c r="O363" s="576">
        <f t="shared" si="54"/>
        <v>8392.381650914558</v>
      </c>
      <c r="P363" s="661"/>
      <c r="Q363" s="576">
        <f t="shared" si="54"/>
        <v>7770.723750846812</v>
      </c>
      <c r="R363" s="661"/>
    </row>
    <row r="364" spans="2:18" ht="15.75">
      <c r="B364" s="409">
        <f t="shared" si="48"/>
        <v>709</v>
      </c>
      <c r="C364" s="438">
        <v>0.0015</v>
      </c>
      <c r="D364" s="516" t="str">
        <f t="shared" si="50"/>
        <v>Seguro ley 3011</v>
      </c>
      <c r="E364" s="576">
        <f t="shared" si="50"/>
        <v>690.195683550214</v>
      </c>
      <c r="F364" s="661"/>
      <c r="G364" s="576">
        <f t="shared" si="51"/>
        <v>655.9267918089793</v>
      </c>
      <c r="H364" s="661"/>
      <c r="I364" s="576">
        <f t="shared" si="52"/>
        <v>571.1481956872407</v>
      </c>
      <c r="J364" s="661"/>
      <c r="K364" s="576">
        <f t="shared" si="52"/>
        <v>543.9506625592768</v>
      </c>
      <c r="L364" s="661"/>
      <c r="M364" s="576">
        <f t="shared" si="53"/>
        <v>493.4409581787726</v>
      </c>
      <c r="N364" s="661"/>
      <c r="O364" s="576">
        <f t="shared" si="54"/>
        <v>419.6190825457279</v>
      </c>
      <c r="P364" s="661"/>
      <c r="Q364" s="576">
        <f t="shared" si="54"/>
        <v>388.5361875423406</v>
      </c>
      <c r="R364" s="661"/>
    </row>
    <row r="365" spans="2:18" ht="15">
      <c r="B365" s="409">
        <f t="shared" si="48"/>
        <v>713</v>
      </c>
      <c r="C365" s="439">
        <f>C408</f>
        <v>0.007</v>
      </c>
      <c r="D365" s="516" t="str">
        <f t="shared" si="50"/>
        <v>Serv Sepelio IAPS</v>
      </c>
      <c r="E365" s="576">
        <f t="shared" si="50"/>
        <v>3220.9131899009985</v>
      </c>
      <c r="F365" s="661"/>
      <c r="G365" s="576">
        <f t="shared" si="51"/>
        <v>3060.99169510857</v>
      </c>
      <c r="H365" s="661"/>
      <c r="I365" s="576">
        <f t="shared" si="52"/>
        <v>2665.3582465404565</v>
      </c>
      <c r="J365" s="661"/>
      <c r="K365" s="576">
        <f t="shared" si="52"/>
        <v>2538.436425276625</v>
      </c>
      <c r="L365" s="661"/>
      <c r="M365" s="576">
        <f t="shared" si="53"/>
        <v>2302.7244715009388</v>
      </c>
      <c r="N365" s="661"/>
      <c r="O365" s="576">
        <f t="shared" si="54"/>
        <v>1958.2223852133968</v>
      </c>
      <c r="P365" s="661"/>
      <c r="Q365" s="576">
        <f t="shared" si="54"/>
        <v>1813.1688751975896</v>
      </c>
      <c r="R365" s="661"/>
    </row>
    <row r="366" spans="2:18" ht="15">
      <c r="B366" s="409">
        <f t="shared" si="48"/>
        <v>787</v>
      </c>
      <c r="C366" s="437">
        <f>C409</f>
        <v>0.01</v>
      </c>
      <c r="D366" s="516" t="str">
        <f t="shared" si="50"/>
        <v>Desc AGMER 1 %</v>
      </c>
      <c r="E366" s="576">
        <f t="shared" si="50"/>
        <v>4601.3045570014265</v>
      </c>
      <c r="F366" s="661"/>
      <c r="G366" s="576">
        <f t="shared" si="51"/>
        <v>4372.845278726529</v>
      </c>
      <c r="H366" s="661"/>
      <c r="I366" s="576">
        <f t="shared" si="52"/>
        <v>3807.654637914938</v>
      </c>
      <c r="J366" s="661"/>
      <c r="K366" s="576">
        <f t="shared" si="52"/>
        <v>3626.3377503951783</v>
      </c>
      <c r="L366" s="661"/>
      <c r="M366" s="576">
        <f t="shared" si="53"/>
        <v>3289.606387858484</v>
      </c>
      <c r="N366" s="661"/>
      <c r="O366" s="576">
        <f t="shared" si="54"/>
        <v>2797.460550304853</v>
      </c>
      <c r="P366" s="661"/>
      <c r="Q366" s="576">
        <f t="shared" si="54"/>
        <v>2590.241250282271</v>
      </c>
      <c r="R366" s="661"/>
    </row>
    <row r="367" spans="2:18" ht="16.5" thickBot="1">
      <c r="B367" s="658"/>
      <c r="C367" s="780"/>
      <c r="D367" s="777" t="str">
        <f t="shared" si="50"/>
        <v>Otros descuentos</v>
      </c>
      <c r="E367" s="595">
        <v>0</v>
      </c>
      <c r="F367" s="668"/>
      <c r="G367" s="595">
        <v>0</v>
      </c>
      <c r="H367" s="668"/>
      <c r="I367" s="595">
        <v>0</v>
      </c>
      <c r="J367" s="668"/>
      <c r="K367" s="595">
        <v>0</v>
      </c>
      <c r="L367" s="668"/>
      <c r="M367" s="595">
        <v>0</v>
      </c>
      <c r="N367" s="668"/>
      <c r="O367" s="595">
        <v>0</v>
      </c>
      <c r="P367" s="668"/>
      <c r="Q367" s="595">
        <v>0</v>
      </c>
      <c r="R367" s="668"/>
    </row>
    <row r="368" spans="2:18" ht="16.5" thickBot="1">
      <c r="B368" s="379"/>
      <c r="C368" s="781"/>
      <c r="D368" s="778" t="str">
        <f t="shared" si="50"/>
        <v>Descuentos</v>
      </c>
      <c r="E368" s="596">
        <f>E411</f>
        <v>23466.653240707274</v>
      </c>
      <c r="F368" s="621"/>
      <c r="G368" s="596">
        <f>G411</f>
        <v>22301.510921505294</v>
      </c>
      <c r="H368" s="621"/>
      <c r="I368" s="596">
        <f>I411</f>
        <v>19419.038653366184</v>
      </c>
      <c r="J368" s="621"/>
      <c r="K368" s="596">
        <f>K411</f>
        <v>18494.32252701541</v>
      </c>
      <c r="L368" s="621"/>
      <c r="M368" s="596">
        <f>M411</f>
        <v>16776.99257807827</v>
      </c>
      <c r="N368" s="621"/>
      <c r="O368" s="596">
        <f>O411</f>
        <v>14267.048806554749</v>
      </c>
      <c r="P368" s="621"/>
      <c r="Q368" s="596">
        <f>Q411</f>
        <v>13210.23037643958</v>
      </c>
      <c r="R368" s="621"/>
    </row>
    <row r="369" spans="2:18" ht="16.5" thickBot="1">
      <c r="B369" s="95"/>
      <c r="C369" s="782"/>
      <c r="D369" s="799"/>
      <c r="E369" s="578"/>
      <c r="F369" s="592"/>
      <c r="G369" s="578"/>
      <c r="H369" s="592"/>
      <c r="I369" s="578"/>
      <c r="J369" s="592"/>
      <c r="K369" s="578"/>
      <c r="L369" s="592"/>
      <c r="M369" s="578"/>
      <c r="N369" s="592"/>
      <c r="O369" s="578"/>
      <c r="P369" s="592"/>
      <c r="Q369" s="578"/>
      <c r="R369" s="592"/>
    </row>
    <row r="370" spans="2:18" ht="24" thickBot="1">
      <c r="B370" s="454"/>
      <c r="C370" s="775"/>
      <c r="D370" s="779" t="str">
        <f>D413</f>
        <v>Líquido</v>
      </c>
      <c r="E370" s="913">
        <f>E413</f>
        <v>436663.80245943536</v>
      </c>
      <c r="F370" s="912"/>
      <c r="G370" s="913">
        <f>G413</f>
        <v>414983.0169511476</v>
      </c>
      <c r="H370" s="912"/>
      <c r="I370" s="913">
        <f>I413</f>
        <v>361346.4251381276</v>
      </c>
      <c r="J370" s="912"/>
      <c r="K370" s="913">
        <f>K413</f>
        <v>344139.45251250244</v>
      </c>
      <c r="L370" s="912"/>
      <c r="M370" s="913">
        <f>M413</f>
        <v>312183.6462077701</v>
      </c>
      <c r="N370" s="912"/>
      <c r="O370" s="913">
        <f>O413</f>
        <v>265479.0062239305</v>
      </c>
      <c r="P370" s="912"/>
      <c r="Q370" s="913">
        <f>Q413</f>
        <v>245813.8946517875</v>
      </c>
      <c r="R370" s="776"/>
    </row>
    <row r="371" spans="2:18" ht="16.5" thickBot="1">
      <c r="B371" s="454"/>
      <c r="C371" s="454"/>
      <c r="D371" s="525"/>
      <c r="E371" s="559"/>
      <c r="F371" s="622"/>
      <c r="G371" s="559"/>
      <c r="H371" s="622"/>
      <c r="I371" s="559"/>
      <c r="J371" s="622"/>
      <c r="K371" s="559"/>
      <c r="L371" s="622"/>
      <c r="M371" s="559"/>
      <c r="N371" s="622"/>
      <c r="O371" s="559"/>
      <c r="P371" s="622"/>
      <c r="Q371" s="559"/>
      <c r="R371" s="622"/>
    </row>
    <row r="372" spans="2:18" ht="16.5" thickTop="1">
      <c r="B372" s="413"/>
      <c r="C372" s="413"/>
      <c r="D372" s="526" t="str">
        <f>D415</f>
        <v>Aumento mensual</v>
      </c>
      <c r="E372" s="580">
        <f>E415</f>
        <v>21680.78550828778</v>
      </c>
      <c r="F372" s="623"/>
      <c r="G372" s="580">
        <f>G415</f>
        <v>53636.59181302</v>
      </c>
      <c r="H372" s="623"/>
      <c r="I372" s="580">
        <f>I415</f>
        <v>17206.972625625145</v>
      </c>
      <c r="J372" s="623"/>
      <c r="K372" s="580">
        <f>K415</f>
        <v>31955.806304732338</v>
      </c>
      <c r="L372" s="623"/>
      <c r="M372" s="580">
        <f>M415</f>
        <v>46704.63998383959</v>
      </c>
      <c r="N372" s="623"/>
      <c r="O372" s="580">
        <f>O415</f>
        <v>19665.11157214301</v>
      </c>
      <c r="P372" s="623"/>
      <c r="Q372" s="580"/>
      <c r="R372" s="623"/>
    </row>
    <row r="373" spans="2:18" ht="16.5" thickBot="1">
      <c r="B373" s="413"/>
      <c r="C373" s="413"/>
      <c r="D373" s="527" t="str">
        <f>D416</f>
        <v>Aum porcentual</v>
      </c>
      <c r="E373" s="581">
        <f>E416</f>
        <v>0.0522449946688784</v>
      </c>
      <c r="F373" s="624"/>
      <c r="G373" s="581">
        <f>G416</f>
        <v>0.1484353741496598</v>
      </c>
      <c r="H373" s="624"/>
      <c r="I373" s="581">
        <f>I416</f>
        <v>0.050000000000000065</v>
      </c>
      <c r="J373" s="624"/>
      <c r="K373" s="581">
        <f>K416</f>
        <v>0.10236220472440934</v>
      </c>
      <c r="L373" s="624"/>
      <c r="M373" s="581">
        <f>M416</f>
        <v>0.1759259259259258</v>
      </c>
      <c r="N373" s="624"/>
      <c r="O373" s="581">
        <f>O416</f>
        <v>0.08000000000000004</v>
      </c>
      <c r="P373" s="624"/>
      <c r="Q373" s="581"/>
      <c r="R373" s="624"/>
    </row>
    <row r="374" spans="2:18" ht="16.5" thickBot="1" thickTop="1">
      <c r="B374" s="413"/>
      <c r="C374" s="413"/>
      <c r="D374" s="677"/>
      <c r="E374" s="650"/>
      <c r="F374" s="562"/>
      <c r="G374" s="650"/>
      <c r="H374" s="562"/>
      <c r="I374" s="650"/>
      <c r="J374" s="562"/>
      <c r="K374" s="650"/>
      <c r="L374" s="562"/>
      <c r="M374" s="650"/>
      <c r="N374" s="562"/>
      <c r="O374" s="650"/>
      <c r="P374" s="562"/>
      <c r="Q374" s="650"/>
      <c r="R374" s="562"/>
    </row>
    <row r="375" spans="2:18" ht="16.5" thickTop="1">
      <c r="B375" s="413"/>
      <c r="C375" s="413"/>
      <c r="D375" s="678" t="str">
        <f aca="true" t="shared" si="55" ref="D375:E377">D418</f>
        <v>Aumento a feb 21</v>
      </c>
      <c r="E375" s="679">
        <f t="shared" si="55"/>
        <v>190849.90780764786</v>
      </c>
      <c r="F375" s="623"/>
      <c r="G375" s="679">
        <f>G418</f>
        <v>169169.12229936008</v>
      </c>
      <c r="H375" s="623"/>
      <c r="I375" s="679">
        <f>I418</f>
        <v>115532.53048634008</v>
      </c>
      <c r="J375" s="623"/>
      <c r="K375" s="679">
        <f>K418</f>
        <v>98325.55786071494</v>
      </c>
      <c r="L375" s="623"/>
      <c r="M375" s="679">
        <f>M418</f>
        <v>66369.7515559826</v>
      </c>
      <c r="N375" s="623"/>
      <c r="O375" s="679">
        <f>O418</f>
        <v>19665.11157214301</v>
      </c>
      <c r="P375" s="623"/>
      <c r="Q375" s="679"/>
      <c r="R375" s="623"/>
    </row>
    <row r="376" spans="2:18" ht="16.5" thickBot="1">
      <c r="B376" s="465"/>
      <c r="C376" s="413"/>
      <c r="D376" s="680" t="str">
        <f t="shared" si="55"/>
        <v>Aum a feb 21 porc</v>
      </c>
      <c r="E376" s="681">
        <f t="shared" si="55"/>
        <v>0.7764000000000002</v>
      </c>
      <c r="F376" s="624"/>
      <c r="G376" s="681">
        <f>G419</f>
        <v>0.6881999999999997</v>
      </c>
      <c r="H376" s="624"/>
      <c r="I376" s="681">
        <f>I419</f>
        <v>0.4699999999999998</v>
      </c>
      <c r="J376" s="624"/>
      <c r="K376" s="681">
        <f>K419</f>
        <v>0.39999999999999974</v>
      </c>
      <c r="L376" s="624"/>
      <c r="M376" s="681">
        <f>M419</f>
        <v>0.2699999999999999</v>
      </c>
      <c r="N376" s="624"/>
      <c r="O376" s="681">
        <f>O419</f>
        <v>0.08000000000000004</v>
      </c>
      <c r="P376" s="624"/>
      <c r="Q376" s="681"/>
      <c r="R376" s="624"/>
    </row>
    <row r="377" spans="2:18" ht="17.25" thickBot="1" thickTop="1">
      <c r="B377" s="413"/>
      <c r="C377" s="413"/>
      <c r="D377" s="614">
        <f t="shared" si="55"/>
        <v>0</v>
      </c>
      <c r="E377" s="682">
        <f t="shared" si="55"/>
        <v>0</v>
      </c>
      <c r="F377" s="676"/>
      <c r="G377" s="682">
        <f>G420</f>
        <v>0</v>
      </c>
      <c r="H377" s="676"/>
      <c r="I377" s="682">
        <f>I420</f>
        <v>0</v>
      </c>
      <c r="J377" s="676"/>
      <c r="K377" s="682">
        <f>K420</f>
        <v>0</v>
      </c>
      <c r="L377" s="676"/>
      <c r="M377" s="682">
        <f>M420</f>
        <v>0</v>
      </c>
      <c r="N377" s="676"/>
      <c r="O377" s="682">
        <f>O420</f>
        <v>0</v>
      </c>
      <c r="P377" s="676"/>
      <c r="Q377" s="682"/>
      <c r="R377" s="676"/>
    </row>
    <row r="378" spans="2:18" ht="21" thickTop="1">
      <c r="B378" s="340"/>
      <c r="C378" s="340"/>
      <c r="D378" s="528" t="str">
        <f>D424</f>
        <v>MEDIO AGUINALDO</v>
      </c>
      <c r="E378" s="560"/>
      <c r="F378" s="625"/>
      <c r="G378" s="560"/>
      <c r="H378" s="625"/>
      <c r="I378" s="560"/>
      <c r="J378" s="625"/>
      <c r="K378" s="560"/>
      <c r="L378" s="625"/>
      <c r="M378" s="560"/>
      <c r="N378" s="625"/>
      <c r="O378" s="560"/>
      <c r="P378" s="625"/>
      <c r="Q378" s="560"/>
      <c r="R378" s="625"/>
    </row>
    <row r="379" spans="2:18" ht="15">
      <c r="B379" s="340"/>
      <c r="C379" s="340"/>
      <c r="D379" s="529"/>
      <c r="E379" s="561"/>
      <c r="F379" s="626"/>
      <c r="G379" s="561"/>
      <c r="H379" s="626"/>
      <c r="I379" s="561"/>
      <c r="J379" s="626"/>
      <c r="K379" s="561"/>
      <c r="L379" s="626"/>
      <c r="M379" s="561"/>
      <c r="N379" s="626"/>
      <c r="O379" s="561"/>
      <c r="P379" s="626"/>
      <c r="Q379" s="561"/>
      <c r="R379" s="626"/>
    </row>
    <row r="380" spans="2:18" ht="15.75">
      <c r="B380" s="340"/>
      <c r="C380" s="340"/>
      <c r="D380" s="530" t="str">
        <f>D426</f>
        <v>Código 550</v>
      </c>
      <c r="E380" s="585">
        <f>E426</f>
        <v>230065.22785007133</v>
      </c>
      <c r="F380" s="627"/>
      <c r="G380" s="585">
        <f>G426</f>
        <v>218642.26393632643</v>
      </c>
      <c r="H380" s="627"/>
      <c r="I380" s="585">
        <f>I426</f>
        <v>190382.7318957469</v>
      </c>
      <c r="J380" s="627"/>
      <c r="K380" s="585">
        <f>K426</f>
        <v>181316.88751975892</v>
      </c>
      <c r="L380" s="627"/>
      <c r="M380" s="585">
        <f>M426</f>
        <v>164480.3193929242</v>
      </c>
      <c r="N380" s="627"/>
      <c r="O380" s="585">
        <f>O426</f>
        <v>139873.02751524263</v>
      </c>
      <c r="P380" s="627"/>
      <c r="Q380" s="585">
        <f>Q426</f>
        <v>129512.06251411354</v>
      </c>
      <c r="R380" s="627"/>
    </row>
    <row r="381" spans="2:18" ht="15">
      <c r="B381" s="340"/>
      <c r="C381" s="340"/>
      <c r="D381" s="797"/>
      <c r="E381" s="584"/>
      <c r="F381" s="626"/>
      <c r="G381" s="584"/>
      <c r="H381" s="626"/>
      <c r="I381" s="584"/>
      <c r="J381" s="626"/>
      <c r="K381" s="584"/>
      <c r="L381" s="626"/>
      <c r="M381" s="584"/>
      <c r="N381" s="626"/>
      <c r="O381" s="584"/>
      <c r="P381" s="626"/>
      <c r="Q381" s="584"/>
      <c r="R381" s="626"/>
    </row>
    <row r="382" spans="2:18" ht="15.75">
      <c r="B382" s="340"/>
      <c r="C382" s="340"/>
      <c r="D382" s="530" t="str">
        <f aca="true" t="shared" si="56" ref="D382:E388">D428</f>
        <v>Descuentos</v>
      </c>
      <c r="E382" s="584"/>
      <c r="F382" s="627"/>
      <c r="G382" s="584"/>
      <c r="H382" s="627"/>
      <c r="I382" s="584"/>
      <c r="J382" s="627"/>
      <c r="K382" s="584"/>
      <c r="L382" s="627"/>
      <c r="M382" s="584"/>
      <c r="N382" s="627"/>
      <c r="O382" s="584"/>
      <c r="P382" s="627"/>
      <c r="Q382" s="584"/>
      <c r="R382" s="627"/>
    </row>
    <row r="383" spans="2:18" ht="15">
      <c r="B383" s="408">
        <f>B429</f>
        <v>703</v>
      </c>
      <c r="C383" s="460">
        <f>C429</f>
        <v>0.0025</v>
      </c>
      <c r="D383" s="531" t="str">
        <f t="shared" si="56"/>
        <v>Federación de  jubil</v>
      </c>
      <c r="E383" s="586">
        <f t="shared" si="56"/>
        <v>575.1630696251783</v>
      </c>
      <c r="F383" s="619"/>
      <c r="G383" s="586">
        <f aca="true" t="shared" si="57" ref="G383:G388">G429</f>
        <v>546.6056598408161</v>
      </c>
      <c r="H383" s="619"/>
      <c r="I383" s="586">
        <f aca="true" t="shared" si="58" ref="I383:K388">I429</f>
        <v>475.95682973936727</v>
      </c>
      <c r="J383" s="619"/>
      <c r="K383" s="586">
        <f t="shared" si="58"/>
        <v>453.2922187993973</v>
      </c>
      <c r="L383" s="619"/>
      <c r="M383" s="586">
        <f aca="true" t="shared" si="59" ref="M383:M388">M429</f>
        <v>411.2007984823105</v>
      </c>
      <c r="N383" s="619"/>
      <c r="O383" s="586">
        <f aca="true" t="shared" si="60" ref="O383:Q388">O429</f>
        <v>349.6825687881066</v>
      </c>
      <c r="P383" s="619"/>
      <c r="Q383" s="586">
        <f t="shared" si="60"/>
        <v>323.78015628528385</v>
      </c>
      <c r="R383" s="619"/>
    </row>
    <row r="384" spans="2:18" ht="15">
      <c r="B384" s="409">
        <f>B430</f>
        <v>707</v>
      </c>
      <c r="C384" s="437">
        <f>C430</f>
        <v>0.03</v>
      </c>
      <c r="D384" s="532" t="str">
        <f t="shared" si="56"/>
        <v>Aporte IOSPER</v>
      </c>
      <c r="E384" s="586">
        <f t="shared" si="56"/>
        <v>6901.956835502139</v>
      </c>
      <c r="F384" s="616"/>
      <c r="G384" s="586">
        <f t="shared" si="57"/>
        <v>6559.267918089793</v>
      </c>
      <c r="H384" s="616"/>
      <c r="I384" s="586">
        <f t="shared" si="58"/>
        <v>5711.481956872407</v>
      </c>
      <c r="J384" s="616"/>
      <c r="K384" s="586">
        <f t="shared" si="58"/>
        <v>5439.506625592768</v>
      </c>
      <c r="L384" s="616"/>
      <c r="M384" s="586">
        <f t="shared" si="59"/>
        <v>4934.409581787726</v>
      </c>
      <c r="N384" s="616"/>
      <c r="O384" s="586">
        <f t="shared" si="60"/>
        <v>4196.190825457279</v>
      </c>
      <c r="P384" s="616"/>
      <c r="Q384" s="586">
        <f t="shared" si="60"/>
        <v>3885.361875423406</v>
      </c>
      <c r="R384" s="616"/>
    </row>
    <row r="385" spans="2:18" ht="15.75">
      <c r="B385" s="409">
        <f>B431</f>
        <v>709</v>
      </c>
      <c r="C385" s="438">
        <v>0.0015</v>
      </c>
      <c r="D385" s="532" t="str">
        <f t="shared" si="56"/>
        <v>Seguro ley 3011</v>
      </c>
      <c r="E385" s="586">
        <f t="shared" si="56"/>
        <v>345.097841775107</v>
      </c>
      <c r="F385" s="616"/>
      <c r="G385" s="586">
        <f t="shared" si="57"/>
        <v>327.96339590448963</v>
      </c>
      <c r="H385" s="616"/>
      <c r="I385" s="586">
        <f t="shared" si="58"/>
        <v>285.57409784362034</v>
      </c>
      <c r="J385" s="616"/>
      <c r="K385" s="586">
        <f t="shared" si="58"/>
        <v>271.9753312796384</v>
      </c>
      <c r="L385" s="616"/>
      <c r="M385" s="586">
        <f t="shared" si="59"/>
        <v>246.7204790893863</v>
      </c>
      <c r="N385" s="616"/>
      <c r="O385" s="586">
        <f t="shared" si="60"/>
        <v>209.80954127286395</v>
      </c>
      <c r="P385" s="616"/>
      <c r="Q385" s="586">
        <f t="shared" si="60"/>
        <v>194.2680937711703</v>
      </c>
      <c r="R385" s="616"/>
    </row>
    <row r="386" spans="2:18" ht="15">
      <c r="B386" s="409">
        <f>B432</f>
        <v>713</v>
      </c>
      <c r="C386" s="439">
        <f>C432</f>
        <v>0.007</v>
      </c>
      <c r="D386" s="532" t="str">
        <f t="shared" si="56"/>
        <v>Serv Sepelio IAPS</v>
      </c>
      <c r="E386" s="586">
        <f t="shared" si="56"/>
        <v>1610.4565949504993</v>
      </c>
      <c r="F386" s="616"/>
      <c r="G386" s="586">
        <f t="shared" si="57"/>
        <v>1530.495847554285</v>
      </c>
      <c r="H386" s="616"/>
      <c r="I386" s="586">
        <f t="shared" si="58"/>
        <v>1332.6791232702283</v>
      </c>
      <c r="J386" s="616"/>
      <c r="K386" s="586">
        <f t="shared" si="58"/>
        <v>1269.2182126383125</v>
      </c>
      <c r="L386" s="616"/>
      <c r="M386" s="586">
        <f t="shared" si="59"/>
        <v>1151.3622357504694</v>
      </c>
      <c r="N386" s="616"/>
      <c r="O386" s="586">
        <f t="shared" si="60"/>
        <v>979.1111926066984</v>
      </c>
      <c r="P386" s="616"/>
      <c r="Q386" s="586">
        <f t="shared" si="60"/>
        <v>906.5844375987948</v>
      </c>
      <c r="R386" s="616"/>
    </row>
    <row r="387" spans="2:18" ht="15.75" thickBot="1">
      <c r="B387" s="409">
        <f>B433</f>
        <v>787</v>
      </c>
      <c r="C387" s="437">
        <f>C433</f>
        <v>0.01</v>
      </c>
      <c r="D387" s="532" t="str">
        <f t="shared" si="56"/>
        <v>Desc AGMER 1 %</v>
      </c>
      <c r="E387" s="586">
        <f t="shared" si="56"/>
        <v>2300.6522785007132</v>
      </c>
      <c r="F387" s="616"/>
      <c r="G387" s="586">
        <f t="shared" si="57"/>
        <v>2186.4226393632644</v>
      </c>
      <c r="H387" s="616"/>
      <c r="I387" s="586">
        <f t="shared" si="58"/>
        <v>1903.827318957469</v>
      </c>
      <c r="J387" s="616"/>
      <c r="K387" s="586">
        <f t="shared" si="58"/>
        <v>1813.1688751975892</v>
      </c>
      <c r="L387" s="616"/>
      <c r="M387" s="586">
        <f t="shared" si="59"/>
        <v>1644.803193929242</v>
      </c>
      <c r="N387" s="616"/>
      <c r="O387" s="586">
        <f t="shared" si="60"/>
        <v>1398.7302751524264</v>
      </c>
      <c r="P387" s="616"/>
      <c r="Q387" s="586">
        <f t="shared" si="60"/>
        <v>1295.1206251411354</v>
      </c>
      <c r="R387" s="616"/>
    </row>
    <row r="388" spans="2:18" ht="16.5" thickBot="1">
      <c r="B388" s="340"/>
      <c r="C388" s="340"/>
      <c r="D388" s="533" t="str">
        <f t="shared" si="56"/>
        <v>Total Descuentos</v>
      </c>
      <c r="E388" s="587">
        <f t="shared" si="56"/>
        <v>11733.326620353637</v>
      </c>
      <c r="F388" s="621"/>
      <c r="G388" s="587">
        <f t="shared" si="57"/>
        <v>11150.755460752647</v>
      </c>
      <c r="H388" s="621"/>
      <c r="I388" s="587">
        <f t="shared" si="58"/>
        <v>9709.519326683092</v>
      </c>
      <c r="J388" s="621"/>
      <c r="K388" s="587">
        <f t="shared" si="58"/>
        <v>9247.161263507705</v>
      </c>
      <c r="L388" s="621"/>
      <c r="M388" s="587">
        <f t="shared" si="59"/>
        <v>8388.496289039134</v>
      </c>
      <c r="N388" s="621"/>
      <c r="O388" s="587">
        <f t="shared" si="60"/>
        <v>7133.524403277374</v>
      </c>
      <c r="P388" s="621"/>
      <c r="Q388" s="587">
        <f t="shared" si="60"/>
        <v>6605.11518821979</v>
      </c>
      <c r="R388" s="621"/>
    </row>
    <row r="389" spans="2:18" ht="16.5" thickBot="1">
      <c r="B389" s="340"/>
      <c r="C389" s="340"/>
      <c r="D389" s="534"/>
      <c r="E389" s="588"/>
      <c r="F389" s="562"/>
      <c r="G389" s="588"/>
      <c r="H389" s="562"/>
      <c r="I389" s="588"/>
      <c r="J389" s="562"/>
      <c r="K389" s="588"/>
      <c r="L389" s="562"/>
      <c r="M389" s="588"/>
      <c r="N389" s="562"/>
      <c r="O389" s="588"/>
      <c r="P389" s="562"/>
      <c r="Q389" s="588"/>
      <c r="R389" s="562"/>
    </row>
    <row r="390" spans="2:18" ht="21" thickBot="1">
      <c r="B390" s="340"/>
      <c r="C390" s="340"/>
      <c r="D390" s="535" t="str">
        <f>D436</f>
        <v>Líquido</v>
      </c>
      <c r="E390" s="589">
        <f>E436</f>
        <v>218331.90122971768</v>
      </c>
      <c r="F390" s="628"/>
      <c r="G390" s="589">
        <f>G436</f>
        <v>207491.5084755738</v>
      </c>
      <c r="H390" s="628"/>
      <c r="I390" s="589">
        <f>I436</f>
        <v>180673.2125690638</v>
      </c>
      <c r="J390" s="628"/>
      <c r="K390" s="589">
        <f>K436</f>
        <v>172069.72625625122</v>
      </c>
      <c r="L390" s="628"/>
      <c r="M390" s="589">
        <f>M436</f>
        <v>156091.82310388505</v>
      </c>
      <c r="N390" s="628"/>
      <c r="O390" s="589">
        <f>O436</f>
        <v>132739.50311196526</v>
      </c>
      <c r="P390" s="628"/>
      <c r="Q390" s="589">
        <f>Q436</f>
        <v>122906.94732589375</v>
      </c>
      <c r="R390" s="628"/>
    </row>
    <row r="391" spans="2:18" ht="17.25" thickBot="1" thickTop="1">
      <c r="B391" s="649"/>
      <c r="C391" s="448"/>
      <c r="D391" s="645"/>
      <c r="E391" s="579"/>
      <c r="F391" s="669"/>
      <c r="G391" s="579"/>
      <c r="H391" s="669"/>
      <c r="I391" s="579"/>
      <c r="J391" s="669"/>
      <c r="K391" s="579"/>
      <c r="L391" s="669"/>
      <c r="M391" s="579"/>
      <c r="N391" s="669"/>
      <c r="O391" s="579"/>
      <c r="P391" s="669"/>
      <c r="Q391" s="579"/>
      <c r="R391" s="669"/>
    </row>
    <row r="392" spans="2:18" ht="24" hidden="1" thickBot="1">
      <c r="B392" s="692"/>
      <c r="C392" s="692"/>
      <c r="D392" s="686" t="s">
        <v>23</v>
      </c>
      <c r="E392" s="751">
        <f>E413</f>
        <v>436663.80245943536</v>
      </c>
      <c r="F392" s="752"/>
      <c r="G392" s="751">
        <f>G413</f>
        <v>414983.0169511476</v>
      </c>
      <c r="H392" s="752"/>
      <c r="I392" s="751">
        <f>I413</f>
        <v>361346.4251381276</v>
      </c>
      <c r="J392" s="752"/>
      <c r="K392" s="751">
        <f>K413</f>
        <v>344139.45251250244</v>
      </c>
      <c r="L392" s="752"/>
      <c r="M392" s="751">
        <f>M413</f>
        <v>312183.6462077701</v>
      </c>
      <c r="N392" s="752"/>
      <c r="O392" s="751">
        <f>O413</f>
        <v>265479.0062239305</v>
      </c>
      <c r="P392" s="752"/>
      <c r="Q392" s="751">
        <f>Q413</f>
        <v>245813.8946517875</v>
      </c>
      <c r="R392" s="752"/>
    </row>
    <row r="393" spans="2:18" ht="16.5" hidden="1" thickBot="1">
      <c r="B393" s="719" t="s">
        <v>11</v>
      </c>
      <c r="C393" s="692"/>
      <c r="D393" s="746">
        <f>D342*86.9</f>
        <v>3128.4</v>
      </c>
      <c r="E393" s="746"/>
      <c r="F393" s="748"/>
      <c r="G393" s="746"/>
      <c r="H393" s="748"/>
      <c r="I393" s="746"/>
      <c r="J393" s="748"/>
      <c r="K393" s="746"/>
      <c r="L393" s="748"/>
      <c r="M393" s="746"/>
      <c r="N393" s="748"/>
      <c r="O393" s="746"/>
      <c r="P393" s="748"/>
      <c r="Q393" s="746"/>
      <c r="R393" s="748"/>
    </row>
    <row r="394" spans="2:18" ht="15.75" hidden="1" thickBot="1">
      <c r="B394" s="685"/>
      <c r="C394" s="728"/>
      <c r="D394" s="753"/>
      <c r="E394" s="685"/>
      <c r="F394" s="754"/>
      <c r="G394" s="685"/>
      <c r="H394" s="754"/>
      <c r="I394" s="685"/>
      <c r="J394" s="754"/>
      <c r="K394" s="685"/>
      <c r="L394" s="754"/>
      <c r="M394" s="685"/>
      <c r="N394" s="754"/>
      <c r="O394" s="685"/>
      <c r="P394" s="754"/>
      <c r="Q394" s="685"/>
      <c r="R394" s="754"/>
    </row>
    <row r="395" spans="2:18" ht="21" hidden="1" thickBot="1">
      <c r="B395" s="740"/>
      <c r="C395" s="740"/>
      <c r="D395" s="755"/>
      <c r="E395" s="924" t="str">
        <f>"AGO 23 "&amp;((aumento6-1)*100)&amp;"%"</f>
        <v>AGO 23 77,64%</v>
      </c>
      <c r="F395" s="618"/>
      <c r="G395" s="925" t="str">
        <f>"JUL 23 "&amp;((aumento5-1)*100)&amp;"%"</f>
        <v>JUL 23 68,82%</v>
      </c>
      <c r="H395" s="618"/>
      <c r="I395" s="925" t="str">
        <f>"JUN 23 "&amp;((Aumento4-1)*100)&amp;"%"</f>
        <v>JUN 23 47%</v>
      </c>
      <c r="J395" s="618"/>
      <c r="K395" s="925" t="str">
        <f>"MAY 23 "&amp;((Aumento3-1)*100)&amp;"%"</f>
        <v>MAY 23 40%</v>
      </c>
      <c r="L395" s="618"/>
      <c r="M395" s="925" t="str">
        <f>"MAR 23 "&amp;((Aumento2-1)*100)&amp;"%"</f>
        <v>MAR 23 27%</v>
      </c>
      <c r="N395" s="659"/>
      <c r="O395" s="926" t="str">
        <f>"FEB 23 "&amp;((aumento1-1)*100)&amp;"%"</f>
        <v>FEB 23 8,00000000000001%</v>
      </c>
      <c r="P395" s="659"/>
      <c r="Q395" s="636">
        <v>44927</v>
      </c>
      <c r="R395" s="659"/>
    </row>
    <row r="396" spans="2:18" ht="13.5" hidden="1" thickBot="1">
      <c r="B396" s="740"/>
      <c r="C396" s="740"/>
      <c r="D396" s="740"/>
      <c r="E396" s="740"/>
      <c r="F396" s="741"/>
      <c r="G396" s="740"/>
      <c r="H396" s="741"/>
      <c r="I396" s="740"/>
      <c r="J396" s="741"/>
      <c r="K396" s="740"/>
      <c r="L396" s="741"/>
      <c r="M396" s="740"/>
      <c r="N396" s="741"/>
      <c r="O396" s="740"/>
      <c r="P396" s="741"/>
      <c r="Q396" s="740"/>
      <c r="R396" s="741"/>
    </row>
    <row r="397" spans="2:18" ht="15.75" hidden="1" thickBot="1">
      <c r="B397" s="692">
        <v>402</v>
      </c>
      <c r="C397" s="692"/>
      <c r="D397" s="692" t="s">
        <v>13</v>
      </c>
      <c r="E397" s="693">
        <f>puntostotalhorassup*indiceene23*porjubhorsup*aumento6</f>
        <v>175602.22054379134</v>
      </c>
      <c r="F397" s="858"/>
      <c r="G397" s="693">
        <f>puntostotalhorassup*indiceene23*porjubhorsup*aumento5</f>
        <v>166883.39828981564</v>
      </c>
      <c r="H397" s="858"/>
      <c r="I397" s="693">
        <f>puntostotalhorassup*indiceene23*porjubhorsup*Aumento4</f>
        <v>145313.70423292796</v>
      </c>
      <c r="J397" s="858"/>
      <c r="K397" s="693">
        <f>puntostotalhorassup*indiceene23*porjubhorsup*Aumento3</f>
        <v>138394.00403135997</v>
      </c>
      <c r="L397" s="858"/>
      <c r="M397" s="693">
        <f>puntostotalhorassup*indiceene23*porjubhorsup*Aumento2</f>
        <v>125543.13222844798</v>
      </c>
      <c r="N397" s="858"/>
      <c r="O397" s="693">
        <f>puntostotalhorassup*indiceene23*porjubhorsup*aumento1</f>
        <v>106761.08882419199</v>
      </c>
      <c r="P397" s="858"/>
      <c r="Q397" s="693">
        <f>puntostotalhorassup*indiceene23*porjubhorsup</f>
        <v>98852.86002239998</v>
      </c>
      <c r="R397" s="858"/>
    </row>
    <row r="398" spans="2:18" ht="15.75" hidden="1" thickBot="1">
      <c r="B398" s="692">
        <v>406</v>
      </c>
      <c r="C398" s="692"/>
      <c r="D398" s="692" t="s">
        <v>14</v>
      </c>
      <c r="E398" s="693">
        <f>E397*porcantigsup</f>
        <v>210722.6646525496</v>
      </c>
      <c r="F398" s="858"/>
      <c r="G398" s="693">
        <f>G397*porcantigsup</f>
        <v>200260.07794777877</v>
      </c>
      <c r="H398" s="858"/>
      <c r="I398" s="693">
        <f>I397*porcantigsup</f>
        <v>174376.44507951356</v>
      </c>
      <c r="J398" s="858"/>
      <c r="K398" s="693">
        <f>K397*porcantigsup</f>
        <v>166072.80483763196</v>
      </c>
      <c r="L398" s="858"/>
      <c r="M398" s="693">
        <f>M397*porcantigsup</f>
        <v>150651.75867413759</v>
      </c>
      <c r="N398" s="858"/>
      <c r="O398" s="693">
        <f>O397*porcantigsup</f>
        <v>128113.30658903038</v>
      </c>
      <c r="P398" s="858"/>
      <c r="Q398" s="693">
        <f>Q397*porcantigsup</f>
        <v>118623.43202687998</v>
      </c>
      <c r="R398" s="858"/>
    </row>
    <row r="399" spans="2:18" ht="15.75" hidden="1" thickBot="1">
      <c r="B399" s="692">
        <v>432</v>
      </c>
      <c r="C399" s="692"/>
      <c r="D399" s="692" t="s">
        <v>317</v>
      </c>
      <c r="E399" s="693">
        <f>IF(numhorassup&gt;17,17*619.1,619.1*numhorassup)*porjubhorsup*aumento6</f>
        <v>15330.7832056</v>
      </c>
      <c r="F399" s="858"/>
      <c r="G399" s="693">
        <f>IF(numhorassup&gt;17,17*619.1,619.1*numhorassup)*porjubhorsup*aumento5</f>
        <v>14569.5948028</v>
      </c>
      <c r="H399" s="858"/>
      <c r="I399" s="693">
        <f>IF(numhorassup&gt;17,17*619.1,619.1*numhorassup)*porjubhorsup*Aumento4</f>
        <v>12686.473380000001</v>
      </c>
      <c r="J399" s="858"/>
      <c r="K399" s="693">
        <f>IF(numhorassup&gt;17,17*619.1,619.1*numhorassup)*porjubhorsup*Aumento3</f>
        <v>12082.3556</v>
      </c>
      <c r="L399" s="858"/>
      <c r="M399" s="693">
        <f>IF(numhorassup&gt;17,17*619.1,619.1*numhorassup)*porjubhorsup*Aumento2</f>
        <v>10960.42258</v>
      </c>
      <c r="N399" s="858"/>
      <c r="O399" s="693">
        <f>IF(numhorassup&gt;17,17*619.1,619.1*numhorassup)*porjubhorsup*aumento1</f>
        <v>9320.674320000002</v>
      </c>
      <c r="P399" s="858"/>
      <c r="Q399" s="693">
        <f>IF(numhorassup&gt;17,17*619.1,619.1*numhorassup)*porjubhorsup</f>
        <v>8630.254</v>
      </c>
      <c r="R399" s="858"/>
    </row>
    <row r="400" spans="2:18" ht="15.75" hidden="1" thickBot="1">
      <c r="B400" s="692">
        <v>434</v>
      </c>
      <c r="C400" s="692"/>
      <c r="D400" s="692" t="s">
        <v>313</v>
      </c>
      <c r="E400" s="693">
        <f>(E397+E398+E399+E401)*0.07*0.95</f>
        <v>27321.530811249664</v>
      </c>
      <c r="F400" s="858"/>
      <c r="G400" s="693">
        <f>(G397+G398+G399+G401)*0.07*0.95</f>
        <v>25964.99004478252</v>
      </c>
      <c r="H400" s="858"/>
      <c r="I400" s="693">
        <f>(I397+I398+I399+I401)*0.07*0.95</f>
        <v>22609.01277445226</v>
      </c>
      <c r="J400" s="858"/>
      <c r="K400" s="693">
        <f>(K397+K398+K399+K401)*0.07*0.95</f>
        <v>21532.393118525964</v>
      </c>
      <c r="L400" s="858"/>
      <c r="M400" s="693">
        <f>(M397+M398+M399+M401)*0.07*0.95</f>
        <v>19532.956614662842</v>
      </c>
      <c r="N400" s="858"/>
      <c r="O400" s="693">
        <f>(O397+O398+O399+O401)*0.07*0.95</f>
        <v>16610.703262862888</v>
      </c>
      <c r="P400" s="858"/>
      <c r="Q400" s="693">
        <f>(Q397+Q398+Q399+Q401)*0.07*0.95</f>
        <v>15380.280798947118</v>
      </c>
      <c r="R400" s="858"/>
    </row>
    <row r="401" spans="2:18" ht="15.75" hidden="1" thickBot="1">
      <c r="B401" s="692">
        <v>437</v>
      </c>
      <c r="C401" s="692"/>
      <c r="D401" s="702" t="s">
        <v>484</v>
      </c>
      <c r="E401" s="757">
        <f>IF(numhorassup&gt;30,210.4013*30,210.4013*numhorassup)*porjubhorsup*aumento6</f>
        <v>9194.418985272</v>
      </c>
      <c r="F401" s="858"/>
      <c r="G401" s="757">
        <f>IF(numhorassup&gt;30,210.4013*30,210.4013*numhorassup)*porjubhorsup*aumento5</f>
        <v>8737.907076636</v>
      </c>
      <c r="H401" s="858"/>
      <c r="I401" s="757">
        <f>IF(numhorassup&gt;30,210.4013*30,210.4013*numhorassup)*porjubhorsup*Aumento4</f>
        <v>7608.5318105999995</v>
      </c>
      <c r="J401" s="858"/>
      <c r="K401" s="757">
        <f>IF(numhorassup&gt;30,210.4013*30,210.4013*numhorassup)*porjubhorsup*Aumento3</f>
        <v>7246.220772</v>
      </c>
      <c r="L401" s="858"/>
      <c r="M401" s="757">
        <f>IF(numhorassup&gt;30,210.4013*30,210.4013*numhorassup)*porjubhorsup*Aumento2</f>
        <v>6573.3574146</v>
      </c>
      <c r="N401" s="858"/>
      <c r="O401" s="757">
        <f>IF(numhorassup&gt;30,210.4013*30,210.4013*numhorassup)*porjubhorsup*aumento1</f>
        <v>5589.9417384</v>
      </c>
      <c r="P401" s="858"/>
      <c r="Q401" s="757">
        <f>IF(numhorassup&gt;30,210.4013*30,210.4013*numhorassup)*porjubhorsup</f>
        <v>5175.87198</v>
      </c>
      <c r="R401" s="858"/>
    </row>
    <row r="402" spans="2:18" ht="16.5" hidden="1" thickBot="1">
      <c r="B402" s="692"/>
      <c r="C402" s="692"/>
      <c r="D402" s="692" t="s">
        <v>327</v>
      </c>
      <c r="E402" s="705">
        <f>E359</f>
        <v>0</v>
      </c>
      <c r="F402" s="858"/>
      <c r="G402" s="705">
        <f>G359</f>
        <v>0</v>
      </c>
      <c r="H402" s="858"/>
      <c r="I402" s="705">
        <f>I359</f>
        <v>0</v>
      </c>
      <c r="J402" s="858"/>
      <c r="K402" s="705">
        <f>K359</f>
        <v>0</v>
      </c>
      <c r="L402" s="858"/>
      <c r="M402" s="705">
        <f>M359</f>
        <v>0</v>
      </c>
      <c r="N402" s="858"/>
      <c r="O402" s="705">
        <f>O359</f>
        <v>0</v>
      </c>
      <c r="P402" s="858"/>
      <c r="Q402" s="705">
        <f>Q359</f>
        <v>0</v>
      </c>
      <c r="R402" s="858"/>
    </row>
    <row r="403" spans="2:18" ht="21" hidden="1" thickBot="1">
      <c r="B403" s="758">
        <v>1584</v>
      </c>
      <c r="C403" s="759">
        <f>C360</f>
        <v>15</v>
      </c>
      <c r="D403" s="760" t="s">
        <v>494</v>
      </c>
      <c r="E403" s="757">
        <f>IF($C403="",IF(numhorassup&lt;15,1004.994*numhorassup,15074.91),IF($C403&lt;15,1004.994*$C403,15074.91))*porjubhorsup*solohorassup*aumento6</f>
        <v>21958.83750168</v>
      </c>
      <c r="F403" s="858"/>
      <c r="G403" s="757">
        <f>IF($C403="",IF(numhorassup&lt;15,1004.994*numhorassup,15074.91),IF($C403&lt;15,1004.994*$C403,15074.91))*porjubhorsup*solohorassup*aumento5</f>
        <v>20868.55971084</v>
      </c>
      <c r="H403" s="858"/>
      <c r="I403" s="757">
        <f>IF($C403="",IF(numhorassup&lt;15,1004.994*numhorassup,15074.91),IF($C403&lt;15,1004.994*$C403,15074.91))*porjubhorsup*solohorassup*Aumento4</f>
        <v>18171.296513999998</v>
      </c>
      <c r="J403" s="858"/>
      <c r="K403" s="757">
        <f>IF($C403="",IF(numhorassup&lt;15,1004.994*numhorassup,15074.91),IF($C403&lt;15,1004.994*$C403,15074.91))*porjubhorsup*solohorassup*Aumento3</f>
        <v>17305.99668</v>
      </c>
      <c r="L403" s="858"/>
      <c r="M403" s="757">
        <f>IF($C403="",IF(numhorassup&lt;15,1004.994*numhorassup,15074.91),IF($C403&lt;15,1004.994*$C403,15074.91))*porjubhorsup*solohorassup*Aumento2</f>
        <v>15699.011274</v>
      </c>
      <c r="N403" s="858"/>
      <c r="O403" s="757">
        <f>IF($C403="",IF(numhorassup&lt;15,1004.994*numhorassup,15074.91),IF($C403&lt;15,1004.994*$C403,15074.91))*porjubhorsup*solohorassup*aumento1</f>
        <v>13350.340296</v>
      </c>
      <c r="P403" s="858"/>
      <c r="Q403" s="757">
        <f>IF($C403="",IF(numhorassup&lt;15,1004.994*numhorassup,15074.91),IF($C403&lt;15,1004.994*$C403,15074.91))*porjubhorsup*solohorassup</f>
        <v>12361.4262</v>
      </c>
      <c r="R403" s="858"/>
    </row>
    <row r="404" spans="2:18" ht="18.75" hidden="1" thickBot="1">
      <c r="B404" s="692"/>
      <c r="C404" s="740"/>
      <c r="D404" s="707" t="s">
        <v>15</v>
      </c>
      <c r="E404" s="746">
        <f>SUM(E397:E403)</f>
        <v>460130.45570014266</v>
      </c>
      <c r="F404" s="858"/>
      <c r="G404" s="746">
        <f>SUM(G397:G403)</f>
        <v>437284.52787265286</v>
      </c>
      <c r="H404" s="858"/>
      <c r="I404" s="746">
        <f>SUM(I397:I403)</f>
        <v>380765.4637914938</v>
      </c>
      <c r="J404" s="858"/>
      <c r="K404" s="746">
        <f>SUM(K397:K403)</f>
        <v>362633.77503951784</v>
      </c>
      <c r="L404" s="858"/>
      <c r="M404" s="746">
        <f>SUM(M397:M403)</f>
        <v>328960.6387858484</v>
      </c>
      <c r="N404" s="858"/>
      <c r="O404" s="746">
        <f>SUM(O397:O403)</f>
        <v>279746.05503048527</v>
      </c>
      <c r="P404" s="858"/>
      <c r="Q404" s="746">
        <f>SUM(Q397:Q403)</f>
        <v>259024.12502822708</v>
      </c>
      <c r="R404" s="858"/>
    </row>
    <row r="405" spans="2:18" ht="15.75" hidden="1" thickBot="1">
      <c r="B405" s="692">
        <v>703</v>
      </c>
      <c r="C405" s="711">
        <v>0.0025</v>
      </c>
      <c r="D405" s="712" t="s">
        <v>16</v>
      </c>
      <c r="E405" s="713">
        <f>(E404-E402)*$C405</f>
        <v>1150.3261392503566</v>
      </c>
      <c r="F405" s="858"/>
      <c r="G405" s="713">
        <f>(G404-G402)*$C405</f>
        <v>1093.2113196816322</v>
      </c>
      <c r="H405" s="858"/>
      <c r="I405" s="713">
        <f>(I404-I402)*$C405</f>
        <v>951.9136594787345</v>
      </c>
      <c r="J405" s="858"/>
      <c r="K405" s="713">
        <f>(K404-K402)*$C405</f>
        <v>906.5844375987946</v>
      </c>
      <c r="L405" s="858"/>
      <c r="M405" s="713">
        <f>(M404-M402)*$C405</f>
        <v>822.401596964621</v>
      </c>
      <c r="N405" s="858"/>
      <c r="O405" s="713">
        <f>(O404-O402)*$C405</f>
        <v>699.3651375762132</v>
      </c>
      <c r="P405" s="858"/>
      <c r="Q405" s="713">
        <f>(Q404-Q402)*$C405</f>
        <v>647.5603125705677</v>
      </c>
      <c r="R405" s="858"/>
    </row>
    <row r="406" spans="2:18" ht="15.75" hidden="1" thickBot="1">
      <c r="B406" s="685">
        <v>707</v>
      </c>
      <c r="C406" s="715">
        <v>0.03</v>
      </c>
      <c r="D406" s="692" t="s">
        <v>17</v>
      </c>
      <c r="E406" s="713">
        <f>(E404-E402)*$C406</f>
        <v>13803.913671004279</v>
      </c>
      <c r="F406" s="858"/>
      <c r="G406" s="713">
        <f>(G404-G402)*$C406</f>
        <v>13118.535836179586</v>
      </c>
      <c r="H406" s="858"/>
      <c r="I406" s="713">
        <f>(I404-I402)*$C406</f>
        <v>11422.963913744814</v>
      </c>
      <c r="J406" s="858"/>
      <c r="K406" s="713">
        <f>(K404-K402)*$C406</f>
        <v>10879.013251185535</v>
      </c>
      <c r="L406" s="858"/>
      <c r="M406" s="713">
        <f>(M404-M402)*$C406</f>
        <v>9868.819163575452</v>
      </c>
      <c r="N406" s="858"/>
      <c r="O406" s="713">
        <f>(O404-O402)*$C406</f>
        <v>8392.381650914558</v>
      </c>
      <c r="P406" s="858"/>
      <c r="Q406" s="713">
        <f>(Q404-Q402)*$C406</f>
        <v>7770.723750846812</v>
      </c>
      <c r="R406" s="858"/>
    </row>
    <row r="407" spans="2:18" ht="16.5" hidden="1" thickBot="1">
      <c r="B407" s="685">
        <v>709</v>
      </c>
      <c r="C407" s="773">
        <f>C364</f>
        <v>0.0015</v>
      </c>
      <c r="D407" s="692" t="s">
        <v>18</v>
      </c>
      <c r="E407" s="713">
        <f>(E404-E402)*$C407</f>
        <v>690.195683550214</v>
      </c>
      <c r="F407" s="858"/>
      <c r="G407" s="713">
        <f>(G404-G402)*$C407</f>
        <v>655.9267918089793</v>
      </c>
      <c r="H407" s="858"/>
      <c r="I407" s="713">
        <f>(I404-I402)*$C407</f>
        <v>571.1481956872407</v>
      </c>
      <c r="J407" s="858"/>
      <c r="K407" s="713">
        <f>(K404-K402)*$C407</f>
        <v>543.9506625592768</v>
      </c>
      <c r="L407" s="858"/>
      <c r="M407" s="713">
        <f>(M404-M402)*$C407</f>
        <v>493.4409581787726</v>
      </c>
      <c r="N407" s="858"/>
      <c r="O407" s="713">
        <f>(O404-O402)*$C407</f>
        <v>419.6190825457279</v>
      </c>
      <c r="P407" s="858"/>
      <c r="Q407" s="713">
        <f>(Q404-Q402)*$C407</f>
        <v>388.5361875423406</v>
      </c>
      <c r="R407" s="858"/>
    </row>
    <row r="408" spans="2:18" ht="15.75" hidden="1" thickBot="1">
      <c r="B408" s="685">
        <v>713</v>
      </c>
      <c r="C408" s="717">
        <v>0.007</v>
      </c>
      <c r="D408" s="692" t="s">
        <v>20</v>
      </c>
      <c r="E408" s="713">
        <f>(E404-E402)*$C408</f>
        <v>3220.9131899009985</v>
      </c>
      <c r="F408" s="858"/>
      <c r="G408" s="713">
        <f>(G404-G402)*$C408</f>
        <v>3060.99169510857</v>
      </c>
      <c r="H408" s="858"/>
      <c r="I408" s="713">
        <f>(I404-I402)*$C408</f>
        <v>2665.3582465404565</v>
      </c>
      <c r="J408" s="858"/>
      <c r="K408" s="713">
        <f>(K404-K402)*$C408</f>
        <v>2538.436425276625</v>
      </c>
      <c r="L408" s="858"/>
      <c r="M408" s="713">
        <f>(M404-M402)*$C408</f>
        <v>2302.7244715009388</v>
      </c>
      <c r="N408" s="858"/>
      <c r="O408" s="713">
        <f>(O404-O402)*$C408</f>
        <v>1958.2223852133968</v>
      </c>
      <c r="P408" s="858"/>
      <c r="Q408" s="713">
        <f>(Q404-Q402)*$C408</f>
        <v>1813.1688751975896</v>
      </c>
      <c r="R408" s="858"/>
    </row>
    <row r="409" spans="2:18" ht="15.75" hidden="1" thickBot="1">
      <c r="B409" s="685">
        <v>787</v>
      </c>
      <c r="C409" s="715">
        <v>0.01</v>
      </c>
      <c r="D409" s="692" t="s">
        <v>387</v>
      </c>
      <c r="E409" s="713">
        <f>(E404-E402)*$C409</f>
        <v>4601.3045570014265</v>
      </c>
      <c r="F409" s="858"/>
      <c r="G409" s="713">
        <f>(G404-G402)*$C409</f>
        <v>4372.845278726529</v>
      </c>
      <c r="H409" s="858"/>
      <c r="I409" s="713">
        <f>(I404-I402)*$C409</f>
        <v>3807.654637914938</v>
      </c>
      <c r="J409" s="858"/>
      <c r="K409" s="713">
        <f>(K404-K402)*$C409</f>
        <v>3626.3377503951783</v>
      </c>
      <c r="L409" s="858"/>
      <c r="M409" s="713">
        <f>(M404-M402)*$C409</f>
        <v>3289.606387858484</v>
      </c>
      <c r="N409" s="858"/>
      <c r="O409" s="713">
        <f>(O404-O402)*$C409</f>
        <v>2797.460550304853</v>
      </c>
      <c r="P409" s="858"/>
      <c r="Q409" s="713">
        <f>(Q404-Q402)*$C409</f>
        <v>2590.241250282271</v>
      </c>
      <c r="R409" s="858"/>
    </row>
    <row r="410" spans="2:18" ht="16.5" hidden="1" thickBot="1">
      <c r="B410" s="685"/>
      <c r="C410" s="685"/>
      <c r="D410" s="692" t="s">
        <v>21</v>
      </c>
      <c r="E410" s="761">
        <f>E367</f>
        <v>0</v>
      </c>
      <c r="F410" s="858"/>
      <c r="G410" s="761">
        <f>G367</f>
        <v>0</v>
      </c>
      <c r="H410" s="858"/>
      <c r="I410" s="761">
        <f>I367</f>
        <v>0</v>
      </c>
      <c r="J410" s="858"/>
      <c r="K410" s="761">
        <f>K367</f>
        <v>0</v>
      </c>
      <c r="L410" s="858"/>
      <c r="M410" s="761">
        <f>M367</f>
        <v>0</v>
      </c>
      <c r="N410" s="858"/>
      <c r="O410" s="761">
        <f>O367</f>
        <v>0</v>
      </c>
      <c r="P410" s="858"/>
      <c r="Q410" s="761">
        <f>Q367</f>
        <v>0</v>
      </c>
      <c r="R410" s="858"/>
    </row>
    <row r="411" spans="2:18" ht="16.5" hidden="1" thickBot="1">
      <c r="B411" s="685"/>
      <c r="C411" s="685"/>
      <c r="D411" s="719" t="s">
        <v>22</v>
      </c>
      <c r="E411" s="762">
        <f>SUM(E405:E410)</f>
        <v>23466.653240707274</v>
      </c>
      <c r="F411" s="858"/>
      <c r="G411" s="762">
        <f>SUM(G405:G410)</f>
        <v>22301.510921505294</v>
      </c>
      <c r="H411" s="858"/>
      <c r="I411" s="762">
        <f>SUM(I405:I410)</f>
        <v>19419.038653366184</v>
      </c>
      <c r="J411" s="858"/>
      <c r="K411" s="762">
        <f>SUM(K405:K410)</f>
        <v>18494.32252701541</v>
      </c>
      <c r="L411" s="858"/>
      <c r="M411" s="762">
        <f>SUM(M405:M410)</f>
        <v>16776.99257807827</v>
      </c>
      <c r="N411" s="858"/>
      <c r="O411" s="762">
        <f>SUM(O405:O410)</f>
        <v>14267.048806554749</v>
      </c>
      <c r="P411" s="858"/>
      <c r="Q411" s="762">
        <f>SUM(Q405:Q410)</f>
        <v>13210.23037643958</v>
      </c>
      <c r="R411" s="858"/>
    </row>
    <row r="412" spans="2:18" ht="16.5" hidden="1" thickBot="1">
      <c r="B412" s="720"/>
      <c r="C412" s="720"/>
      <c r="D412" s="692"/>
      <c r="E412" s="721"/>
      <c r="F412" s="858"/>
      <c r="G412" s="721"/>
      <c r="H412" s="858"/>
      <c r="I412" s="721"/>
      <c r="J412" s="858"/>
      <c r="K412" s="721"/>
      <c r="L412" s="858"/>
      <c r="M412" s="721"/>
      <c r="N412" s="858"/>
      <c r="O412" s="721"/>
      <c r="P412" s="858"/>
      <c r="Q412" s="721"/>
      <c r="R412" s="858"/>
    </row>
    <row r="413" spans="2:18" ht="18.75" hidden="1" thickBot="1">
      <c r="B413" s="722"/>
      <c r="C413" s="722"/>
      <c r="D413" s="723" t="s">
        <v>23</v>
      </c>
      <c r="E413" s="902">
        <f>E404-E411</f>
        <v>436663.80245943536</v>
      </c>
      <c r="F413" s="904"/>
      <c r="G413" s="902">
        <f>G404-G411</f>
        <v>414983.0169511476</v>
      </c>
      <c r="H413" s="904"/>
      <c r="I413" s="902">
        <f>I404-I411</f>
        <v>361346.4251381276</v>
      </c>
      <c r="J413" s="904"/>
      <c r="K413" s="902">
        <f>K404-K411</f>
        <v>344139.45251250244</v>
      </c>
      <c r="L413" s="904"/>
      <c r="M413" s="902">
        <f>M404-M411</f>
        <v>312183.6462077701</v>
      </c>
      <c r="N413" s="904"/>
      <c r="O413" s="902">
        <f>O404-O411</f>
        <v>265479.0062239305</v>
      </c>
      <c r="P413" s="904"/>
      <c r="Q413" s="902">
        <f>Q404-Q411</f>
        <v>245813.8946517875</v>
      </c>
      <c r="R413" s="858"/>
    </row>
    <row r="414" spans="2:18" ht="16.5" hidden="1" thickBot="1">
      <c r="B414" s="722"/>
      <c r="C414" s="722"/>
      <c r="D414" s="725"/>
      <c r="E414" s="725"/>
      <c r="F414" s="858"/>
      <c r="G414" s="725"/>
      <c r="H414" s="858"/>
      <c r="I414" s="725"/>
      <c r="J414" s="858"/>
      <c r="K414" s="725"/>
      <c r="L414" s="858"/>
      <c r="M414" s="725"/>
      <c r="N414" s="858"/>
      <c r="O414" s="725"/>
      <c r="P414" s="858"/>
      <c r="Q414" s="725"/>
      <c r="R414" s="858"/>
    </row>
    <row r="415" spans="2:18" s="47" customFormat="1" ht="16.5" hidden="1" thickBot="1">
      <c r="B415" s="692"/>
      <c r="C415" s="692"/>
      <c r="D415" s="729" t="s">
        <v>499</v>
      </c>
      <c r="E415" s="730">
        <f>E413-G413</f>
        <v>21680.78550828778</v>
      </c>
      <c r="F415" s="858"/>
      <c r="G415" s="730">
        <f>G413-I413</f>
        <v>53636.59181302</v>
      </c>
      <c r="H415" s="858"/>
      <c r="I415" s="730">
        <f>I413-K413</f>
        <v>17206.972625625145</v>
      </c>
      <c r="J415" s="858"/>
      <c r="K415" s="730">
        <f>K413-M413</f>
        <v>31955.806304732338</v>
      </c>
      <c r="L415" s="858"/>
      <c r="M415" s="730">
        <f>M413-O413</f>
        <v>46704.63998383959</v>
      </c>
      <c r="N415" s="858"/>
      <c r="O415" s="730">
        <f>O413-Q413</f>
        <v>19665.11157214301</v>
      </c>
      <c r="P415" s="858"/>
      <c r="Q415" s="730"/>
      <c r="R415" s="858"/>
    </row>
    <row r="416" spans="2:18" ht="16.5" hidden="1" thickBot="1">
      <c r="B416" s="692"/>
      <c r="C416" s="692"/>
      <c r="D416" s="729" t="s">
        <v>492</v>
      </c>
      <c r="E416" s="733">
        <f>E415/G413</f>
        <v>0.0522449946688784</v>
      </c>
      <c r="F416" s="858"/>
      <c r="G416" s="733">
        <f>G415/I413</f>
        <v>0.1484353741496598</v>
      </c>
      <c r="H416" s="858"/>
      <c r="I416" s="733">
        <f>I415/K413</f>
        <v>0.050000000000000065</v>
      </c>
      <c r="J416" s="858"/>
      <c r="K416" s="733">
        <f>K415/M413</f>
        <v>0.10236220472440934</v>
      </c>
      <c r="L416" s="858"/>
      <c r="M416" s="733">
        <f>M415/O413</f>
        <v>0.1759259259259258</v>
      </c>
      <c r="N416" s="858"/>
      <c r="O416" s="733">
        <f>O415/Q413</f>
        <v>0.08000000000000004</v>
      </c>
      <c r="P416" s="858"/>
      <c r="Q416" s="733"/>
      <c r="R416" s="858"/>
    </row>
    <row r="417" spans="2:18" ht="15.75" hidden="1" thickBot="1">
      <c r="B417" s="692"/>
      <c r="C417" s="692"/>
      <c r="D417" s="692"/>
      <c r="E417" s="692"/>
      <c r="F417" s="858"/>
      <c r="G417" s="692"/>
      <c r="H417" s="858"/>
      <c r="I417" s="692"/>
      <c r="J417" s="858"/>
      <c r="K417" s="692"/>
      <c r="L417" s="858"/>
      <c r="M417" s="692"/>
      <c r="N417" s="858"/>
      <c r="O417" s="692"/>
      <c r="P417" s="858"/>
      <c r="Q417" s="692"/>
      <c r="R417" s="858"/>
    </row>
    <row r="418" spans="2:18" ht="16.5" hidden="1" thickBot="1">
      <c r="B418" s="692"/>
      <c r="C418" s="692"/>
      <c r="D418" s="734" t="s">
        <v>500</v>
      </c>
      <c r="E418" s="735">
        <f>E413-$Q413</f>
        <v>190849.90780764786</v>
      </c>
      <c r="F418" s="858"/>
      <c r="G418" s="735">
        <f>G413-$Q413</f>
        <v>169169.12229936008</v>
      </c>
      <c r="H418" s="858"/>
      <c r="I418" s="735">
        <f>I413-$Q413</f>
        <v>115532.53048634008</v>
      </c>
      <c r="J418" s="858"/>
      <c r="K418" s="735">
        <f>K413-$Q413</f>
        <v>98325.55786071494</v>
      </c>
      <c r="L418" s="858"/>
      <c r="M418" s="735">
        <f>M413-$Q413</f>
        <v>66369.7515559826</v>
      </c>
      <c r="N418" s="858"/>
      <c r="O418" s="735">
        <f>O413-$Q413</f>
        <v>19665.11157214301</v>
      </c>
      <c r="P418" s="858"/>
      <c r="Q418" s="735"/>
      <c r="R418" s="858"/>
    </row>
    <row r="419" spans="2:18" ht="16.5" hidden="1" thickBot="1">
      <c r="B419" s="764"/>
      <c r="C419" s="692"/>
      <c r="D419" s="734" t="s">
        <v>503</v>
      </c>
      <c r="E419" s="736">
        <f>E418/$Q413</f>
        <v>0.7764000000000002</v>
      </c>
      <c r="F419" s="858"/>
      <c r="G419" s="736">
        <f>G418/$Q413</f>
        <v>0.6881999999999997</v>
      </c>
      <c r="H419" s="858"/>
      <c r="I419" s="736">
        <f>I418/$Q413</f>
        <v>0.4699999999999998</v>
      </c>
      <c r="J419" s="858"/>
      <c r="K419" s="736">
        <f>K418/$Q413</f>
        <v>0.39999999999999974</v>
      </c>
      <c r="L419" s="858"/>
      <c r="M419" s="736">
        <f>M418/$Q413</f>
        <v>0.2699999999999999</v>
      </c>
      <c r="N419" s="858"/>
      <c r="O419" s="736">
        <f>O418/$Q413</f>
        <v>0.08000000000000004</v>
      </c>
      <c r="P419" s="858"/>
      <c r="Q419" s="736"/>
      <c r="R419" s="858"/>
    </row>
    <row r="420" spans="2:18" ht="16.5" hidden="1" thickBot="1">
      <c r="B420" s="692"/>
      <c r="C420" s="692"/>
      <c r="D420" s="738"/>
      <c r="E420" s="737"/>
      <c r="F420" s="858"/>
      <c r="G420" s="737"/>
      <c r="H420" s="858"/>
      <c r="I420" s="737"/>
      <c r="J420" s="858"/>
      <c r="K420" s="737"/>
      <c r="L420" s="858"/>
      <c r="M420" s="737"/>
      <c r="N420" s="858"/>
      <c r="O420" s="737"/>
      <c r="P420" s="858"/>
      <c r="Q420" s="737"/>
      <c r="R420" s="858"/>
    </row>
    <row r="421" spans="2:18" ht="16.5" hidden="1" thickBot="1">
      <c r="B421" s="692"/>
      <c r="C421" s="692"/>
      <c r="D421" s="734"/>
      <c r="E421" s="735"/>
      <c r="F421" s="731"/>
      <c r="G421" s="735"/>
      <c r="H421" s="731"/>
      <c r="I421" s="735"/>
      <c r="J421" s="731"/>
      <c r="K421" s="735"/>
      <c r="L421" s="731"/>
      <c r="M421" s="735"/>
      <c r="N421" s="731"/>
      <c r="O421" s="735"/>
      <c r="P421" s="731"/>
      <c r="Q421" s="735"/>
      <c r="R421" s="731"/>
    </row>
    <row r="422" spans="2:18" ht="16.5" hidden="1" thickBot="1">
      <c r="B422" s="692"/>
      <c r="C422" s="692"/>
      <c r="D422" s="734"/>
      <c r="E422" s="739"/>
      <c r="F422" s="731"/>
      <c r="G422" s="739"/>
      <c r="H422" s="731"/>
      <c r="I422" s="739"/>
      <c r="J422" s="731"/>
      <c r="K422" s="739"/>
      <c r="L422" s="731"/>
      <c r="M422" s="739"/>
      <c r="N422" s="731"/>
      <c r="O422" s="739"/>
      <c r="P422" s="731"/>
      <c r="Q422" s="739"/>
      <c r="R422" s="731"/>
    </row>
    <row r="423" spans="2:18" ht="16.5" hidden="1" thickBot="1">
      <c r="B423" s="692"/>
      <c r="C423" s="692"/>
      <c r="D423" s="738"/>
      <c r="E423" s="737"/>
      <c r="F423" s="731"/>
      <c r="G423" s="737"/>
      <c r="H423" s="731"/>
      <c r="I423" s="737"/>
      <c r="J423" s="731"/>
      <c r="K423" s="737"/>
      <c r="L423" s="731"/>
      <c r="M423" s="737"/>
      <c r="N423" s="731"/>
      <c r="O423" s="737"/>
      <c r="P423" s="731"/>
      <c r="Q423" s="737"/>
      <c r="R423" s="731"/>
    </row>
    <row r="424" spans="2:18" ht="21" hidden="1" thickBot="1">
      <c r="B424" s="685"/>
      <c r="C424" s="685"/>
      <c r="D424" s="742" t="s">
        <v>479</v>
      </c>
      <c r="E424" s="742"/>
      <c r="F424" s="744"/>
      <c r="G424" s="742"/>
      <c r="H424" s="744"/>
      <c r="I424" s="742"/>
      <c r="J424" s="744"/>
      <c r="K424" s="742"/>
      <c r="L424" s="744"/>
      <c r="M424" s="742"/>
      <c r="N424" s="744"/>
      <c r="O424" s="742"/>
      <c r="P424" s="744"/>
      <c r="Q424" s="742"/>
      <c r="R424" s="744"/>
    </row>
    <row r="425" spans="2:18" ht="15.75" hidden="1" thickBot="1">
      <c r="B425" s="685"/>
      <c r="C425" s="685"/>
      <c r="D425" s="745"/>
      <c r="E425" s="745"/>
      <c r="F425" s="706"/>
      <c r="G425" s="745"/>
      <c r="H425" s="706"/>
      <c r="I425" s="745"/>
      <c r="J425" s="706"/>
      <c r="K425" s="745"/>
      <c r="L425" s="706"/>
      <c r="M425" s="745"/>
      <c r="N425" s="706"/>
      <c r="O425" s="745"/>
      <c r="P425" s="706"/>
      <c r="Q425" s="745"/>
      <c r="R425" s="706"/>
    </row>
    <row r="426" spans="2:18" ht="16.5" hidden="1" thickBot="1">
      <c r="B426" s="685"/>
      <c r="C426" s="685"/>
      <c r="D426" s="746" t="s">
        <v>480</v>
      </c>
      <c r="E426" s="747">
        <f>E404*0.5</f>
        <v>230065.22785007133</v>
      </c>
      <c r="F426" s="748"/>
      <c r="G426" s="747">
        <f>G404*0.5</f>
        <v>218642.26393632643</v>
      </c>
      <c r="H426" s="748"/>
      <c r="I426" s="747">
        <f>I404*0.5</f>
        <v>190382.7318957469</v>
      </c>
      <c r="J426" s="748"/>
      <c r="K426" s="747">
        <f>K404*0.5</f>
        <v>181316.88751975892</v>
      </c>
      <c r="L426" s="748"/>
      <c r="M426" s="747">
        <f>M404*0.5</f>
        <v>164480.3193929242</v>
      </c>
      <c r="N426" s="748"/>
      <c r="O426" s="747">
        <f>O404*0.5</f>
        <v>139873.02751524263</v>
      </c>
      <c r="P426" s="748"/>
      <c r="Q426" s="747">
        <f>Q404*0.5</f>
        <v>129512.06251411354</v>
      </c>
      <c r="R426" s="748"/>
    </row>
    <row r="427" spans="2:18" ht="15.75" hidden="1" thickBot="1">
      <c r="B427" s="685"/>
      <c r="C427" s="685"/>
      <c r="D427" s="745"/>
      <c r="E427" s="685"/>
      <c r="F427" s="706"/>
      <c r="G427" s="685"/>
      <c r="H427" s="706"/>
      <c r="I427" s="685"/>
      <c r="J427" s="706"/>
      <c r="K427" s="685"/>
      <c r="L427" s="706"/>
      <c r="M427" s="685"/>
      <c r="N427" s="706"/>
      <c r="O427" s="685"/>
      <c r="P427" s="706"/>
      <c r="Q427" s="685"/>
      <c r="R427" s="706"/>
    </row>
    <row r="428" spans="2:18" ht="16.5" hidden="1" thickBot="1">
      <c r="B428" s="685"/>
      <c r="C428" s="685"/>
      <c r="D428" s="746" t="s">
        <v>22</v>
      </c>
      <c r="E428" s="685"/>
      <c r="F428" s="748"/>
      <c r="G428" s="685"/>
      <c r="H428" s="748"/>
      <c r="I428" s="685"/>
      <c r="J428" s="748"/>
      <c r="K428" s="685"/>
      <c r="L428" s="748"/>
      <c r="M428" s="685"/>
      <c r="N428" s="748"/>
      <c r="O428" s="685"/>
      <c r="P428" s="748"/>
      <c r="Q428" s="685"/>
      <c r="R428" s="748"/>
    </row>
    <row r="429" spans="2:18" ht="15.75" hidden="1" thickBot="1">
      <c r="B429" s="692">
        <v>703</v>
      </c>
      <c r="C429" s="711">
        <v>0.0025</v>
      </c>
      <c r="D429" s="712" t="s">
        <v>316</v>
      </c>
      <c r="E429" s="713">
        <f>E426*0.0025</f>
        <v>575.1630696251783</v>
      </c>
      <c r="F429" s="714"/>
      <c r="G429" s="713">
        <f>G426*0.0025</f>
        <v>546.6056598408161</v>
      </c>
      <c r="H429" s="714"/>
      <c r="I429" s="713">
        <f>I426*0.0025</f>
        <v>475.95682973936727</v>
      </c>
      <c r="J429" s="714"/>
      <c r="K429" s="713">
        <f>K426*0.0025</f>
        <v>453.2922187993973</v>
      </c>
      <c r="L429" s="714"/>
      <c r="M429" s="713">
        <f>M426*0.0025</f>
        <v>411.2007984823105</v>
      </c>
      <c r="N429" s="714"/>
      <c r="O429" s="713">
        <f>O426*0.0025</f>
        <v>349.6825687881066</v>
      </c>
      <c r="P429" s="714"/>
      <c r="Q429" s="713">
        <f>Q426*0.0025</f>
        <v>323.78015628528385</v>
      </c>
      <c r="R429" s="714"/>
    </row>
    <row r="430" spans="2:18" ht="15.75" hidden="1" thickBot="1">
      <c r="B430" s="685">
        <v>707</v>
      </c>
      <c r="C430" s="715">
        <v>0.03</v>
      </c>
      <c r="D430" s="692" t="s">
        <v>17</v>
      </c>
      <c r="E430" s="713">
        <f>E426*0.03</f>
        <v>6901.956835502139</v>
      </c>
      <c r="F430" s="688"/>
      <c r="G430" s="713">
        <f>G426*0.03</f>
        <v>6559.267918089793</v>
      </c>
      <c r="H430" s="688"/>
      <c r="I430" s="713">
        <f>I426*0.03</f>
        <v>5711.481956872407</v>
      </c>
      <c r="J430" s="688"/>
      <c r="K430" s="713">
        <f>K426*0.03</f>
        <v>5439.506625592768</v>
      </c>
      <c r="L430" s="688"/>
      <c r="M430" s="713">
        <f>M426*0.03</f>
        <v>4934.409581787726</v>
      </c>
      <c r="N430" s="688"/>
      <c r="O430" s="713">
        <f>O426*0.03</f>
        <v>4196.190825457279</v>
      </c>
      <c r="P430" s="688"/>
      <c r="Q430" s="713">
        <f>Q426*0.03</f>
        <v>3885.361875423406</v>
      </c>
      <c r="R430" s="688"/>
    </row>
    <row r="431" spans="2:18" ht="16.5" hidden="1" thickBot="1">
      <c r="B431" s="685">
        <v>709</v>
      </c>
      <c r="C431" s="716">
        <f>C385</f>
        <v>0.0015</v>
      </c>
      <c r="D431" s="692" t="s">
        <v>18</v>
      </c>
      <c r="E431" s="713">
        <f>E426*0.0015</f>
        <v>345.097841775107</v>
      </c>
      <c r="F431" s="688"/>
      <c r="G431" s="713">
        <f>G426*0.0015</f>
        <v>327.96339590448963</v>
      </c>
      <c r="H431" s="688"/>
      <c r="I431" s="713">
        <f>I426*0.0015</f>
        <v>285.57409784362034</v>
      </c>
      <c r="J431" s="688"/>
      <c r="K431" s="713">
        <f>K426*0.0015</f>
        <v>271.9753312796384</v>
      </c>
      <c r="L431" s="688"/>
      <c r="M431" s="713">
        <f>M426*0.0015</f>
        <v>246.7204790893863</v>
      </c>
      <c r="N431" s="688"/>
      <c r="O431" s="713">
        <f>O426*0.0015</f>
        <v>209.80954127286395</v>
      </c>
      <c r="P431" s="688"/>
      <c r="Q431" s="713">
        <f>Q426*0.0015</f>
        <v>194.2680937711703</v>
      </c>
      <c r="R431" s="688"/>
    </row>
    <row r="432" spans="2:18" ht="15.75" hidden="1" thickBot="1">
      <c r="B432" s="685">
        <v>713</v>
      </c>
      <c r="C432" s="717">
        <v>0.007</v>
      </c>
      <c r="D432" s="692" t="s">
        <v>20</v>
      </c>
      <c r="E432" s="713">
        <f>E426*0.007</f>
        <v>1610.4565949504993</v>
      </c>
      <c r="F432" s="688"/>
      <c r="G432" s="713">
        <f>G426*0.007</f>
        <v>1530.495847554285</v>
      </c>
      <c r="H432" s="688"/>
      <c r="I432" s="713">
        <f>I426*0.007</f>
        <v>1332.6791232702283</v>
      </c>
      <c r="J432" s="688"/>
      <c r="K432" s="713">
        <f>K426*0.007</f>
        <v>1269.2182126383125</v>
      </c>
      <c r="L432" s="688"/>
      <c r="M432" s="713">
        <f>M426*0.007</f>
        <v>1151.3622357504694</v>
      </c>
      <c r="N432" s="688"/>
      <c r="O432" s="713">
        <f>O426*0.007</f>
        <v>979.1111926066984</v>
      </c>
      <c r="P432" s="688"/>
      <c r="Q432" s="713">
        <f>Q426*0.007</f>
        <v>906.5844375987948</v>
      </c>
      <c r="R432" s="688"/>
    </row>
    <row r="433" spans="2:18" ht="15.75" hidden="1" thickBot="1">
      <c r="B433" s="685">
        <v>787</v>
      </c>
      <c r="C433" s="715">
        <v>0.01</v>
      </c>
      <c r="D433" s="692" t="s">
        <v>387</v>
      </c>
      <c r="E433" s="713">
        <f>E426*0.01</f>
        <v>2300.6522785007132</v>
      </c>
      <c r="F433" s="688"/>
      <c r="G433" s="713">
        <f>G426*0.01</f>
        <v>2186.4226393632644</v>
      </c>
      <c r="H433" s="688"/>
      <c r="I433" s="713">
        <f>I426*0.01</f>
        <v>1903.827318957469</v>
      </c>
      <c r="J433" s="688"/>
      <c r="K433" s="713">
        <f>K426*0.01</f>
        <v>1813.1688751975892</v>
      </c>
      <c r="L433" s="688"/>
      <c r="M433" s="713">
        <f>M426*0.01</f>
        <v>1644.803193929242</v>
      </c>
      <c r="N433" s="688"/>
      <c r="O433" s="713">
        <f>O426*0.01</f>
        <v>1398.7302751524264</v>
      </c>
      <c r="P433" s="688"/>
      <c r="Q433" s="713">
        <f>Q426*0.01</f>
        <v>1295.1206251411354</v>
      </c>
      <c r="R433" s="688"/>
    </row>
    <row r="434" spans="2:18" ht="16.5" hidden="1" thickBot="1">
      <c r="B434" s="685"/>
      <c r="C434" s="685"/>
      <c r="D434" s="719" t="s">
        <v>481</v>
      </c>
      <c r="E434" s="708">
        <f>SUM(E429:E433)</f>
        <v>11733.326620353637</v>
      </c>
      <c r="F434" s="710"/>
      <c r="G434" s="708">
        <f>SUM(G429:G433)</f>
        <v>11150.755460752647</v>
      </c>
      <c r="H434" s="710"/>
      <c r="I434" s="708">
        <f>SUM(I429:I433)</f>
        <v>9709.519326683092</v>
      </c>
      <c r="J434" s="710"/>
      <c r="K434" s="708">
        <f>SUM(K429:K433)</f>
        <v>9247.161263507705</v>
      </c>
      <c r="L434" s="710"/>
      <c r="M434" s="708">
        <f>SUM(M429:M433)</f>
        <v>8388.496289039134</v>
      </c>
      <c r="N434" s="710"/>
      <c r="O434" s="708">
        <f>SUM(O429:O433)</f>
        <v>7133.524403277374</v>
      </c>
      <c r="P434" s="710"/>
      <c r="Q434" s="708">
        <f>SUM(Q429:Q433)</f>
        <v>6605.11518821979</v>
      </c>
      <c r="R434" s="710"/>
    </row>
    <row r="435" spans="2:18" ht="16.5" hidden="1" thickBot="1">
      <c r="B435" s="685"/>
      <c r="C435" s="685"/>
      <c r="D435" s="692"/>
      <c r="E435" s="721"/>
      <c r="F435" s="688"/>
      <c r="G435" s="721"/>
      <c r="H435" s="688"/>
      <c r="I435" s="721"/>
      <c r="J435" s="688"/>
      <c r="K435" s="721"/>
      <c r="L435" s="688"/>
      <c r="M435" s="721"/>
      <c r="N435" s="688"/>
      <c r="O435" s="721"/>
      <c r="P435" s="688"/>
      <c r="Q435" s="721"/>
      <c r="R435" s="688"/>
    </row>
    <row r="436" spans="2:18" ht="21" hidden="1" thickBot="1">
      <c r="B436" s="685"/>
      <c r="C436" s="685"/>
      <c r="D436" s="723" t="s">
        <v>23</v>
      </c>
      <c r="E436" s="749">
        <f>E426-E434</f>
        <v>218331.90122971768</v>
      </c>
      <c r="F436" s="724"/>
      <c r="G436" s="749">
        <f>G426-G434</f>
        <v>207491.5084755738</v>
      </c>
      <c r="H436" s="724"/>
      <c r="I436" s="749">
        <f>I426-I434</f>
        <v>180673.2125690638</v>
      </c>
      <c r="J436" s="724"/>
      <c r="K436" s="749">
        <f>K426-K434</f>
        <v>172069.72625625122</v>
      </c>
      <c r="L436" s="724"/>
      <c r="M436" s="749">
        <f>M426-M434</f>
        <v>156091.82310388505</v>
      </c>
      <c r="N436" s="724"/>
      <c r="O436" s="749">
        <f>O426-O434</f>
        <v>132739.50311196526</v>
      </c>
      <c r="P436" s="724"/>
      <c r="Q436" s="749">
        <f>Q426-Q434</f>
        <v>122906.94732589375</v>
      </c>
      <c r="R436" s="724"/>
    </row>
    <row r="437" spans="6:18" ht="12.75" hidden="1">
      <c r="F437" s="337"/>
      <c r="H437" s="337"/>
      <c r="J437" s="337"/>
      <c r="L437" s="337"/>
      <c r="N437" s="337"/>
      <c r="P437" s="337"/>
      <c r="R437" s="337"/>
    </row>
    <row r="438" spans="2:18" ht="21" hidden="1" thickBot="1">
      <c r="B438" s="684" t="s">
        <v>359</v>
      </c>
      <c r="D438" s="551"/>
      <c r="E438" s="924" t="str">
        <f>"AGO 23 "&amp;((aumento6-1)*100)&amp;"%"</f>
        <v>AGO 23 77,64%</v>
      </c>
      <c r="F438" s="618"/>
      <c r="G438" s="925" t="str">
        <f>"JUL 23 "&amp;((aumento5-1)*100)&amp;"%"</f>
        <v>JUL 23 68,82%</v>
      </c>
      <c r="H438" s="618"/>
      <c r="I438" s="925" t="str">
        <f>"JUN 23 "&amp;((Aumento4-1)*100)&amp;"%"</f>
        <v>JUN 23 47%</v>
      </c>
      <c r="J438" s="618"/>
      <c r="K438" s="925" t="str">
        <f>"MAY 23 "&amp;((Aumento3-1)*100)&amp;"%"</f>
        <v>MAY 23 40%</v>
      </c>
      <c r="L438" s="618"/>
      <c r="M438" s="925" t="str">
        <f>"MAR 23 "&amp;((Aumento2-1)*100)&amp;"%"</f>
        <v>MAR 23 27%</v>
      </c>
      <c r="N438" s="659"/>
      <c r="O438" s="926" t="str">
        <f>"FEB 23 "&amp;((aumento1-1)*100)&amp;"%"</f>
        <v>FEB 23 8,00000000000001%</v>
      </c>
      <c r="P438" s="659"/>
      <c r="Q438" s="636">
        <v>44927</v>
      </c>
      <c r="R438" s="659"/>
    </row>
    <row r="439" spans="2:18" ht="16.5" thickTop="1">
      <c r="B439" s="332" t="s">
        <v>6</v>
      </c>
      <c r="C439" s="333"/>
      <c r="D439" s="547"/>
      <c r="E439" s="471"/>
      <c r="F439" s="471"/>
      <c r="G439" s="471"/>
      <c r="H439" s="471"/>
      <c r="I439" s="471"/>
      <c r="J439" s="471"/>
      <c r="K439" s="471"/>
      <c r="L439" s="471"/>
      <c r="M439" s="471"/>
      <c r="N439" s="471"/>
      <c r="O439" s="471"/>
      <c r="P439" s="471"/>
      <c r="Q439" s="471"/>
      <c r="R439" s="471"/>
    </row>
    <row r="440" spans="2:18" ht="15.75">
      <c r="B440" s="334" t="s">
        <v>7</v>
      </c>
      <c r="C440" s="335"/>
      <c r="D440" s="548"/>
      <c r="E440" s="471"/>
      <c r="F440" s="471"/>
      <c r="G440" s="471"/>
      <c r="H440" s="471"/>
      <c r="I440" s="471"/>
      <c r="J440" s="471"/>
      <c r="K440" s="471"/>
      <c r="L440" s="471"/>
      <c r="M440" s="471"/>
      <c r="N440" s="471"/>
      <c r="O440" s="471"/>
      <c r="P440" s="471"/>
      <c r="Q440" s="471"/>
      <c r="R440" s="471"/>
    </row>
    <row r="441" spans="2:18" ht="15.75">
      <c r="B441" s="334" t="s">
        <v>504</v>
      </c>
      <c r="C441" s="335"/>
      <c r="D441" s="548"/>
      <c r="E441" s="471"/>
      <c r="F441" s="471"/>
      <c r="G441" s="471"/>
      <c r="H441" s="471"/>
      <c r="I441" s="471"/>
      <c r="J441" s="471"/>
      <c r="K441" s="471"/>
      <c r="L441" s="471"/>
      <c r="M441" s="471"/>
      <c r="N441" s="471"/>
      <c r="O441" s="471"/>
      <c r="P441" s="471"/>
      <c r="Q441" s="471"/>
      <c r="R441" s="471"/>
    </row>
    <row r="442" spans="2:18" ht="15.75">
      <c r="B442" s="336" t="s">
        <v>326</v>
      </c>
      <c r="C442" s="335"/>
      <c r="D442" s="548"/>
      <c r="E442" s="471"/>
      <c r="F442" s="471"/>
      <c r="G442" s="471"/>
      <c r="H442" s="471"/>
      <c r="I442" s="471"/>
      <c r="J442" s="471"/>
      <c r="K442" s="471"/>
      <c r="L442" s="471"/>
      <c r="M442" s="471"/>
      <c r="N442" s="471"/>
      <c r="O442" s="471"/>
      <c r="P442" s="471"/>
      <c r="Q442" s="471"/>
      <c r="R442" s="471"/>
    </row>
    <row r="443" spans="2:18" ht="15.75" thickBot="1">
      <c r="B443" s="331"/>
      <c r="C443" s="250"/>
      <c r="D443" s="549"/>
      <c r="E443" s="472"/>
      <c r="F443" s="472"/>
      <c r="G443" s="472"/>
      <c r="H443" s="472"/>
      <c r="I443" s="472"/>
      <c r="J443" s="472"/>
      <c r="K443" s="472"/>
      <c r="L443" s="472"/>
      <c r="M443" s="472"/>
      <c r="N443" s="472"/>
      <c r="O443" s="472"/>
      <c r="P443" s="472"/>
      <c r="Q443" s="472"/>
      <c r="R443" s="472"/>
    </row>
    <row r="444" spans="2:4" ht="13.5" thickTop="1">
      <c r="B444" s="47"/>
      <c r="C444" s="47"/>
      <c r="D444" s="499"/>
    </row>
    <row r="445" spans="2:4" ht="12.75">
      <c r="B445" s="47"/>
      <c r="C445" s="47"/>
      <c r="D445" s="499"/>
    </row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F459" s="229"/>
    </row>
    <row r="645" ht="12.75"/>
    <row r="646" ht="12.75"/>
  </sheetData>
  <sheetProtection password="DFB3" sheet="1" selectLockedCells="1"/>
  <hyperlinks>
    <hyperlink ref="D21" location="cargosingreso" display="cargos de ingreso"/>
    <hyperlink ref="D22" location="horasmedia" display="horas nivel medio"/>
    <hyperlink ref="D23" location="horassuperior" display="horas nivel superior"/>
    <hyperlink ref="D24" location="Cargos!A1" display="Cargos"/>
    <hyperlink ref="B442" r:id="rId1" display="www.agmeruruguay.com.ar"/>
    <hyperlink ref="B441" r:id="rId2" display="huttvictor@gmail.com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338"/>
  <sheetViews>
    <sheetView zoomScalePageLayoutView="0" workbookViewId="0" topLeftCell="A1">
      <pane xSplit="1" ySplit="2" topLeftCell="B1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2" max="2" width="64.57421875" style="0" bestFit="1" customWidth="1"/>
    <col min="4" max="4" width="15.8515625" style="0" hidden="1" customWidth="1"/>
    <col min="5" max="5" width="19.57421875" style="0" hidden="1" customWidth="1"/>
    <col min="6" max="6" width="22.7109375" style="348" hidden="1" customWidth="1"/>
    <col min="7" max="8" width="21.140625" style="348" hidden="1" customWidth="1"/>
    <col min="9" max="9" width="12.00390625" style="0" hidden="1" customWidth="1"/>
    <col min="10" max="10" width="12.00390625" style="0" customWidth="1"/>
    <col min="11" max="11" width="21.57421875" style="354" hidden="1" customWidth="1"/>
    <col min="12" max="12" width="0" style="0" hidden="1" customWidth="1"/>
    <col min="13" max="13" width="11.140625" style="354" hidden="1" customWidth="1"/>
    <col min="14" max="15" width="11.8515625" style="354" customWidth="1"/>
    <col min="16" max="16" width="11.421875" style="0" customWidth="1"/>
    <col min="22" max="22" width="12.28125" style="0" bestFit="1" customWidth="1"/>
  </cols>
  <sheetData>
    <row r="1" spans="1:20" ht="13.5" thickBot="1">
      <c r="A1" s="18"/>
      <c r="B1" s="356" t="s">
        <v>405</v>
      </c>
      <c r="C1" s="19"/>
      <c r="D1" s="341"/>
      <c r="E1" s="346" t="s">
        <v>393</v>
      </c>
      <c r="F1" s="346"/>
      <c r="G1" s="346"/>
      <c r="H1" s="346"/>
      <c r="I1" s="346"/>
      <c r="J1" s="346"/>
      <c r="K1" s="349"/>
      <c r="L1" s="349"/>
      <c r="M1" s="349"/>
      <c r="N1" s="349"/>
      <c r="O1" s="349"/>
      <c r="P1" s="346"/>
      <c r="Q1" s="20" t="s">
        <v>27</v>
      </c>
      <c r="R1" s="21" t="s">
        <v>28</v>
      </c>
      <c r="S1" s="21" t="s">
        <v>29</v>
      </c>
      <c r="T1" s="357" t="s">
        <v>394</v>
      </c>
    </row>
    <row r="2" spans="1:20" ht="12.75">
      <c r="A2" s="22" t="s">
        <v>30</v>
      </c>
      <c r="B2" s="23" t="s">
        <v>31</v>
      </c>
      <c r="C2" s="22" t="s">
        <v>32</v>
      </c>
      <c r="D2" s="154" t="s">
        <v>395</v>
      </c>
      <c r="E2" s="154" t="s">
        <v>346</v>
      </c>
      <c r="F2" s="347" t="s">
        <v>388</v>
      </c>
      <c r="G2" s="347" t="s">
        <v>404</v>
      </c>
      <c r="H2" s="347" t="s">
        <v>449</v>
      </c>
      <c r="I2" s="154" t="s">
        <v>396</v>
      </c>
      <c r="J2" s="450" t="s">
        <v>473</v>
      </c>
      <c r="K2" s="350" t="s">
        <v>397</v>
      </c>
      <c r="L2" s="350" t="s">
        <v>406</v>
      </c>
      <c r="M2" s="350" t="s">
        <v>402</v>
      </c>
      <c r="N2" s="350" t="s">
        <v>471</v>
      </c>
      <c r="O2" s="813" t="s">
        <v>512</v>
      </c>
      <c r="P2" s="154" t="s">
        <v>407</v>
      </c>
      <c r="Q2" s="24" t="s">
        <v>33</v>
      </c>
      <c r="R2" s="24" t="s">
        <v>34</v>
      </c>
      <c r="S2" s="24" t="s">
        <v>35</v>
      </c>
      <c r="T2" s="358" t="s">
        <v>398</v>
      </c>
    </row>
    <row r="3" spans="1:20" ht="12.75">
      <c r="A3" s="25">
        <v>461</v>
      </c>
      <c r="B3" s="26" t="s">
        <v>408</v>
      </c>
      <c r="C3" s="25">
        <v>2220</v>
      </c>
      <c r="D3" s="155"/>
      <c r="E3" s="155"/>
      <c r="F3" s="284"/>
      <c r="G3" s="284">
        <v>7</v>
      </c>
      <c r="H3" s="284">
        <v>7</v>
      </c>
      <c r="I3" s="382"/>
      <c r="J3" s="382">
        <v>7</v>
      </c>
      <c r="K3" s="351"/>
      <c r="L3" s="351"/>
      <c r="M3" s="351">
        <v>521.4</v>
      </c>
      <c r="N3" s="449">
        <f>M3</f>
        <v>521.4</v>
      </c>
      <c r="O3" s="804">
        <f aca="true" t="shared" si="0" ref="O3:O66">N3</f>
        <v>521.4</v>
      </c>
      <c r="P3" s="359">
        <f aca="true" t="shared" si="1" ref="P3:P66">C3+G3+M3</f>
        <v>2748.4</v>
      </c>
      <c r="Q3" s="27">
        <v>0</v>
      </c>
      <c r="R3" s="25">
        <v>0</v>
      </c>
      <c r="S3" s="25">
        <v>0</v>
      </c>
      <c r="T3" s="360"/>
    </row>
    <row r="4" spans="1:20" ht="12.75">
      <c r="A4" s="25">
        <v>462</v>
      </c>
      <c r="B4" s="26" t="s">
        <v>408</v>
      </c>
      <c r="C4" s="25">
        <v>2220</v>
      </c>
      <c r="D4" s="155"/>
      <c r="E4" s="155"/>
      <c r="F4" s="284"/>
      <c r="G4" s="284">
        <v>7</v>
      </c>
      <c r="H4" s="284">
        <v>7</v>
      </c>
      <c r="I4" s="382"/>
      <c r="J4" s="382">
        <v>7</v>
      </c>
      <c r="K4" s="351"/>
      <c r="L4" s="351"/>
      <c r="M4" s="351">
        <v>521.4</v>
      </c>
      <c r="N4" s="449">
        <f aca="true" t="shared" si="2" ref="N4:O67">M4</f>
        <v>521.4</v>
      </c>
      <c r="O4" s="804">
        <f t="shared" si="0"/>
        <v>521.4</v>
      </c>
      <c r="P4" s="359">
        <f t="shared" si="1"/>
        <v>2748.4</v>
      </c>
      <c r="Q4" s="27">
        <v>0</v>
      </c>
      <c r="R4" s="25">
        <v>0</v>
      </c>
      <c r="S4" s="25">
        <v>0</v>
      </c>
      <c r="T4" s="360"/>
    </row>
    <row r="5" spans="1:20" ht="12.75">
      <c r="A5" s="25">
        <v>470</v>
      </c>
      <c r="B5" s="26" t="s">
        <v>409</v>
      </c>
      <c r="C5" s="25">
        <v>1580</v>
      </c>
      <c r="D5" s="155"/>
      <c r="E5" s="155"/>
      <c r="F5" s="284"/>
      <c r="G5" s="284">
        <v>90</v>
      </c>
      <c r="H5" s="284">
        <v>90</v>
      </c>
      <c r="I5" s="382"/>
      <c r="J5" s="382">
        <v>90</v>
      </c>
      <c r="K5" s="351"/>
      <c r="L5" s="351"/>
      <c r="M5" s="351">
        <v>347.6</v>
      </c>
      <c r="N5" s="449">
        <f t="shared" si="2"/>
        <v>347.6</v>
      </c>
      <c r="O5" s="804">
        <f t="shared" si="0"/>
        <v>347.6</v>
      </c>
      <c r="P5" s="359">
        <f t="shared" si="1"/>
        <v>2017.6</v>
      </c>
      <c r="Q5" s="27">
        <v>0</v>
      </c>
      <c r="R5" s="25">
        <v>0</v>
      </c>
      <c r="S5" s="25">
        <v>0</v>
      </c>
      <c r="T5" s="360"/>
    </row>
    <row r="6" spans="1:20" ht="12.75">
      <c r="A6" s="25">
        <v>600</v>
      </c>
      <c r="B6" s="26" t="s">
        <v>36</v>
      </c>
      <c r="C6" s="25">
        <v>1300</v>
      </c>
      <c r="D6" s="155">
        <v>127</v>
      </c>
      <c r="E6" s="155">
        <v>127</v>
      </c>
      <c r="F6" s="284">
        <v>127</v>
      </c>
      <c r="G6" s="284">
        <v>127</v>
      </c>
      <c r="H6" s="284">
        <v>127</v>
      </c>
      <c r="I6" s="382">
        <f aca="true" t="shared" si="3" ref="I6:I69">A6</f>
        <v>600</v>
      </c>
      <c r="J6" s="382">
        <v>127</v>
      </c>
      <c r="K6" s="351">
        <v>0</v>
      </c>
      <c r="L6" s="351">
        <v>0</v>
      </c>
      <c r="M6" s="351">
        <v>0</v>
      </c>
      <c r="N6" s="449">
        <f t="shared" si="2"/>
        <v>0</v>
      </c>
      <c r="O6" s="804">
        <f t="shared" si="0"/>
        <v>0</v>
      </c>
      <c r="P6" s="359">
        <f t="shared" si="1"/>
        <v>1427</v>
      </c>
      <c r="Q6" s="27">
        <v>0</v>
      </c>
      <c r="R6" s="25">
        <v>0</v>
      </c>
      <c r="S6" s="25">
        <v>0</v>
      </c>
      <c r="T6" s="360"/>
    </row>
    <row r="7" spans="1:20" ht="12.75">
      <c r="A7" s="25">
        <v>603</v>
      </c>
      <c r="B7" s="26" t="s">
        <v>37</v>
      </c>
      <c r="C7" s="25">
        <v>3146</v>
      </c>
      <c r="D7" s="155">
        <v>0</v>
      </c>
      <c r="E7" s="155">
        <v>0</v>
      </c>
      <c r="F7" s="284">
        <v>0</v>
      </c>
      <c r="G7" s="284">
        <v>0</v>
      </c>
      <c r="H7" s="284">
        <v>0</v>
      </c>
      <c r="I7" s="382">
        <f t="shared" si="3"/>
        <v>603</v>
      </c>
      <c r="J7" s="382">
        <v>0</v>
      </c>
      <c r="K7" s="351">
        <v>0</v>
      </c>
      <c r="L7" s="351">
        <v>0</v>
      </c>
      <c r="M7" s="351">
        <v>0</v>
      </c>
      <c r="N7" s="449">
        <f t="shared" si="2"/>
        <v>0</v>
      </c>
      <c r="O7" s="804">
        <f t="shared" si="0"/>
        <v>0</v>
      </c>
      <c r="P7" s="359">
        <f t="shared" si="1"/>
        <v>3146</v>
      </c>
      <c r="Q7" s="27">
        <v>0</v>
      </c>
      <c r="R7" s="25">
        <v>0</v>
      </c>
      <c r="S7" s="25">
        <v>0</v>
      </c>
      <c r="T7" s="360"/>
    </row>
    <row r="8" spans="1:20" ht="12.75">
      <c r="A8" s="25">
        <v>604</v>
      </c>
      <c r="B8" s="26" t="s">
        <v>370</v>
      </c>
      <c r="C8" s="25">
        <v>1610</v>
      </c>
      <c r="D8" s="155">
        <v>87</v>
      </c>
      <c r="E8" s="155">
        <v>87</v>
      </c>
      <c r="F8" s="284">
        <v>87</v>
      </c>
      <c r="G8" s="284">
        <v>87</v>
      </c>
      <c r="H8" s="284">
        <v>87</v>
      </c>
      <c r="I8" s="382">
        <f t="shared" si="3"/>
        <v>604</v>
      </c>
      <c r="J8" s="382">
        <v>87</v>
      </c>
      <c r="K8" s="351">
        <v>388.2</v>
      </c>
      <c r="L8" s="351">
        <v>388.2</v>
      </c>
      <c r="M8" s="351">
        <v>388.2</v>
      </c>
      <c r="N8" s="449">
        <f t="shared" si="2"/>
        <v>388.2</v>
      </c>
      <c r="O8" s="804">
        <f t="shared" si="0"/>
        <v>388.2</v>
      </c>
      <c r="P8" s="359">
        <f t="shared" si="1"/>
        <v>2085.2</v>
      </c>
      <c r="Q8" s="27">
        <v>0</v>
      </c>
      <c r="R8" s="25">
        <v>0</v>
      </c>
      <c r="S8" s="25">
        <v>0</v>
      </c>
      <c r="T8" s="360"/>
    </row>
    <row r="9" spans="1:22" ht="12.75">
      <c r="A9" s="25">
        <v>605</v>
      </c>
      <c r="B9" s="26" t="s">
        <v>38</v>
      </c>
      <c r="C9" s="25">
        <v>2913</v>
      </c>
      <c r="D9" s="155">
        <v>0</v>
      </c>
      <c r="E9" s="155">
        <v>0</v>
      </c>
      <c r="F9" s="284">
        <v>0</v>
      </c>
      <c r="G9" s="284">
        <v>0</v>
      </c>
      <c r="H9" s="284">
        <v>0</v>
      </c>
      <c r="I9" s="382">
        <f t="shared" si="3"/>
        <v>605</v>
      </c>
      <c r="J9" s="382">
        <v>0</v>
      </c>
      <c r="K9" s="351">
        <v>776</v>
      </c>
      <c r="L9" s="351">
        <v>776</v>
      </c>
      <c r="M9" s="351">
        <v>776</v>
      </c>
      <c r="N9" s="449">
        <f t="shared" si="2"/>
        <v>776</v>
      </c>
      <c r="O9" s="804">
        <f t="shared" si="0"/>
        <v>776</v>
      </c>
      <c r="P9" s="359">
        <f t="shared" si="1"/>
        <v>3689</v>
      </c>
      <c r="Q9" s="27">
        <v>0</v>
      </c>
      <c r="R9" s="25">
        <v>0</v>
      </c>
      <c r="S9" s="25">
        <v>0</v>
      </c>
      <c r="T9" s="360"/>
      <c r="V9">
        <v>233</v>
      </c>
    </row>
    <row r="10" spans="1:20" ht="12.75">
      <c r="A10" s="25">
        <v>606</v>
      </c>
      <c r="B10" s="26" t="s">
        <v>39</v>
      </c>
      <c r="C10" s="25">
        <v>2913</v>
      </c>
      <c r="D10" s="155">
        <v>0</v>
      </c>
      <c r="E10" s="155">
        <v>0</v>
      </c>
      <c r="F10" s="284">
        <v>0</v>
      </c>
      <c r="G10" s="284">
        <v>0</v>
      </c>
      <c r="H10" s="284">
        <v>0</v>
      </c>
      <c r="I10" s="382">
        <f t="shared" si="3"/>
        <v>606</v>
      </c>
      <c r="J10" s="382">
        <v>0</v>
      </c>
      <c r="K10" s="351">
        <v>0</v>
      </c>
      <c r="L10" s="351">
        <v>0</v>
      </c>
      <c r="M10" s="351">
        <v>0</v>
      </c>
      <c r="N10" s="449">
        <f t="shared" si="2"/>
        <v>0</v>
      </c>
      <c r="O10" s="804">
        <f t="shared" si="0"/>
        <v>0</v>
      </c>
      <c r="P10" s="359">
        <f t="shared" si="1"/>
        <v>2913</v>
      </c>
      <c r="Q10" s="27">
        <v>0</v>
      </c>
      <c r="R10" s="25">
        <v>0</v>
      </c>
      <c r="S10" s="25">
        <v>0</v>
      </c>
      <c r="T10" s="360"/>
    </row>
    <row r="11" spans="1:20" ht="12.75">
      <c r="A11" s="25">
        <v>608</v>
      </c>
      <c r="B11" s="26" t="s">
        <v>40</v>
      </c>
      <c r="C11" s="25">
        <v>2913</v>
      </c>
      <c r="D11" s="155">
        <v>0</v>
      </c>
      <c r="E11" s="155">
        <v>0</v>
      </c>
      <c r="F11" s="284">
        <v>0</v>
      </c>
      <c r="G11" s="284">
        <v>0</v>
      </c>
      <c r="H11" s="284">
        <v>0</v>
      </c>
      <c r="I11" s="382">
        <f t="shared" si="3"/>
        <v>608</v>
      </c>
      <c r="J11" s="382">
        <v>0</v>
      </c>
      <c r="K11" s="351">
        <v>0</v>
      </c>
      <c r="L11" s="351">
        <v>0</v>
      </c>
      <c r="M11" s="351">
        <v>0</v>
      </c>
      <c r="N11" s="449">
        <f t="shared" si="2"/>
        <v>0</v>
      </c>
      <c r="O11" s="804">
        <f t="shared" si="0"/>
        <v>0</v>
      </c>
      <c r="P11" s="359">
        <f t="shared" si="1"/>
        <v>2913</v>
      </c>
      <c r="Q11" s="27">
        <v>0</v>
      </c>
      <c r="R11" s="25">
        <v>0</v>
      </c>
      <c r="S11" s="25">
        <v>0</v>
      </c>
      <c r="T11" s="360"/>
    </row>
    <row r="12" spans="1:22" ht="12.75">
      <c r="A12" s="25">
        <v>609</v>
      </c>
      <c r="B12" s="26" t="s">
        <v>41</v>
      </c>
      <c r="C12" s="25">
        <v>2000</v>
      </c>
      <c r="D12" s="155">
        <v>36</v>
      </c>
      <c r="E12" s="155">
        <v>36</v>
      </c>
      <c r="F12" s="284">
        <v>36</v>
      </c>
      <c r="G12" s="284">
        <v>36</v>
      </c>
      <c r="H12" s="284">
        <v>36</v>
      </c>
      <c r="I12" s="382">
        <f t="shared" si="3"/>
        <v>609</v>
      </c>
      <c r="J12" s="382">
        <v>36</v>
      </c>
      <c r="K12" s="351">
        <v>647</v>
      </c>
      <c r="L12" s="351">
        <v>647</v>
      </c>
      <c r="M12" s="351">
        <v>647</v>
      </c>
      <c r="N12" s="449">
        <f t="shared" si="2"/>
        <v>647</v>
      </c>
      <c r="O12" s="804">
        <f t="shared" si="0"/>
        <v>647</v>
      </c>
      <c r="P12" s="359">
        <f t="shared" si="1"/>
        <v>2683</v>
      </c>
      <c r="Q12" s="27">
        <v>0</v>
      </c>
      <c r="R12" s="25">
        <v>0</v>
      </c>
      <c r="S12" s="25">
        <v>0</v>
      </c>
      <c r="T12" s="360"/>
      <c r="V12">
        <f>452.9*0.3</f>
        <v>135.86999999999998</v>
      </c>
    </row>
    <row r="13" spans="1:22" ht="12.75">
      <c r="A13" s="25">
        <v>611</v>
      </c>
      <c r="B13" s="26" t="s">
        <v>42</v>
      </c>
      <c r="C13" s="25">
        <v>1840</v>
      </c>
      <c r="D13" s="155">
        <v>57</v>
      </c>
      <c r="E13" s="155">
        <v>57</v>
      </c>
      <c r="F13" s="284">
        <v>57</v>
      </c>
      <c r="G13" s="284">
        <v>57</v>
      </c>
      <c r="H13" s="284">
        <v>57</v>
      </c>
      <c r="I13" s="382">
        <f t="shared" si="3"/>
        <v>611</v>
      </c>
      <c r="J13" s="382">
        <v>57</v>
      </c>
      <c r="K13" s="351">
        <v>582.3</v>
      </c>
      <c r="L13" s="351">
        <v>582.3</v>
      </c>
      <c r="M13" s="351">
        <v>582.3</v>
      </c>
      <c r="N13" s="449">
        <f t="shared" si="2"/>
        <v>582.3</v>
      </c>
      <c r="O13" s="804">
        <f t="shared" si="0"/>
        <v>582.3</v>
      </c>
      <c r="P13" s="359">
        <f t="shared" si="1"/>
        <v>2479.3</v>
      </c>
      <c r="Q13" s="27">
        <v>0</v>
      </c>
      <c r="R13" s="25">
        <v>0</v>
      </c>
      <c r="S13" s="25">
        <v>0</v>
      </c>
      <c r="T13" s="360"/>
      <c r="V13" s="353">
        <v>136</v>
      </c>
    </row>
    <row r="14" spans="1:20" ht="12.75">
      <c r="A14" s="25">
        <v>612</v>
      </c>
      <c r="B14" s="26" t="s">
        <v>43</v>
      </c>
      <c r="C14" s="25">
        <v>1690</v>
      </c>
      <c r="D14" s="155">
        <v>76</v>
      </c>
      <c r="E14" s="155">
        <v>76</v>
      </c>
      <c r="F14" s="284">
        <v>76</v>
      </c>
      <c r="G14" s="284">
        <v>76</v>
      </c>
      <c r="H14" s="284">
        <v>76</v>
      </c>
      <c r="I14" s="382">
        <f t="shared" si="3"/>
        <v>612</v>
      </c>
      <c r="J14" s="382">
        <v>76</v>
      </c>
      <c r="K14" s="351">
        <v>452.9</v>
      </c>
      <c r="L14" s="351">
        <v>452.9</v>
      </c>
      <c r="M14" s="351">
        <v>452.9</v>
      </c>
      <c r="N14" s="449">
        <f t="shared" si="2"/>
        <v>452.9</v>
      </c>
      <c r="O14" s="804">
        <f t="shared" si="0"/>
        <v>452.9</v>
      </c>
      <c r="P14" s="359">
        <f t="shared" si="1"/>
        <v>2218.9</v>
      </c>
      <c r="Q14" s="27">
        <v>0</v>
      </c>
      <c r="R14" s="25">
        <v>0</v>
      </c>
      <c r="S14" s="25">
        <v>0</v>
      </c>
      <c r="T14" s="360"/>
    </row>
    <row r="15" spans="1:20" ht="12.75">
      <c r="A15" s="25">
        <v>613</v>
      </c>
      <c r="B15" s="26" t="s">
        <v>44</v>
      </c>
      <c r="C15" s="25">
        <v>1680</v>
      </c>
      <c r="D15" s="155">
        <v>77</v>
      </c>
      <c r="E15" s="155">
        <v>77</v>
      </c>
      <c r="F15" s="284">
        <v>77</v>
      </c>
      <c r="G15" s="284">
        <v>77</v>
      </c>
      <c r="H15" s="284">
        <v>77</v>
      </c>
      <c r="I15" s="382">
        <f t="shared" si="3"/>
        <v>613</v>
      </c>
      <c r="J15" s="382">
        <v>77</v>
      </c>
      <c r="K15" s="351">
        <v>452.9</v>
      </c>
      <c r="L15" s="351">
        <v>452.9</v>
      </c>
      <c r="M15" s="351">
        <v>452.9</v>
      </c>
      <c r="N15" s="449">
        <f t="shared" si="2"/>
        <v>452.9</v>
      </c>
      <c r="O15" s="804">
        <f t="shared" si="0"/>
        <v>452.9</v>
      </c>
      <c r="P15" s="359">
        <f t="shared" si="1"/>
        <v>2209.9</v>
      </c>
      <c r="Q15" s="27">
        <v>0</v>
      </c>
      <c r="R15" s="25">
        <v>0</v>
      </c>
      <c r="S15" s="25">
        <v>0</v>
      </c>
      <c r="T15" s="360"/>
    </row>
    <row r="16" spans="1:25" ht="12.75">
      <c r="A16" s="25">
        <v>614</v>
      </c>
      <c r="B16" s="26" t="s">
        <v>45</v>
      </c>
      <c r="C16" s="25">
        <v>1740</v>
      </c>
      <c r="D16" s="155">
        <v>70</v>
      </c>
      <c r="E16" s="155">
        <v>70</v>
      </c>
      <c r="F16" s="284">
        <v>70</v>
      </c>
      <c r="G16" s="284">
        <v>70</v>
      </c>
      <c r="H16" s="284">
        <v>70</v>
      </c>
      <c r="I16" s="382">
        <f t="shared" si="3"/>
        <v>614</v>
      </c>
      <c r="J16" s="382">
        <v>70</v>
      </c>
      <c r="K16" s="351">
        <v>517.6</v>
      </c>
      <c r="L16" s="351">
        <v>517.6</v>
      </c>
      <c r="M16" s="351">
        <v>517.6</v>
      </c>
      <c r="N16" s="449">
        <f t="shared" si="2"/>
        <v>517.6</v>
      </c>
      <c r="O16" s="804">
        <f t="shared" si="0"/>
        <v>517.6</v>
      </c>
      <c r="P16" s="359">
        <f t="shared" si="1"/>
        <v>2327.6</v>
      </c>
      <c r="Q16" s="27">
        <v>0</v>
      </c>
      <c r="R16" s="25">
        <v>0</v>
      </c>
      <c r="S16" s="25">
        <v>0</v>
      </c>
      <c r="T16" s="360"/>
      <c r="V16" t="s">
        <v>410</v>
      </c>
      <c r="W16">
        <v>776</v>
      </c>
      <c r="X16">
        <f aca="true" t="shared" si="4" ref="X16:X25">0.3*W16</f>
        <v>232.79999999999998</v>
      </c>
      <c r="Y16">
        <v>233</v>
      </c>
    </row>
    <row r="17" spans="1:25" ht="12.75">
      <c r="A17" s="25">
        <v>615</v>
      </c>
      <c r="B17" s="26" t="s">
        <v>46</v>
      </c>
      <c r="C17" s="25">
        <v>1610</v>
      </c>
      <c r="D17" s="155">
        <v>87</v>
      </c>
      <c r="E17" s="155">
        <v>87</v>
      </c>
      <c r="F17" s="284">
        <v>87</v>
      </c>
      <c r="G17" s="284">
        <v>87</v>
      </c>
      <c r="H17" s="284">
        <v>87</v>
      </c>
      <c r="I17" s="382">
        <f t="shared" si="3"/>
        <v>615</v>
      </c>
      <c r="J17" s="382">
        <v>87</v>
      </c>
      <c r="K17" s="351">
        <v>388.2</v>
      </c>
      <c r="L17" s="351">
        <v>388.2</v>
      </c>
      <c r="M17" s="351">
        <v>388.2</v>
      </c>
      <c r="N17" s="449">
        <f t="shared" si="2"/>
        <v>388.2</v>
      </c>
      <c r="O17" s="804">
        <f t="shared" si="0"/>
        <v>388.2</v>
      </c>
      <c r="P17" s="359">
        <f t="shared" si="1"/>
        <v>2085.2</v>
      </c>
      <c r="Q17" s="27">
        <v>0</v>
      </c>
      <c r="R17" s="25">
        <v>0</v>
      </c>
      <c r="S17" s="25">
        <v>0</v>
      </c>
      <c r="T17" s="360"/>
      <c r="V17" t="s">
        <v>411</v>
      </c>
      <c r="W17">
        <v>647</v>
      </c>
      <c r="X17">
        <f t="shared" si="4"/>
        <v>194.1</v>
      </c>
      <c r="Y17">
        <v>194</v>
      </c>
    </row>
    <row r="18" spans="1:25" ht="12.75">
      <c r="A18" s="25">
        <v>616</v>
      </c>
      <c r="B18" s="26" t="s">
        <v>47</v>
      </c>
      <c r="C18" s="25">
        <v>1740</v>
      </c>
      <c r="D18" s="155">
        <v>70</v>
      </c>
      <c r="E18" s="155">
        <v>70</v>
      </c>
      <c r="F18" s="284">
        <v>70</v>
      </c>
      <c r="G18" s="284">
        <v>70</v>
      </c>
      <c r="H18" s="284">
        <v>70</v>
      </c>
      <c r="I18" s="382">
        <f t="shared" si="3"/>
        <v>616</v>
      </c>
      <c r="J18" s="382">
        <v>70</v>
      </c>
      <c r="K18" s="351">
        <v>0</v>
      </c>
      <c r="L18" s="351">
        <v>0</v>
      </c>
      <c r="M18" s="351">
        <v>0</v>
      </c>
      <c r="N18" s="449">
        <f t="shared" si="2"/>
        <v>0</v>
      </c>
      <c r="O18" s="804">
        <f t="shared" si="0"/>
        <v>0</v>
      </c>
      <c r="P18" s="359">
        <f t="shared" si="1"/>
        <v>1810</v>
      </c>
      <c r="Q18" s="27">
        <v>0</v>
      </c>
      <c r="R18" s="25">
        <v>0</v>
      </c>
      <c r="S18" s="25">
        <v>0</v>
      </c>
      <c r="T18" s="360"/>
      <c r="V18" t="s">
        <v>412</v>
      </c>
      <c r="W18">
        <v>582.3</v>
      </c>
      <c r="X18">
        <f t="shared" si="4"/>
        <v>174.68999999999997</v>
      </c>
      <c r="Y18">
        <v>175</v>
      </c>
    </row>
    <row r="19" spans="1:25" ht="12.75">
      <c r="A19" s="25">
        <v>617</v>
      </c>
      <c r="B19" s="26" t="s">
        <v>48</v>
      </c>
      <c r="C19" s="25">
        <v>1610</v>
      </c>
      <c r="D19" s="155">
        <v>87</v>
      </c>
      <c r="E19" s="155">
        <v>87</v>
      </c>
      <c r="F19" s="284">
        <v>87</v>
      </c>
      <c r="G19" s="284">
        <v>87</v>
      </c>
      <c r="H19" s="284">
        <v>87</v>
      </c>
      <c r="I19" s="382">
        <f t="shared" si="3"/>
        <v>617</v>
      </c>
      <c r="J19" s="382">
        <v>87</v>
      </c>
      <c r="K19" s="351">
        <v>0</v>
      </c>
      <c r="L19" s="351">
        <v>0</v>
      </c>
      <c r="M19" s="351">
        <v>0</v>
      </c>
      <c r="N19" s="449">
        <f t="shared" si="2"/>
        <v>0</v>
      </c>
      <c r="O19" s="804">
        <f t="shared" si="0"/>
        <v>0</v>
      </c>
      <c r="P19" s="359">
        <f t="shared" si="1"/>
        <v>1697</v>
      </c>
      <c r="Q19" s="27">
        <v>0</v>
      </c>
      <c r="R19" s="25">
        <v>0</v>
      </c>
      <c r="S19" s="25">
        <v>0</v>
      </c>
      <c r="T19" s="360"/>
      <c r="V19" t="s">
        <v>413</v>
      </c>
      <c r="W19">
        <v>452.9</v>
      </c>
      <c r="X19">
        <f t="shared" si="4"/>
        <v>135.86999999999998</v>
      </c>
      <c r="Y19">
        <v>136</v>
      </c>
    </row>
    <row r="20" spans="1:24" ht="12.75">
      <c r="A20" s="25">
        <v>618</v>
      </c>
      <c r="B20" s="26" t="s">
        <v>49</v>
      </c>
      <c r="C20" s="25">
        <v>1500</v>
      </c>
      <c r="D20" s="155">
        <v>101</v>
      </c>
      <c r="E20" s="155">
        <v>101</v>
      </c>
      <c r="F20" s="284">
        <v>101</v>
      </c>
      <c r="G20" s="284">
        <v>101</v>
      </c>
      <c r="H20" s="284">
        <v>101</v>
      </c>
      <c r="I20" s="382">
        <f t="shared" si="3"/>
        <v>618</v>
      </c>
      <c r="J20" s="382">
        <v>101</v>
      </c>
      <c r="K20" s="351">
        <v>0</v>
      </c>
      <c r="L20" s="351">
        <v>0</v>
      </c>
      <c r="M20" s="351">
        <v>0</v>
      </c>
      <c r="N20" s="449">
        <f t="shared" si="2"/>
        <v>0</v>
      </c>
      <c r="O20" s="804">
        <f t="shared" si="0"/>
        <v>0</v>
      </c>
      <c r="P20" s="359">
        <f t="shared" si="1"/>
        <v>1601</v>
      </c>
      <c r="Q20" s="27">
        <v>0</v>
      </c>
      <c r="R20" s="25">
        <v>0</v>
      </c>
      <c r="S20" s="25">
        <v>0</v>
      </c>
      <c r="T20" s="360"/>
      <c r="V20" t="s">
        <v>414</v>
      </c>
      <c r="X20">
        <f t="shared" si="4"/>
        <v>0</v>
      </c>
    </row>
    <row r="21" spans="1:25" ht="12.75">
      <c r="A21" s="25">
        <v>619</v>
      </c>
      <c r="B21" s="26" t="s">
        <v>50</v>
      </c>
      <c r="C21" s="25">
        <v>1320</v>
      </c>
      <c r="D21" s="155">
        <v>124</v>
      </c>
      <c r="E21" s="155">
        <v>124</v>
      </c>
      <c r="F21" s="284">
        <v>124</v>
      </c>
      <c r="G21" s="284">
        <v>124</v>
      </c>
      <c r="H21" s="284">
        <v>124</v>
      </c>
      <c r="I21" s="382">
        <f t="shared" si="3"/>
        <v>619</v>
      </c>
      <c r="J21" s="382">
        <v>124</v>
      </c>
      <c r="K21" s="351">
        <v>0</v>
      </c>
      <c r="L21" s="351">
        <v>0</v>
      </c>
      <c r="M21" s="351">
        <v>0</v>
      </c>
      <c r="N21" s="449">
        <f t="shared" si="2"/>
        <v>0</v>
      </c>
      <c r="O21" s="804">
        <f t="shared" si="0"/>
        <v>0</v>
      </c>
      <c r="P21" s="359">
        <f t="shared" si="1"/>
        <v>1444</v>
      </c>
      <c r="Q21" s="27">
        <v>0</v>
      </c>
      <c r="R21" s="25">
        <v>0</v>
      </c>
      <c r="S21" s="25">
        <v>0</v>
      </c>
      <c r="T21" s="360"/>
      <c r="V21" t="s">
        <v>415</v>
      </c>
      <c r="W21">
        <v>517.6</v>
      </c>
      <c r="X21">
        <f t="shared" si="4"/>
        <v>155.28</v>
      </c>
      <c r="Y21">
        <v>155</v>
      </c>
    </row>
    <row r="22" spans="1:25" ht="12.75">
      <c r="A22" s="25">
        <v>620</v>
      </c>
      <c r="B22" s="26" t="s">
        <v>51</v>
      </c>
      <c r="C22" s="25">
        <v>1550</v>
      </c>
      <c r="D22" s="155">
        <v>94</v>
      </c>
      <c r="E22" s="155">
        <v>94</v>
      </c>
      <c r="F22" s="284">
        <v>94</v>
      </c>
      <c r="G22" s="284">
        <v>94</v>
      </c>
      <c r="H22" s="284">
        <v>94</v>
      </c>
      <c r="I22" s="382">
        <f t="shared" si="3"/>
        <v>620</v>
      </c>
      <c r="J22" s="382">
        <v>94</v>
      </c>
      <c r="K22" s="351">
        <v>0</v>
      </c>
      <c r="L22" s="351">
        <v>0</v>
      </c>
      <c r="M22" s="351">
        <v>0</v>
      </c>
      <c r="N22" s="449">
        <f t="shared" si="2"/>
        <v>0</v>
      </c>
      <c r="O22" s="804">
        <f t="shared" si="0"/>
        <v>0</v>
      </c>
      <c r="P22" s="359">
        <f t="shared" si="1"/>
        <v>1644</v>
      </c>
      <c r="Q22" s="27">
        <v>0</v>
      </c>
      <c r="R22" s="25">
        <v>0</v>
      </c>
      <c r="S22" s="25">
        <v>0</v>
      </c>
      <c r="T22" s="360"/>
      <c r="V22" t="s">
        <v>416</v>
      </c>
      <c r="W22">
        <v>388.2</v>
      </c>
      <c r="X22">
        <f t="shared" si="4"/>
        <v>116.46</v>
      </c>
      <c r="Y22">
        <v>116</v>
      </c>
    </row>
    <row r="23" spans="1:25" ht="12.75">
      <c r="A23" s="25">
        <v>621</v>
      </c>
      <c r="B23" s="26" t="s">
        <v>52</v>
      </c>
      <c r="C23" s="25">
        <v>1340</v>
      </c>
      <c r="D23" s="155">
        <v>122</v>
      </c>
      <c r="E23" s="155">
        <v>122</v>
      </c>
      <c r="F23" s="284">
        <v>122</v>
      </c>
      <c r="G23" s="284">
        <v>122</v>
      </c>
      <c r="H23" s="284">
        <v>122</v>
      </c>
      <c r="I23" s="382">
        <f t="shared" si="3"/>
        <v>621</v>
      </c>
      <c r="J23" s="382">
        <v>122</v>
      </c>
      <c r="K23" s="351">
        <v>0</v>
      </c>
      <c r="L23" s="351">
        <v>0</v>
      </c>
      <c r="M23" s="351">
        <v>0</v>
      </c>
      <c r="N23" s="449">
        <f t="shared" si="2"/>
        <v>0</v>
      </c>
      <c r="O23" s="804">
        <f t="shared" si="0"/>
        <v>0</v>
      </c>
      <c r="P23" s="359">
        <f t="shared" si="1"/>
        <v>1462</v>
      </c>
      <c r="Q23" s="27">
        <v>0</v>
      </c>
      <c r="R23" s="25">
        <v>0</v>
      </c>
      <c r="S23" s="25">
        <v>0</v>
      </c>
      <c r="T23" s="360"/>
      <c r="V23" t="s">
        <v>417</v>
      </c>
      <c r="W23">
        <v>388.2</v>
      </c>
      <c r="X23">
        <f t="shared" si="4"/>
        <v>116.46</v>
      </c>
      <c r="Y23">
        <v>116</v>
      </c>
    </row>
    <row r="24" spans="1:25" ht="12.75">
      <c r="A24" s="25">
        <v>622</v>
      </c>
      <c r="B24" s="26" t="s">
        <v>53</v>
      </c>
      <c r="C24" s="32">
        <v>971</v>
      </c>
      <c r="D24" s="155">
        <v>170</v>
      </c>
      <c r="E24" s="383">
        <v>216</v>
      </c>
      <c r="F24" s="284">
        <v>261</v>
      </c>
      <c r="G24" s="351">
        <v>327</v>
      </c>
      <c r="H24" s="351">
        <v>350</v>
      </c>
      <c r="I24" s="382">
        <f t="shared" si="3"/>
        <v>622</v>
      </c>
      <c r="J24" s="382">
        <v>414.7</v>
      </c>
      <c r="K24" s="351">
        <v>0</v>
      </c>
      <c r="L24" s="351">
        <v>0</v>
      </c>
      <c r="M24" s="351">
        <v>0</v>
      </c>
      <c r="N24" s="449">
        <f t="shared" si="2"/>
        <v>0</v>
      </c>
      <c r="O24" s="804">
        <f t="shared" si="0"/>
        <v>0</v>
      </c>
      <c r="P24" s="359">
        <f t="shared" si="1"/>
        <v>1298</v>
      </c>
      <c r="Q24" s="27">
        <v>0</v>
      </c>
      <c r="R24" s="25">
        <v>0</v>
      </c>
      <c r="S24" s="25">
        <v>0</v>
      </c>
      <c r="T24" s="360"/>
      <c r="V24" t="s">
        <v>418</v>
      </c>
      <c r="W24">
        <v>388.2</v>
      </c>
      <c r="X24">
        <f t="shared" si="4"/>
        <v>116.46</v>
      </c>
      <c r="Y24">
        <v>116</v>
      </c>
    </row>
    <row r="25" spans="1:25" ht="12.75">
      <c r="A25" s="25">
        <v>623</v>
      </c>
      <c r="B25" s="26" t="s">
        <v>54</v>
      </c>
      <c r="C25" s="25">
        <v>1690</v>
      </c>
      <c r="D25" s="155">
        <v>76</v>
      </c>
      <c r="E25" s="155">
        <v>76</v>
      </c>
      <c r="F25" s="284">
        <v>76</v>
      </c>
      <c r="G25" s="284">
        <v>76</v>
      </c>
      <c r="H25" s="284">
        <v>76</v>
      </c>
      <c r="I25" s="382">
        <f t="shared" si="3"/>
        <v>623</v>
      </c>
      <c r="J25" s="382">
        <v>76</v>
      </c>
      <c r="K25" s="351">
        <v>0</v>
      </c>
      <c r="L25" s="351">
        <v>0</v>
      </c>
      <c r="M25" s="351">
        <v>0</v>
      </c>
      <c r="N25" s="449">
        <f t="shared" si="2"/>
        <v>0</v>
      </c>
      <c r="O25" s="804">
        <f t="shared" si="0"/>
        <v>0</v>
      </c>
      <c r="P25" s="359">
        <f t="shared" si="1"/>
        <v>1766</v>
      </c>
      <c r="Q25" s="27">
        <v>0</v>
      </c>
      <c r="R25" s="25">
        <v>0</v>
      </c>
      <c r="S25" s="25">
        <v>0</v>
      </c>
      <c r="T25" s="360"/>
      <c r="V25" t="s">
        <v>419</v>
      </c>
      <c r="W25">
        <v>388.2</v>
      </c>
      <c r="X25">
        <f t="shared" si="4"/>
        <v>116.46</v>
      </c>
      <c r="Y25">
        <v>116</v>
      </c>
    </row>
    <row r="26" spans="1:20" ht="12.75">
      <c r="A26" s="25">
        <v>624</v>
      </c>
      <c r="B26" s="26" t="s">
        <v>55</v>
      </c>
      <c r="C26" s="25">
        <v>1400</v>
      </c>
      <c r="D26" s="155">
        <v>114</v>
      </c>
      <c r="E26" s="155">
        <v>114</v>
      </c>
      <c r="F26" s="284">
        <f>IF(C26&lt;972,E26+44,E26)</f>
        <v>114</v>
      </c>
      <c r="G26" s="284">
        <v>114</v>
      </c>
      <c r="H26" s="284">
        <v>114</v>
      </c>
      <c r="I26" s="382">
        <f t="shared" si="3"/>
        <v>624</v>
      </c>
      <c r="J26" s="382">
        <v>114</v>
      </c>
      <c r="K26" s="351">
        <v>0</v>
      </c>
      <c r="L26" s="351">
        <v>0</v>
      </c>
      <c r="M26" s="351">
        <v>0</v>
      </c>
      <c r="N26" s="449">
        <f t="shared" si="2"/>
        <v>0</v>
      </c>
      <c r="O26" s="804">
        <f t="shared" si="0"/>
        <v>0</v>
      </c>
      <c r="P26" s="359">
        <f t="shared" si="1"/>
        <v>1514</v>
      </c>
      <c r="Q26" s="27">
        <v>0</v>
      </c>
      <c r="R26" s="25">
        <v>0</v>
      </c>
      <c r="S26" s="25">
        <v>0</v>
      </c>
      <c r="T26" s="360"/>
    </row>
    <row r="27" spans="1:20" ht="12.75">
      <c r="A27" s="25">
        <v>625</v>
      </c>
      <c r="B27" s="26" t="s">
        <v>56</v>
      </c>
      <c r="C27" s="25">
        <v>1370</v>
      </c>
      <c r="D27" s="155">
        <v>118</v>
      </c>
      <c r="E27" s="155">
        <v>118</v>
      </c>
      <c r="F27" s="284">
        <f>IF(C27&lt;972,E27+44,E27)</f>
        <v>118</v>
      </c>
      <c r="G27" s="284">
        <v>118</v>
      </c>
      <c r="H27" s="284">
        <v>118</v>
      </c>
      <c r="I27" s="382">
        <f t="shared" si="3"/>
        <v>625</v>
      </c>
      <c r="J27" s="382">
        <v>118</v>
      </c>
      <c r="K27" s="351">
        <v>388.2</v>
      </c>
      <c r="L27" s="351">
        <v>388.2</v>
      </c>
      <c r="M27" s="351">
        <v>388.2</v>
      </c>
      <c r="N27" s="449">
        <f t="shared" si="2"/>
        <v>388.2</v>
      </c>
      <c r="O27" s="804">
        <f t="shared" si="0"/>
        <v>388.2</v>
      </c>
      <c r="P27" s="359">
        <f t="shared" si="1"/>
        <v>1876.2</v>
      </c>
      <c r="Q27" s="27">
        <v>0</v>
      </c>
      <c r="R27" s="25">
        <v>0</v>
      </c>
      <c r="S27" s="25">
        <v>0</v>
      </c>
      <c r="T27" s="360"/>
    </row>
    <row r="28" spans="1:20" ht="12.75">
      <c r="A28" s="25">
        <v>626</v>
      </c>
      <c r="B28" s="26" t="s">
        <v>57</v>
      </c>
      <c r="C28" s="25">
        <v>1340</v>
      </c>
      <c r="D28" s="155">
        <v>122</v>
      </c>
      <c r="E28" s="155">
        <v>122</v>
      </c>
      <c r="F28" s="284">
        <f>IF(C28&lt;972,E28+44,E28)</f>
        <v>122</v>
      </c>
      <c r="G28" s="284">
        <v>122</v>
      </c>
      <c r="H28" s="284">
        <v>122</v>
      </c>
      <c r="I28" s="382">
        <f t="shared" si="3"/>
        <v>626</v>
      </c>
      <c r="J28" s="382">
        <v>122</v>
      </c>
      <c r="K28" s="351">
        <v>388.2</v>
      </c>
      <c r="L28" s="351">
        <v>388.2</v>
      </c>
      <c r="M28" s="351">
        <v>388.2</v>
      </c>
      <c r="N28" s="449">
        <f t="shared" si="2"/>
        <v>388.2</v>
      </c>
      <c r="O28" s="804">
        <f t="shared" si="0"/>
        <v>388.2</v>
      </c>
      <c r="P28" s="359">
        <f t="shared" si="1"/>
        <v>1850.2</v>
      </c>
      <c r="Q28" s="27">
        <v>0</v>
      </c>
      <c r="R28" s="25">
        <v>0</v>
      </c>
      <c r="S28" s="25">
        <v>0</v>
      </c>
      <c r="T28" s="360"/>
    </row>
    <row r="29" spans="1:20" ht="12.75">
      <c r="A29" s="25">
        <v>627</v>
      </c>
      <c r="B29" s="26" t="s">
        <v>58</v>
      </c>
      <c r="C29" s="25">
        <v>1300</v>
      </c>
      <c r="D29" s="155">
        <v>127</v>
      </c>
      <c r="E29" s="155">
        <v>127</v>
      </c>
      <c r="F29" s="284">
        <f>IF(C29&lt;972,E29+44,E29)</f>
        <v>127</v>
      </c>
      <c r="G29" s="284">
        <v>127</v>
      </c>
      <c r="H29" s="284">
        <v>127</v>
      </c>
      <c r="I29" s="382">
        <f t="shared" si="3"/>
        <v>627</v>
      </c>
      <c r="J29" s="382">
        <v>127</v>
      </c>
      <c r="K29" s="351">
        <v>388.2</v>
      </c>
      <c r="L29" s="351">
        <v>388.2</v>
      </c>
      <c r="M29" s="351">
        <v>388.2</v>
      </c>
      <c r="N29" s="449">
        <f t="shared" si="2"/>
        <v>388.2</v>
      </c>
      <c r="O29" s="804">
        <f t="shared" si="0"/>
        <v>388.2</v>
      </c>
      <c r="P29" s="359">
        <f t="shared" si="1"/>
        <v>1815.2</v>
      </c>
      <c r="Q29" s="27">
        <v>0</v>
      </c>
      <c r="R29" s="25">
        <v>0</v>
      </c>
      <c r="S29" s="25">
        <v>0</v>
      </c>
      <c r="T29" s="360"/>
    </row>
    <row r="30" spans="1:20" ht="12.75">
      <c r="A30" s="25">
        <v>628</v>
      </c>
      <c r="B30" s="26" t="s">
        <v>59</v>
      </c>
      <c r="C30" s="25">
        <v>980</v>
      </c>
      <c r="D30" s="155">
        <v>169</v>
      </c>
      <c r="E30" s="155">
        <v>169</v>
      </c>
      <c r="F30" s="284">
        <f>IF(C30&lt;972,E30+44,E30)</f>
        <v>169</v>
      </c>
      <c r="G30" s="284">
        <v>169</v>
      </c>
      <c r="H30" s="284">
        <v>169</v>
      </c>
      <c r="I30" s="382">
        <f t="shared" si="3"/>
        <v>628</v>
      </c>
      <c r="J30" s="382">
        <v>169</v>
      </c>
      <c r="K30" s="351">
        <v>0</v>
      </c>
      <c r="L30" s="351">
        <v>0</v>
      </c>
      <c r="M30" s="351">
        <v>0</v>
      </c>
      <c r="N30" s="449">
        <f t="shared" si="2"/>
        <v>0</v>
      </c>
      <c r="O30" s="804">
        <f t="shared" si="0"/>
        <v>0</v>
      </c>
      <c r="P30" s="359">
        <f t="shared" si="1"/>
        <v>1149</v>
      </c>
      <c r="Q30" s="27">
        <v>0</v>
      </c>
      <c r="R30" s="25">
        <v>0</v>
      </c>
      <c r="S30" s="25">
        <v>0</v>
      </c>
      <c r="T30" s="360"/>
    </row>
    <row r="31" spans="1:20" ht="12.75">
      <c r="A31" s="25">
        <v>629</v>
      </c>
      <c r="B31" s="26" t="s">
        <v>60</v>
      </c>
      <c r="C31" s="25">
        <v>941</v>
      </c>
      <c r="D31" s="155">
        <v>170</v>
      </c>
      <c r="E31" s="383">
        <v>216</v>
      </c>
      <c r="F31" s="284">
        <v>261</v>
      </c>
      <c r="G31" s="351">
        <v>327</v>
      </c>
      <c r="H31" s="351">
        <v>350</v>
      </c>
      <c r="I31" s="382">
        <f t="shared" si="3"/>
        <v>629</v>
      </c>
      <c r="J31" s="382">
        <v>414.7</v>
      </c>
      <c r="K31" s="351">
        <v>0</v>
      </c>
      <c r="L31" s="351">
        <v>0</v>
      </c>
      <c r="M31" s="351">
        <v>0</v>
      </c>
      <c r="N31" s="449">
        <f t="shared" si="2"/>
        <v>0</v>
      </c>
      <c r="O31" s="804">
        <f t="shared" si="0"/>
        <v>0</v>
      </c>
      <c r="P31" s="359">
        <f t="shared" si="1"/>
        <v>1268</v>
      </c>
      <c r="Q31" s="27">
        <v>0</v>
      </c>
      <c r="R31" s="25">
        <v>0</v>
      </c>
      <c r="S31" s="25">
        <v>0</v>
      </c>
      <c r="T31" s="360"/>
    </row>
    <row r="32" spans="1:20" ht="12.75">
      <c r="A32" s="25">
        <v>630</v>
      </c>
      <c r="B32" s="26" t="s">
        <v>61</v>
      </c>
      <c r="C32" s="25">
        <v>1170</v>
      </c>
      <c r="D32" s="155">
        <v>144</v>
      </c>
      <c r="E32" s="155">
        <v>144</v>
      </c>
      <c r="F32" s="284">
        <f>IF(C32&lt;972,E32+44,E32)</f>
        <v>144</v>
      </c>
      <c r="G32" s="284">
        <v>144</v>
      </c>
      <c r="H32" s="284">
        <v>144</v>
      </c>
      <c r="I32" s="382">
        <f t="shared" si="3"/>
        <v>630</v>
      </c>
      <c r="J32" s="382">
        <v>144</v>
      </c>
      <c r="K32" s="351">
        <v>0</v>
      </c>
      <c r="L32" s="351">
        <v>0</v>
      </c>
      <c r="M32" s="351">
        <v>0</v>
      </c>
      <c r="N32" s="449">
        <f t="shared" si="2"/>
        <v>0</v>
      </c>
      <c r="O32" s="804">
        <f t="shared" si="0"/>
        <v>0</v>
      </c>
      <c r="P32" s="359">
        <f t="shared" si="1"/>
        <v>1314</v>
      </c>
      <c r="Q32" s="27">
        <v>0</v>
      </c>
      <c r="R32" s="25">
        <v>0</v>
      </c>
      <c r="S32" s="25">
        <v>0</v>
      </c>
      <c r="T32" s="360"/>
    </row>
    <row r="33" spans="1:20" ht="12.75">
      <c r="A33" s="25">
        <v>631</v>
      </c>
      <c r="B33" s="26" t="s">
        <v>62</v>
      </c>
      <c r="C33" s="25">
        <v>1170</v>
      </c>
      <c r="D33" s="155">
        <v>144</v>
      </c>
      <c r="E33" s="155">
        <v>144</v>
      </c>
      <c r="F33" s="284">
        <f>IF(C33&lt;972,E33+44,E33)</f>
        <v>144</v>
      </c>
      <c r="G33" s="284">
        <v>144</v>
      </c>
      <c r="H33" s="284">
        <v>144</v>
      </c>
      <c r="I33" s="382">
        <f t="shared" si="3"/>
        <v>631</v>
      </c>
      <c r="J33" s="382">
        <v>144</v>
      </c>
      <c r="K33" s="351">
        <v>0</v>
      </c>
      <c r="L33" s="351">
        <v>0</v>
      </c>
      <c r="M33" s="351">
        <v>0</v>
      </c>
      <c r="N33" s="449">
        <f t="shared" si="2"/>
        <v>0</v>
      </c>
      <c r="O33" s="804">
        <f t="shared" si="0"/>
        <v>0</v>
      </c>
      <c r="P33" s="359">
        <f t="shared" si="1"/>
        <v>1314</v>
      </c>
      <c r="Q33" s="27">
        <v>0</v>
      </c>
      <c r="R33" s="25">
        <v>0</v>
      </c>
      <c r="S33" s="25">
        <v>0</v>
      </c>
      <c r="T33" s="360"/>
    </row>
    <row r="34" spans="1:20" ht="12.75">
      <c r="A34" s="25">
        <v>632</v>
      </c>
      <c r="B34" s="26" t="s">
        <v>63</v>
      </c>
      <c r="C34" s="25">
        <v>941</v>
      </c>
      <c r="D34" s="155">
        <v>170</v>
      </c>
      <c r="E34" s="383">
        <v>216</v>
      </c>
      <c r="F34" s="284">
        <v>261</v>
      </c>
      <c r="G34" s="351">
        <v>327</v>
      </c>
      <c r="H34" s="351">
        <v>350</v>
      </c>
      <c r="I34" s="382">
        <f t="shared" si="3"/>
        <v>632</v>
      </c>
      <c r="J34" s="382">
        <v>414.7</v>
      </c>
      <c r="K34" s="351">
        <v>0</v>
      </c>
      <c r="L34" s="351">
        <v>0</v>
      </c>
      <c r="M34" s="351">
        <v>0</v>
      </c>
      <c r="N34" s="449">
        <f t="shared" si="2"/>
        <v>0</v>
      </c>
      <c r="O34" s="804">
        <f t="shared" si="0"/>
        <v>0</v>
      </c>
      <c r="P34" s="359">
        <f t="shared" si="1"/>
        <v>1268</v>
      </c>
      <c r="Q34" s="27">
        <v>0</v>
      </c>
      <c r="R34" s="25">
        <v>0</v>
      </c>
      <c r="S34" s="25">
        <v>0</v>
      </c>
      <c r="T34" s="360"/>
    </row>
    <row r="35" spans="1:20" ht="12.75">
      <c r="A35" s="25">
        <v>633</v>
      </c>
      <c r="B35" s="26" t="s">
        <v>64</v>
      </c>
      <c r="C35" s="25">
        <v>941</v>
      </c>
      <c r="D35" s="155">
        <v>170</v>
      </c>
      <c r="E35" s="383">
        <v>216</v>
      </c>
      <c r="F35" s="284">
        <v>261</v>
      </c>
      <c r="G35" s="351">
        <v>327</v>
      </c>
      <c r="H35" s="351">
        <v>350</v>
      </c>
      <c r="I35" s="382">
        <f t="shared" si="3"/>
        <v>633</v>
      </c>
      <c r="J35" s="382">
        <v>414.7</v>
      </c>
      <c r="K35" s="351">
        <v>0</v>
      </c>
      <c r="L35" s="351">
        <v>0</v>
      </c>
      <c r="M35" s="351">
        <v>0</v>
      </c>
      <c r="N35" s="449">
        <f t="shared" si="2"/>
        <v>0</v>
      </c>
      <c r="O35" s="804">
        <f t="shared" si="0"/>
        <v>0</v>
      </c>
      <c r="P35" s="359">
        <f t="shared" si="1"/>
        <v>1268</v>
      </c>
      <c r="Q35" s="27">
        <v>0</v>
      </c>
      <c r="R35" s="25">
        <v>0</v>
      </c>
      <c r="S35" s="25">
        <v>0</v>
      </c>
      <c r="T35" s="360"/>
    </row>
    <row r="36" spans="1:20" ht="12.75">
      <c r="A36" s="25">
        <v>634</v>
      </c>
      <c r="B36" s="26" t="s">
        <v>65</v>
      </c>
      <c r="C36" s="25">
        <v>971</v>
      </c>
      <c r="D36" s="155">
        <v>170</v>
      </c>
      <c r="E36" s="383">
        <v>216</v>
      </c>
      <c r="F36" s="284">
        <v>261</v>
      </c>
      <c r="G36" s="351">
        <v>327</v>
      </c>
      <c r="H36" s="351">
        <v>350</v>
      </c>
      <c r="I36" s="382">
        <f t="shared" si="3"/>
        <v>634</v>
      </c>
      <c r="J36" s="382">
        <v>414.7</v>
      </c>
      <c r="K36" s="351">
        <v>0</v>
      </c>
      <c r="L36" s="351">
        <v>0</v>
      </c>
      <c r="M36" s="351">
        <v>0</v>
      </c>
      <c r="N36" s="449">
        <f t="shared" si="2"/>
        <v>0</v>
      </c>
      <c r="O36" s="804">
        <f t="shared" si="0"/>
        <v>0</v>
      </c>
      <c r="P36" s="359">
        <f t="shared" si="1"/>
        <v>1298</v>
      </c>
      <c r="Q36" s="27">
        <v>0</v>
      </c>
      <c r="R36" s="25">
        <v>0</v>
      </c>
      <c r="S36" s="25">
        <v>0</v>
      </c>
      <c r="T36" s="360"/>
    </row>
    <row r="37" spans="1:20" ht="12.75">
      <c r="A37" s="25">
        <v>635</v>
      </c>
      <c r="B37" s="26" t="s">
        <v>369</v>
      </c>
      <c r="C37" s="25">
        <v>1610</v>
      </c>
      <c r="D37" s="155">
        <v>87</v>
      </c>
      <c r="E37" s="155">
        <v>87</v>
      </c>
      <c r="F37" s="284">
        <f>IF(C37&lt;972,E37+44,E37)</f>
        <v>87</v>
      </c>
      <c r="G37" s="284">
        <v>87</v>
      </c>
      <c r="H37" s="284">
        <v>87</v>
      </c>
      <c r="I37" s="382">
        <f t="shared" si="3"/>
        <v>635</v>
      </c>
      <c r="J37" s="382">
        <v>87</v>
      </c>
      <c r="K37" s="351">
        <v>388.2</v>
      </c>
      <c r="L37" s="351">
        <v>388.2</v>
      </c>
      <c r="M37" s="351">
        <v>388.2</v>
      </c>
      <c r="N37" s="449">
        <f t="shared" si="2"/>
        <v>388.2</v>
      </c>
      <c r="O37" s="804">
        <f t="shared" si="0"/>
        <v>388.2</v>
      </c>
      <c r="P37" s="359">
        <f t="shared" si="1"/>
        <v>2085.2</v>
      </c>
      <c r="Q37" s="27">
        <v>0</v>
      </c>
      <c r="R37" s="25">
        <v>0</v>
      </c>
      <c r="S37" s="25">
        <v>0</v>
      </c>
      <c r="T37" s="360"/>
    </row>
    <row r="38" spans="1:20" ht="12.75">
      <c r="A38" s="25">
        <v>636</v>
      </c>
      <c r="B38" s="26" t="s">
        <v>66</v>
      </c>
      <c r="C38" s="25">
        <v>971</v>
      </c>
      <c r="D38" s="155">
        <v>170</v>
      </c>
      <c r="E38" s="383">
        <v>216</v>
      </c>
      <c r="F38" s="284">
        <v>261</v>
      </c>
      <c r="G38" s="351">
        <v>327</v>
      </c>
      <c r="H38" s="351">
        <v>350</v>
      </c>
      <c r="I38" s="382">
        <f t="shared" si="3"/>
        <v>636</v>
      </c>
      <c r="J38" s="382">
        <v>414.7</v>
      </c>
      <c r="K38" s="351">
        <v>0</v>
      </c>
      <c r="L38" s="351">
        <v>0</v>
      </c>
      <c r="M38" s="351">
        <v>0</v>
      </c>
      <c r="N38" s="449">
        <f t="shared" si="2"/>
        <v>0</v>
      </c>
      <c r="O38" s="804">
        <f t="shared" si="0"/>
        <v>0</v>
      </c>
      <c r="P38" s="359">
        <f t="shared" si="1"/>
        <v>1298</v>
      </c>
      <c r="Q38" s="27">
        <v>0</v>
      </c>
      <c r="R38" s="25">
        <v>0</v>
      </c>
      <c r="S38" s="25">
        <v>0</v>
      </c>
      <c r="T38" s="360"/>
    </row>
    <row r="39" spans="1:20" ht="12.75">
      <c r="A39" s="25">
        <v>637</v>
      </c>
      <c r="B39" s="26" t="s">
        <v>67</v>
      </c>
      <c r="C39" s="25">
        <v>971</v>
      </c>
      <c r="D39" s="155">
        <v>170</v>
      </c>
      <c r="E39" s="383">
        <v>216</v>
      </c>
      <c r="F39" s="284">
        <v>261</v>
      </c>
      <c r="G39" s="351">
        <v>327</v>
      </c>
      <c r="H39" s="351">
        <v>350</v>
      </c>
      <c r="I39" s="382">
        <f t="shared" si="3"/>
        <v>637</v>
      </c>
      <c r="J39" s="382">
        <v>414.7</v>
      </c>
      <c r="K39" s="351">
        <v>0</v>
      </c>
      <c r="L39" s="351">
        <v>0</v>
      </c>
      <c r="M39" s="351">
        <v>0</v>
      </c>
      <c r="N39" s="449">
        <f t="shared" si="2"/>
        <v>0</v>
      </c>
      <c r="O39" s="804">
        <f t="shared" si="0"/>
        <v>0</v>
      </c>
      <c r="P39" s="359">
        <f t="shared" si="1"/>
        <v>1298</v>
      </c>
      <c r="Q39" s="27">
        <v>0</v>
      </c>
      <c r="R39" s="25">
        <v>0</v>
      </c>
      <c r="S39" s="25">
        <v>0</v>
      </c>
      <c r="T39" s="360"/>
    </row>
    <row r="40" spans="1:20" ht="12.75">
      <c r="A40" s="25">
        <v>638</v>
      </c>
      <c r="B40" s="26" t="s">
        <v>68</v>
      </c>
      <c r="C40" s="25">
        <v>906</v>
      </c>
      <c r="D40" s="155">
        <v>170</v>
      </c>
      <c r="E40" s="383">
        <v>216</v>
      </c>
      <c r="F40" s="284">
        <v>261</v>
      </c>
      <c r="G40" s="351">
        <v>327</v>
      </c>
      <c r="H40" s="351">
        <v>350</v>
      </c>
      <c r="I40" s="382">
        <f t="shared" si="3"/>
        <v>638</v>
      </c>
      <c r="J40" s="382">
        <v>414.7</v>
      </c>
      <c r="K40" s="351">
        <v>0</v>
      </c>
      <c r="L40" s="351">
        <v>0</v>
      </c>
      <c r="M40" s="351">
        <v>0</v>
      </c>
      <c r="N40" s="449">
        <f t="shared" si="2"/>
        <v>0</v>
      </c>
      <c r="O40" s="804">
        <f t="shared" si="0"/>
        <v>0</v>
      </c>
      <c r="P40" s="359">
        <f t="shared" si="1"/>
        <v>1233</v>
      </c>
      <c r="Q40" s="27">
        <v>0</v>
      </c>
      <c r="R40" s="25">
        <v>0</v>
      </c>
      <c r="S40" s="25">
        <v>0</v>
      </c>
      <c r="T40" s="360"/>
    </row>
    <row r="41" spans="1:20" ht="12.75">
      <c r="A41" s="25">
        <v>639</v>
      </c>
      <c r="B41" s="26" t="s">
        <v>69</v>
      </c>
      <c r="C41" s="25">
        <v>1300</v>
      </c>
      <c r="D41" s="155">
        <v>127</v>
      </c>
      <c r="E41" s="155">
        <v>127</v>
      </c>
      <c r="F41" s="284">
        <f aca="true" t="shared" si="5" ref="F41:F47">IF(C41&lt;972,E41+44,E41)</f>
        <v>127</v>
      </c>
      <c r="G41" s="284">
        <v>127</v>
      </c>
      <c r="H41" s="284">
        <v>127</v>
      </c>
      <c r="I41" s="382">
        <f t="shared" si="3"/>
        <v>639</v>
      </c>
      <c r="J41" s="382">
        <v>127</v>
      </c>
      <c r="K41" s="351">
        <v>0</v>
      </c>
      <c r="L41" s="351">
        <v>0</v>
      </c>
      <c r="M41" s="351">
        <v>0</v>
      </c>
      <c r="N41" s="449">
        <f t="shared" si="2"/>
        <v>0</v>
      </c>
      <c r="O41" s="804">
        <f t="shared" si="0"/>
        <v>0</v>
      </c>
      <c r="P41" s="359">
        <f t="shared" si="1"/>
        <v>1427</v>
      </c>
      <c r="Q41" s="27">
        <v>0</v>
      </c>
      <c r="R41" s="25">
        <v>0</v>
      </c>
      <c r="S41" s="25">
        <v>0</v>
      </c>
      <c r="T41" s="360"/>
    </row>
    <row r="42" spans="1:20" ht="12.75">
      <c r="A42" s="25">
        <v>640</v>
      </c>
      <c r="B42" s="26" t="s">
        <v>70</v>
      </c>
      <c r="C42" s="25">
        <v>2830</v>
      </c>
      <c r="D42" s="155">
        <v>0</v>
      </c>
      <c r="E42" s="155">
        <v>0</v>
      </c>
      <c r="F42" s="284">
        <f t="shared" si="5"/>
        <v>0</v>
      </c>
      <c r="G42" s="284">
        <v>0</v>
      </c>
      <c r="H42" s="284">
        <v>0</v>
      </c>
      <c r="I42" s="382">
        <f t="shared" si="3"/>
        <v>640</v>
      </c>
      <c r="J42" s="382">
        <v>0</v>
      </c>
      <c r="K42" s="351">
        <v>0</v>
      </c>
      <c r="L42" s="351">
        <v>0</v>
      </c>
      <c r="M42" s="351">
        <v>0</v>
      </c>
      <c r="N42" s="449">
        <f t="shared" si="2"/>
        <v>0</v>
      </c>
      <c r="O42" s="804">
        <f t="shared" si="0"/>
        <v>0</v>
      </c>
      <c r="P42" s="359">
        <f t="shared" si="1"/>
        <v>2830</v>
      </c>
      <c r="Q42" s="27">
        <v>0</v>
      </c>
      <c r="R42" s="25">
        <v>0</v>
      </c>
      <c r="S42" s="25">
        <v>0</v>
      </c>
      <c r="T42" s="360"/>
    </row>
    <row r="43" spans="1:20" ht="12.75">
      <c r="A43" s="25">
        <v>641</v>
      </c>
      <c r="B43" s="26" t="s">
        <v>71</v>
      </c>
      <c r="C43" s="25">
        <v>1550</v>
      </c>
      <c r="D43" s="155">
        <v>94</v>
      </c>
      <c r="E43" s="155">
        <v>94</v>
      </c>
      <c r="F43" s="284">
        <f t="shared" si="5"/>
        <v>94</v>
      </c>
      <c r="G43" s="284">
        <v>94</v>
      </c>
      <c r="H43" s="284">
        <v>94</v>
      </c>
      <c r="I43" s="382">
        <f t="shared" si="3"/>
        <v>641</v>
      </c>
      <c r="J43" s="382">
        <v>94</v>
      </c>
      <c r="K43" s="351">
        <v>0</v>
      </c>
      <c r="L43" s="351">
        <v>0</v>
      </c>
      <c r="M43" s="351">
        <v>0</v>
      </c>
      <c r="N43" s="449">
        <f t="shared" si="2"/>
        <v>0</v>
      </c>
      <c r="O43" s="804">
        <f t="shared" si="0"/>
        <v>0</v>
      </c>
      <c r="P43" s="359">
        <f t="shared" si="1"/>
        <v>1644</v>
      </c>
      <c r="Q43" s="27">
        <v>0</v>
      </c>
      <c r="R43" s="25">
        <v>0</v>
      </c>
      <c r="S43" s="25">
        <v>0</v>
      </c>
      <c r="T43" s="360"/>
    </row>
    <row r="44" spans="1:20" ht="12.75">
      <c r="A44" s="25">
        <v>642</v>
      </c>
      <c r="B44" s="26" t="s">
        <v>72</v>
      </c>
      <c r="C44" s="25">
        <v>1170</v>
      </c>
      <c r="D44" s="155">
        <v>144</v>
      </c>
      <c r="E44" s="155">
        <v>144</v>
      </c>
      <c r="F44" s="284">
        <f t="shared" si="5"/>
        <v>144</v>
      </c>
      <c r="G44" s="284">
        <v>144</v>
      </c>
      <c r="H44" s="284">
        <v>144</v>
      </c>
      <c r="I44" s="382">
        <f t="shared" si="3"/>
        <v>642</v>
      </c>
      <c r="J44" s="382">
        <v>144</v>
      </c>
      <c r="K44" s="351">
        <v>0</v>
      </c>
      <c r="L44" s="351">
        <v>0</v>
      </c>
      <c r="M44" s="351">
        <v>0</v>
      </c>
      <c r="N44" s="449">
        <f t="shared" si="2"/>
        <v>0</v>
      </c>
      <c r="O44" s="804">
        <f t="shared" si="0"/>
        <v>0</v>
      </c>
      <c r="P44" s="359">
        <f t="shared" si="1"/>
        <v>1314</v>
      </c>
      <c r="Q44" s="27">
        <v>0</v>
      </c>
      <c r="R44" s="25">
        <v>0</v>
      </c>
      <c r="S44" s="25">
        <v>0</v>
      </c>
      <c r="T44" s="360"/>
    </row>
    <row r="45" spans="1:20" ht="12.75">
      <c r="A45" s="25">
        <v>643</v>
      </c>
      <c r="B45" s="26" t="s">
        <v>73</v>
      </c>
      <c r="C45" s="25">
        <v>1500</v>
      </c>
      <c r="D45" s="155">
        <v>101</v>
      </c>
      <c r="E45" s="155">
        <v>101</v>
      </c>
      <c r="F45" s="284">
        <f t="shared" si="5"/>
        <v>101</v>
      </c>
      <c r="G45" s="284">
        <v>101</v>
      </c>
      <c r="H45" s="284">
        <v>101</v>
      </c>
      <c r="I45" s="382">
        <f t="shared" si="3"/>
        <v>643</v>
      </c>
      <c r="J45" s="382">
        <v>101</v>
      </c>
      <c r="K45" s="351">
        <v>388.2</v>
      </c>
      <c r="L45" s="351">
        <v>388.2</v>
      </c>
      <c r="M45" s="351">
        <v>388.2</v>
      </c>
      <c r="N45" s="449">
        <f t="shared" si="2"/>
        <v>388.2</v>
      </c>
      <c r="O45" s="804">
        <f t="shared" si="0"/>
        <v>388.2</v>
      </c>
      <c r="P45" s="359">
        <f t="shared" si="1"/>
        <v>1989.2</v>
      </c>
      <c r="Q45" s="27">
        <v>0</v>
      </c>
      <c r="R45" s="25">
        <v>0</v>
      </c>
      <c r="S45" s="25">
        <v>0</v>
      </c>
      <c r="T45" s="360"/>
    </row>
    <row r="46" spans="1:20" ht="12.75">
      <c r="A46" s="25">
        <v>644</v>
      </c>
      <c r="B46" s="26" t="s">
        <v>74</v>
      </c>
      <c r="C46" s="25">
        <v>2490</v>
      </c>
      <c r="D46" s="155">
        <v>0</v>
      </c>
      <c r="E46" s="155">
        <v>0</v>
      </c>
      <c r="F46" s="284">
        <f t="shared" si="5"/>
        <v>0</v>
      </c>
      <c r="G46" s="284">
        <v>0</v>
      </c>
      <c r="H46" s="284">
        <v>0</v>
      </c>
      <c r="I46" s="382">
        <f t="shared" si="3"/>
        <v>644</v>
      </c>
      <c r="J46" s="382">
        <v>0</v>
      </c>
      <c r="K46" s="351">
        <v>0</v>
      </c>
      <c r="L46" s="351">
        <v>0</v>
      </c>
      <c r="M46" s="351">
        <v>0</v>
      </c>
      <c r="N46" s="449">
        <f t="shared" si="2"/>
        <v>0</v>
      </c>
      <c r="O46" s="804">
        <f t="shared" si="0"/>
        <v>0</v>
      </c>
      <c r="P46" s="359">
        <f t="shared" si="1"/>
        <v>2490</v>
      </c>
      <c r="Q46" s="27">
        <v>0</v>
      </c>
      <c r="R46" s="25">
        <v>0</v>
      </c>
      <c r="S46" s="25">
        <v>0</v>
      </c>
      <c r="T46" s="360"/>
    </row>
    <row r="47" spans="1:20" ht="12.75">
      <c r="A47" s="25">
        <v>645</v>
      </c>
      <c r="B47" s="26" t="s">
        <v>75</v>
      </c>
      <c r="C47" s="25">
        <v>2329</v>
      </c>
      <c r="D47" s="155">
        <v>0</v>
      </c>
      <c r="E47" s="155">
        <v>0</v>
      </c>
      <c r="F47" s="284">
        <f t="shared" si="5"/>
        <v>0</v>
      </c>
      <c r="G47" s="284">
        <v>0</v>
      </c>
      <c r="H47" s="284">
        <v>0</v>
      </c>
      <c r="I47" s="382">
        <f t="shared" si="3"/>
        <v>645</v>
      </c>
      <c r="J47" s="382">
        <v>0</v>
      </c>
      <c r="K47" s="351">
        <v>0</v>
      </c>
      <c r="L47" s="351">
        <v>0</v>
      </c>
      <c r="M47" s="351">
        <v>0</v>
      </c>
      <c r="N47" s="449">
        <f t="shared" si="2"/>
        <v>0</v>
      </c>
      <c r="O47" s="804">
        <f t="shared" si="0"/>
        <v>0</v>
      </c>
      <c r="P47" s="359">
        <f t="shared" si="1"/>
        <v>2329</v>
      </c>
      <c r="Q47" s="27">
        <v>0</v>
      </c>
      <c r="R47" s="25">
        <v>0</v>
      </c>
      <c r="S47" s="25">
        <v>0</v>
      </c>
      <c r="T47" s="360"/>
    </row>
    <row r="48" spans="1:20" ht="12.75">
      <c r="A48" s="25">
        <v>646</v>
      </c>
      <c r="B48" s="26" t="s">
        <v>76</v>
      </c>
      <c r="C48" s="25">
        <v>906</v>
      </c>
      <c r="D48" s="155">
        <v>170</v>
      </c>
      <c r="E48" s="383">
        <v>216</v>
      </c>
      <c r="F48" s="284">
        <v>261</v>
      </c>
      <c r="G48" s="351">
        <v>327</v>
      </c>
      <c r="H48" s="351">
        <v>350</v>
      </c>
      <c r="I48" s="382">
        <f t="shared" si="3"/>
        <v>646</v>
      </c>
      <c r="J48" s="382">
        <v>414.7</v>
      </c>
      <c r="K48" s="351">
        <v>0</v>
      </c>
      <c r="L48" s="351">
        <v>0</v>
      </c>
      <c r="M48" s="351">
        <v>0</v>
      </c>
      <c r="N48" s="449">
        <f t="shared" si="2"/>
        <v>0</v>
      </c>
      <c r="O48" s="804">
        <f t="shared" si="0"/>
        <v>0</v>
      </c>
      <c r="P48" s="359">
        <f t="shared" si="1"/>
        <v>1233</v>
      </c>
      <c r="Q48" s="27">
        <v>0</v>
      </c>
      <c r="R48" s="25">
        <v>0</v>
      </c>
      <c r="S48" s="25">
        <v>0</v>
      </c>
      <c r="T48" s="360"/>
    </row>
    <row r="49" spans="1:20" ht="12.75">
      <c r="A49" s="25">
        <v>647</v>
      </c>
      <c r="B49" s="26" t="s">
        <v>77</v>
      </c>
      <c r="C49" s="25">
        <v>1830</v>
      </c>
      <c r="D49" s="155">
        <v>58</v>
      </c>
      <c r="E49" s="155">
        <v>58</v>
      </c>
      <c r="F49" s="284">
        <f>IF(C49&lt;972,E49+44,E49)</f>
        <v>58</v>
      </c>
      <c r="G49" s="284">
        <v>58</v>
      </c>
      <c r="H49" s="284">
        <v>58</v>
      </c>
      <c r="I49" s="382">
        <f t="shared" si="3"/>
        <v>647</v>
      </c>
      <c r="J49" s="382">
        <v>58</v>
      </c>
      <c r="K49" s="351">
        <v>0</v>
      </c>
      <c r="L49" s="351">
        <v>0</v>
      </c>
      <c r="M49" s="351">
        <v>0</v>
      </c>
      <c r="N49" s="449">
        <f t="shared" si="2"/>
        <v>0</v>
      </c>
      <c r="O49" s="804">
        <f t="shared" si="0"/>
        <v>0</v>
      </c>
      <c r="P49" s="359">
        <f t="shared" si="1"/>
        <v>1888</v>
      </c>
      <c r="Q49" s="27">
        <v>0</v>
      </c>
      <c r="R49" s="25">
        <v>0</v>
      </c>
      <c r="S49" s="25">
        <v>0</v>
      </c>
      <c r="T49" s="360"/>
    </row>
    <row r="50" spans="1:20" ht="12.75">
      <c r="A50" s="25">
        <v>648</v>
      </c>
      <c r="B50" s="26" t="s">
        <v>78</v>
      </c>
      <c r="C50" s="25">
        <v>1740</v>
      </c>
      <c r="D50" s="155">
        <v>70</v>
      </c>
      <c r="E50" s="155">
        <v>70</v>
      </c>
      <c r="F50" s="284">
        <f>IF(C50&lt;972,E50+44,E50)</f>
        <v>70</v>
      </c>
      <c r="G50" s="284">
        <v>70</v>
      </c>
      <c r="H50" s="284">
        <v>70</v>
      </c>
      <c r="I50" s="382">
        <f t="shared" si="3"/>
        <v>648</v>
      </c>
      <c r="J50" s="382">
        <v>70</v>
      </c>
      <c r="K50" s="351">
        <v>517.6</v>
      </c>
      <c r="L50" s="351">
        <v>517.6</v>
      </c>
      <c r="M50" s="351">
        <v>517.6</v>
      </c>
      <c r="N50" s="449">
        <f t="shared" si="2"/>
        <v>517.6</v>
      </c>
      <c r="O50" s="804">
        <f t="shared" si="0"/>
        <v>517.6</v>
      </c>
      <c r="P50" s="359">
        <f t="shared" si="1"/>
        <v>2327.6</v>
      </c>
      <c r="Q50" s="27">
        <v>0</v>
      </c>
      <c r="R50" s="25">
        <v>0</v>
      </c>
      <c r="S50" s="25">
        <v>0</v>
      </c>
      <c r="T50" s="360"/>
    </row>
    <row r="51" spans="1:20" ht="12.75">
      <c r="A51" s="25">
        <v>649</v>
      </c>
      <c r="B51" s="26" t="s">
        <v>79</v>
      </c>
      <c r="C51" s="25">
        <v>971</v>
      </c>
      <c r="D51" s="155">
        <v>170</v>
      </c>
      <c r="E51" s="383">
        <v>216</v>
      </c>
      <c r="F51" s="284">
        <v>261</v>
      </c>
      <c r="G51" s="351">
        <v>327</v>
      </c>
      <c r="H51" s="351">
        <v>350</v>
      </c>
      <c r="I51" s="382">
        <f t="shared" si="3"/>
        <v>649</v>
      </c>
      <c r="J51" s="382">
        <v>414.7</v>
      </c>
      <c r="K51" s="351">
        <v>0</v>
      </c>
      <c r="L51" s="351">
        <v>0</v>
      </c>
      <c r="M51" s="351">
        <v>0</v>
      </c>
      <c r="N51" s="449">
        <f t="shared" si="2"/>
        <v>0</v>
      </c>
      <c r="O51" s="804">
        <f t="shared" si="0"/>
        <v>0</v>
      </c>
      <c r="P51" s="359">
        <f t="shared" si="1"/>
        <v>1298</v>
      </c>
      <c r="Q51" s="27">
        <v>0</v>
      </c>
      <c r="R51" s="25">
        <v>0</v>
      </c>
      <c r="S51" s="25">
        <v>0</v>
      </c>
      <c r="T51" s="360"/>
    </row>
    <row r="52" spans="1:20" ht="12.75">
      <c r="A52" s="25">
        <v>650</v>
      </c>
      <c r="B52" s="26" t="s">
        <v>80</v>
      </c>
      <c r="C52" s="25">
        <v>1740</v>
      </c>
      <c r="D52" s="155">
        <v>70</v>
      </c>
      <c r="E52" s="155">
        <v>70</v>
      </c>
      <c r="F52" s="284">
        <f>IF(C52&lt;972,E52+44,E52)</f>
        <v>70</v>
      </c>
      <c r="G52" s="284">
        <v>70</v>
      </c>
      <c r="H52" s="284">
        <v>70</v>
      </c>
      <c r="I52" s="382">
        <f t="shared" si="3"/>
        <v>650</v>
      </c>
      <c r="J52" s="382">
        <v>70</v>
      </c>
      <c r="K52" s="351">
        <v>0</v>
      </c>
      <c r="L52" s="351">
        <v>0</v>
      </c>
      <c r="M52" s="351">
        <v>0</v>
      </c>
      <c r="N52" s="449">
        <f t="shared" si="2"/>
        <v>0</v>
      </c>
      <c r="O52" s="804">
        <f t="shared" si="0"/>
        <v>0</v>
      </c>
      <c r="P52" s="359">
        <f t="shared" si="1"/>
        <v>1810</v>
      </c>
      <c r="Q52" s="27">
        <v>0</v>
      </c>
      <c r="R52" s="25">
        <v>750</v>
      </c>
      <c r="S52" s="25">
        <v>0</v>
      </c>
      <c r="T52" s="360"/>
    </row>
    <row r="53" spans="1:20" ht="12.75">
      <c r="A53" s="25">
        <v>651</v>
      </c>
      <c r="B53" s="26" t="s">
        <v>81</v>
      </c>
      <c r="C53" s="25">
        <v>971</v>
      </c>
      <c r="D53" s="155">
        <v>170</v>
      </c>
      <c r="E53" s="383">
        <v>216</v>
      </c>
      <c r="F53" s="284">
        <v>261</v>
      </c>
      <c r="G53" s="351">
        <v>327</v>
      </c>
      <c r="H53" s="351">
        <v>350</v>
      </c>
      <c r="I53" s="382">
        <f t="shared" si="3"/>
        <v>651</v>
      </c>
      <c r="J53" s="382">
        <v>414.7</v>
      </c>
      <c r="K53" s="351">
        <v>0</v>
      </c>
      <c r="L53" s="351">
        <v>0</v>
      </c>
      <c r="M53" s="351">
        <v>0</v>
      </c>
      <c r="N53" s="449">
        <f t="shared" si="2"/>
        <v>0</v>
      </c>
      <c r="O53" s="804">
        <f t="shared" si="0"/>
        <v>0</v>
      </c>
      <c r="P53" s="359">
        <f t="shared" si="1"/>
        <v>1298</v>
      </c>
      <c r="Q53" s="27">
        <v>0</v>
      </c>
      <c r="R53" s="25">
        <v>0</v>
      </c>
      <c r="S53" s="25">
        <v>0</v>
      </c>
      <c r="T53" s="360"/>
    </row>
    <row r="54" spans="1:20" ht="12.75">
      <c r="A54" s="25">
        <v>652</v>
      </c>
      <c r="B54" s="26" t="s">
        <v>82</v>
      </c>
      <c r="C54" s="25">
        <v>1250</v>
      </c>
      <c r="D54" s="155">
        <v>134</v>
      </c>
      <c r="E54" s="155">
        <v>134</v>
      </c>
      <c r="F54" s="284">
        <f aca="true" t="shared" si="6" ref="F54:F64">IF(C54&lt;972,E54+44,E54)</f>
        <v>134</v>
      </c>
      <c r="G54" s="284">
        <v>134</v>
      </c>
      <c r="H54" s="284">
        <v>134</v>
      </c>
      <c r="I54" s="382">
        <f t="shared" si="3"/>
        <v>652</v>
      </c>
      <c r="J54" s="382">
        <v>134</v>
      </c>
      <c r="K54" s="351">
        <v>0</v>
      </c>
      <c r="L54" s="351">
        <v>0</v>
      </c>
      <c r="M54" s="351">
        <v>0</v>
      </c>
      <c r="N54" s="449">
        <f t="shared" si="2"/>
        <v>0</v>
      </c>
      <c r="O54" s="804">
        <f t="shared" si="0"/>
        <v>0</v>
      </c>
      <c r="P54" s="359">
        <f t="shared" si="1"/>
        <v>1384</v>
      </c>
      <c r="Q54" s="27">
        <v>0</v>
      </c>
      <c r="R54" s="25">
        <v>0</v>
      </c>
      <c r="S54" s="25">
        <v>0</v>
      </c>
      <c r="T54" s="360"/>
    </row>
    <row r="55" spans="1:20" ht="12.75">
      <c r="A55" s="25">
        <v>653</v>
      </c>
      <c r="B55" s="26" t="s">
        <v>83</v>
      </c>
      <c r="C55" s="25">
        <v>1400</v>
      </c>
      <c r="D55" s="155">
        <v>114</v>
      </c>
      <c r="E55" s="155">
        <v>114</v>
      </c>
      <c r="F55" s="284">
        <f t="shared" si="6"/>
        <v>114</v>
      </c>
      <c r="G55" s="284">
        <v>114</v>
      </c>
      <c r="H55" s="284">
        <v>114</v>
      </c>
      <c r="I55" s="382">
        <f t="shared" si="3"/>
        <v>653</v>
      </c>
      <c r="J55" s="382">
        <v>114</v>
      </c>
      <c r="K55" s="351">
        <v>0</v>
      </c>
      <c r="L55" s="351">
        <v>0</v>
      </c>
      <c r="M55" s="351">
        <v>388</v>
      </c>
      <c r="N55" s="449">
        <f t="shared" si="2"/>
        <v>388</v>
      </c>
      <c r="O55" s="804">
        <f t="shared" si="0"/>
        <v>388</v>
      </c>
      <c r="P55" s="359">
        <f t="shared" si="1"/>
        <v>1902</v>
      </c>
      <c r="Q55" s="27">
        <v>0</v>
      </c>
      <c r="R55" s="25">
        <v>100</v>
      </c>
      <c r="S55" s="25">
        <v>0</v>
      </c>
      <c r="T55" s="360"/>
    </row>
    <row r="56" spans="1:20" ht="12.75">
      <c r="A56" s="25">
        <v>654</v>
      </c>
      <c r="B56" s="26" t="s">
        <v>84</v>
      </c>
      <c r="C56" s="25">
        <v>1690</v>
      </c>
      <c r="D56" s="155">
        <v>76</v>
      </c>
      <c r="E56" s="155">
        <v>76</v>
      </c>
      <c r="F56" s="284">
        <f t="shared" si="6"/>
        <v>76</v>
      </c>
      <c r="G56" s="284">
        <v>76</v>
      </c>
      <c r="H56" s="284">
        <v>76</v>
      </c>
      <c r="I56" s="382">
        <f t="shared" si="3"/>
        <v>654</v>
      </c>
      <c r="J56" s="382">
        <v>76</v>
      </c>
      <c r="K56" s="351">
        <v>0</v>
      </c>
      <c r="L56" s="351">
        <v>0</v>
      </c>
      <c r="M56" s="351">
        <v>453</v>
      </c>
      <c r="N56" s="449">
        <f t="shared" si="2"/>
        <v>453</v>
      </c>
      <c r="O56" s="804">
        <f t="shared" si="0"/>
        <v>453</v>
      </c>
      <c r="P56" s="359">
        <f t="shared" si="1"/>
        <v>2219</v>
      </c>
      <c r="Q56" s="27">
        <v>0</v>
      </c>
      <c r="R56" s="25">
        <v>300</v>
      </c>
      <c r="S56" s="25">
        <v>0</v>
      </c>
      <c r="T56" s="360"/>
    </row>
    <row r="57" spans="1:20" ht="12.75">
      <c r="A57" s="25">
        <v>655</v>
      </c>
      <c r="B57" s="26" t="s">
        <v>85</v>
      </c>
      <c r="C57" s="25">
        <v>1550</v>
      </c>
      <c r="D57" s="155">
        <v>94</v>
      </c>
      <c r="E57" s="155">
        <v>94</v>
      </c>
      <c r="F57" s="284">
        <f t="shared" si="6"/>
        <v>94</v>
      </c>
      <c r="G57" s="284">
        <v>94</v>
      </c>
      <c r="H57" s="284">
        <v>94</v>
      </c>
      <c r="I57" s="382">
        <f t="shared" si="3"/>
        <v>655</v>
      </c>
      <c r="J57" s="382">
        <v>94</v>
      </c>
      <c r="K57" s="351">
        <v>0</v>
      </c>
      <c r="L57" s="351">
        <v>0</v>
      </c>
      <c r="M57" s="351">
        <v>388</v>
      </c>
      <c r="N57" s="449">
        <f t="shared" si="2"/>
        <v>388</v>
      </c>
      <c r="O57" s="804">
        <f t="shared" si="0"/>
        <v>388</v>
      </c>
      <c r="P57" s="359">
        <f t="shared" si="1"/>
        <v>2032</v>
      </c>
      <c r="Q57" s="27">
        <v>0</v>
      </c>
      <c r="R57" s="25">
        <v>200</v>
      </c>
      <c r="S57" s="25">
        <v>0</v>
      </c>
      <c r="T57" s="360"/>
    </row>
    <row r="58" spans="1:20" ht="12.75">
      <c r="A58" s="25">
        <v>657</v>
      </c>
      <c r="B58" s="26" t="s">
        <v>86</v>
      </c>
      <c r="C58" s="25">
        <v>1340</v>
      </c>
      <c r="D58" s="155">
        <v>122</v>
      </c>
      <c r="E58" s="155">
        <v>122</v>
      </c>
      <c r="F58" s="284">
        <f t="shared" si="6"/>
        <v>122</v>
      </c>
      <c r="G58" s="284">
        <v>122</v>
      </c>
      <c r="H58" s="284">
        <v>122</v>
      </c>
      <c r="I58" s="382">
        <f t="shared" si="3"/>
        <v>657</v>
      </c>
      <c r="J58" s="382">
        <v>122</v>
      </c>
      <c r="K58" s="351">
        <v>0</v>
      </c>
      <c r="L58" s="351">
        <v>0</v>
      </c>
      <c r="M58" s="351">
        <v>0</v>
      </c>
      <c r="N58" s="449">
        <f t="shared" si="2"/>
        <v>0</v>
      </c>
      <c r="O58" s="804">
        <f t="shared" si="0"/>
        <v>0</v>
      </c>
      <c r="P58" s="359">
        <f t="shared" si="1"/>
        <v>1462</v>
      </c>
      <c r="Q58" s="27">
        <v>0</v>
      </c>
      <c r="R58" s="25">
        <v>0</v>
      </c>
      <c r="S58" s="25">
        <v>0</v>
      </c>
      <c r="T58" s="360"/>
    </row>
    <row r="59" spans="1:20" ht="12.75">
      <c r="A59" s="25">
        <v>658</v>
      </c>
      <c r="B59" s="26" t="s">
        <v>87</v>
      </c>
      <c r="C59" s="25">
        <v>1300</v>
      </c>
      <c r="D59" s="155">
        <v>127</v>
      </c>
      <c r="E59" s="155">
        <v>127</v>
      </c>
      <c r="F59" s="284">
        <f t="shared" si="6"/>
        <v>127</v>
      </c>
      <c r="G59" s="284">
        <v>127</v>
      </c>
      <c r="H59" s="284">
        <v>127</v>
      </c>
      <c r="I59" s="382">
        <f t="shared" si="3"/>
        <v>658</v>
      </c>
      <c r="J59" s="382">
        <v>127</v>
      </c>
      <c r="K59" s="351">
        <v>0</v>
      </c>
      <c r="L59" s="351">
        <v>0</v>
      </c>
      <c r="M59" s="351">
        <v>0</v>
      </c>
      <c r="N59" s="449">
        <f t="shared" si="2"/>
        <v>0</v>
      </c>
      <c r="O59" s="804">
        <f t="shared" si="0"/>
        <v>0</v>
      </c>
      <c r="P59" s="359">
        <f t="shared" si="1"/>
        <v>1427</v>
      </c>
      <c r="Q59" s="27">
        <v>0</v>
      </c>
      <c r="R59" s="25">
        <v>0</v>
      </c>
      <c r="S59" s="25">
        <v>0</v>
      </c>
      <c r="T59" s="360"/>
    </row>
    <row r="60" spans="1:20" ht="12.75">
      <c r="A60" s="25">
        <v>659</v>
      </c>
      <c r="B60" s="26" t="s">
        <v>88</v>
      </c>
      <c r="C60" s="25">
        <v>1340</v>
      </c>
      <c r="D60" s="155">
        <v>122</v>
      </c>
      <c r="E60" s="155">
        <v>122</v>
      </c>
      <c r="F60" s="284">
        <f t="shared" si="6"/>
        <v>122</v>
      </c>
      <c r="G60" s="284">
        <v>122</v>
      </c>
      <c r="H60" s="284">
        <v>122</v>
      </c>
      <c r="I60" s="382">
        <f t="shared" si="3"/>
        <v>659</v>
      </c>
      <c r="J60" s="382">
        <v>122</v>
      </c>
      <c r="K60" s="351">
        <v>0</v>
      </c>
      <c r="L60" s="351">
        <v>0</v>
      </c>
      <c r="M60" s="351">
        <v>0</v>
      </c>
      <c r="N60" s="449">
        <f t="shared" si="2"/>
        <v>0</v>
      </c>
      <c r="O60" s="804">
        <f t="shared" si="0"/>
        <v>0</v>
      </c>
      <c r="P60" s="359">
        <f t="shared" si="1"/>
        <v>1462</v>
      </c>
      <c r="Q60" s="27">
        <v>0</v>
      </c>
      <c r="R60" s="25">
        <v>0</v>
      </c>
      <c r="S60" s="25">
        <v>0</v>
      </c>
      <c r="T60" s="360"/>
    </row>
    <row r="61" spans="1:20" ht="12.75">
      <c r="A61" s="25">
        <v>660</v>
      </c>
      <c r="B61" s="26" t="s">
        <v>89</v>
      </c>
      <c r="C61" s="25">
        <v>1300</v>
      </c>
      <c r="D61" s="155">
        <v>127</v>
      </c>
      <c r="E61" s="155">
        <v>127</v>
      </c>
      <c r="F61" s="284">
        <f t="shared" si="6"/>
        <v>127</v>
      </c>
      <c r="G61" s="284">
        <v>127</v>
      </c>
      <c r="H61" s="284">
        <v>127</v>
      </c>
      <c r="I61" s="382">
        <f t="shared" si="3"/>
        <v>660</v>
      </c>
      <c r="J61" s="382">
        <v>127</v>
      </c>
      <c r="K61" s="351">
        <v>0</v>
      </c>
      <c r="L61" s="351">
        <v>0</v>
      </c>
      <c r="M61" s="351">
        <v>0</v>
      </c>
      <c r="N61" s="449">
        <f t="shared" si="2"/>
        <v>0</v>
      </c>
      <c r="O61" s="804">
        <f t="shared" si="0"/>
        <v>0</v>
      </c>
      <c r="P61" s="359">
        <f t="shared" si="1"/>
        <v>1427</v>
      </c>
      <c r="Q61" s="27">
        <v>0</v>
      </c>
      <c r="R61" s="25">
        <v>0</v>
      </c>
      <c r="S61" s="25">
        <v>0</v>
      </c>
      <c r="T61" s="360"/>
    </row>
    <row r="62" spans="1:20" ht="12.75">
      <c r="A62" s="25">
        <v>661</v>
      </c>
      <c r="B62" s="26" t="s">
        <v>90</v>
      </c>
      <c r="C62" s="25">
        <v>1300</v>
      </c>
      <c r="D62" s="155">
        <v>127</v>
      </c>
      <c r="E62" s="155">
        <v>127</v>
      </c>
      <c r="F62" s="284">
        <f t="shared" si="6"/>
        <v>127</v>
      </c>
      <c r="G62" s="284">
        <v>127</v>
      </c>
      <c r="H62" s="284">
        <v>127</v>
      </c>
      <c r="I62" s="382">
        <f t="shared" si="3"/>
        <v>661</v>
      </c>
      <c r="J62" s="382">
        <v>127</v>
      </c>
      <c r="K62" s="351">
        <v>0</v>
      </c>
      <c r="L62" s="351">
        <v>0</v>
      </c>
      <c r="M62" s="351">
        <v>0</v>
      </c>
      <c r="N62" s="449">
        <f t="shared" si="2"/>
        <v>0</v>
      </c>
      <c r="O62" s="804">
        <f t="shared" si="0"/>
        <v>0</v>
      </c>
      <c r="P62" s="359">
        <f t="shared" si="1"/>
        <v>1427</v>
      </c>
      <c r="Q62" s="27">
        <v>0</v>
      </c>
      <c r="R62" s="25">
        <v>0</v>
      </c>
      <c r="S62" s="25">
        <v>0</v>
      </c>
      <c r="T62" s="360"/>
    </row>
    <row r="63" spans="1:20" ht="12.75">
      <c r="A63" s="25">
        <v>662</v>
      </c>
      <c r="B63" s="26" t="s">
        <v>91</v>
      </c>
      <c r="C63" s="25">
        <v>1690</v>
      </c>
      <c r="D63" s="155">
        <v>76</v>
      </c>
      <c r="E63" s="155">
        <v>76</v>
      </c>
      <c r="F63" s="284">
        <f t="shared" si="6"/>
        <v>76</v>
      </c>
      <c r="G63" s="284">
        <v>76</v>
      </c>
      <c r="H63" s="284">
        <v>76</v>
      </c>
      <c r="I63" s="382">
        <f t="shared" si="3"/>
        <v>662</v>
      </c>
      <c r="J63" s="382">
        <v>76</v>
      </c>
      <c r="K63" s="351">
        <v>0</v>
      </c>
      <c r="L63" s="351">
        <v>0</v>
      </c>
      <c r="M63" s="351">
        <v>0</v>
      </c>
      <c r="N63" s="449">
        <f t="shared" si="2"/>
        <v>0</v>
      </c>
      <c r="O63" s="804">
        <f t="shared" si="0"/>
        <v>0</v>
      </c>
      <c r="P63" s="359">
        <f t="shared" si="1"/>
        <v>1766</v>
      </c>
      <c r="Q63" s="27">
        <v>0</v>
      </c>
      <c r="R63" s="25">
        <v>708</v>
      </c>
      <c r="S63" s="25">
        <v>0</v>
      </c>
      <c r="T63" s="360"/>
    </row>
    <row r="64" spans="1:20" ht="12.75">
      <c r="A64" s="25">
        <v>663</v>
      </c>
      <c r="B64" s="26" t="s">
        <v>92</v>
      </c>
      <c r="C64" s="25">
        <v>1500</v>
      </c>
      <c r="D64" s="155">
        <v>101</v>
      </c>
      <c r="E64" s="155">
        <v>101</v>
      </c>
      <c r="F64" s="284">
        <f t="shared" si="6"/>
        <v>101</v>
      </c>
      <c r="G64" s="284">
        <v>101</v>
      </c>
      <c r="H64" s="284">
        <v>101</v>
      </c>
      <c r="I64" s="382">
        <f t="shared" si="3"/>
        <v>663</v>
      </c>
      <c r="J64" s="382">
        <v>101</v>
      </c>
      <c r="K64" s="351">
        <v>0</v>
      </c>
      <c r="L64" s="351">
        <v>0</v>
      </c>
      <c r="M64" s="351">
        <v>388</v>
      </c>
      <c r="N64" s="449">
        <f t="shared" si="2"/>
        <v>388</v>
      </c>
      <c r="O64" s="804">
        <f t="shared" si="0"/>
        <v>388</v>
      </c>
      <c r="P64" s="359">
        <f t="shared" si="1"/>
        <v>1989</v>
      </c>
      <c r="Q64" s="27">
        <v>0</v>
      </c>
      <c r="R64" s="25">
        <v>0</v>
      </c>
      <c r="S64" s="25">
        <v>0</v>
      </c>
      <c r="T64" s="360"/>
    </row>
    <row r="65" spans="1:20" ht="12.75">
      <c r="A65" s="25">
        <v>664</v>
      </c>
      <c r="B65" s="26" t="s">
        <v>93</v>
      </c>
      <c r="C65" s="25">
        <v>971</v>
      </c>
      <c r="D65" s="155">
        <v>170</v>
      </c>
      <c r="E65" s="383">
        <v>216</v>
      </c>
      <c r="F65" s="284">
        <v>261</v>
      </c>
      <c r="G65" s="351">
        <v>327</v>
      </c>
      <c r="H65" s="351">
        <v>350</v>
      </c>
      <c r="I65" s="382">
        <f t="shared" si="3"/>
        <v>664</v>
      </c>
      <c r="J65" s="382">
        <v>414.7</v>
      </c>
      <c r="K65" s="351">
        <v>0</v>
      </c>
      <c r="L65" s="351">
        <v>0</v>
      </c>
      <c r="M65" s="351">
        <v>0</v>
      </c>
      <c r="N65" s="449">
        <f t="shared" si="2"/>
        <v>0</v>
      </c>
      <c r="O65" s="804">
        <f t="shared" si="0"/>
        <v>0</v>
      </c>
      <c r="P65" s="359">
        <f t="shared" si="1"/>
        <v>1298</v>
      </c>
      <c r="Q65" s="27">
        <v>0</v>
      </c>
      <c r="R65" s="25">
        <v>620</v>
      </c>
      <c r="S65" s="25">
        <v>0</v>
      </c>
      <c r="T65" s="360"/>
    </row>
    <row r="66" spans="1:20" ht="12.75">
      <c r="A66" s="25">
        <v>667</v>
      </c>
      <c r="B66" s="26" t="s">
        <v>94</v>
      </c>
      <c r="C66" s="25">
        <v>2000</v>
      </c>
      <c r="D66" s="155">
        <v>36</v>
      </c>
      <c r="E66" s="155">
        <v>36</v>
      </c>
      <c r="F66" s="284">
        <f aca="true" t="shared" si="7" ref="F66:F92">IF(C66&lt;972,E66+44,E66)</f>
        <v>36</v>
      </c>
      <c r="G66" s="284">
        <v>36</v>
      </c>
      <c r="H66" s="284">
        <v>36</v>
      </c>
      <c r="I66" s="382">
        <f t="shared" si="3"/>
        <v>667</v>
      </c>
      <c r="J66" s="382">
        <v>36</v>
      </c>
      <c r="K66" s="351">
        <v>647</v>
      </c>
      <c r="L66" s="351">
        <v>647</v>
      </c>
      <c r="M66" s="351">
        <v>647</v>
      </c>
      <c r="N66" s="449">
        <f t="shared" si="2"/>
        <v>647</v>
      </c>
      <c r="O66" s="804">
        <f t="shared" si="0"/>
        <v>647</v>
      </c>
      <c r="P66" s="359">
        <f t="shared" si="1"/>
        <v>2683</v>
      </c>
      <c r="Q66" s="27">
        <v>0</v>
      </c>
      <c r="R66" s="25">
        <v>830</v>
      </c>
      <c r="S66" s="25">
        <v>0</v>
      </c>
      <c r="T66" s="360"/>
    </row>
    <row r="67" spans="1:20" ht="12.75">
      <c r="A67" s="25">
        <v>668</v>
      </c>
      <c r="B67" s="26" t="s">
        <v>95</v>
      </c>
      <c r="C67" s="25">
        <v>1840</v>
      </c>
      <c r="D67" s="155">
        <v>57</v>
      </c>
      <c r="E67" s="155">
        <v>57</v>
      </c>
      <c r="F67" s="284">
        <f t="shared" si="7"/>
        <v>57</v>
      </c>
      <c r="G67" s="284">
        <v>57</v>
      </c>
      <c r="H67" s="284">
        <v>57</v>
      </c>
      <c r="I67" s="382">
        <f t="shared" si="3"/>
        <v>668</v>
      </c>
      <c r="J67" s="382">
        <v>57</v>
      </c>
      <c r="K67" s="351">
        <v>582.3</v>
      </c>
      <c r="L67" s="351">
        <v>582.3</v>
      </c>
      <c r="M67" s="351">
        <v>582.3</v>
      </c>
      <c r="N67" s="449">
        <f t="shared" si="2"/>
        <v>582.3</v>
      </c>
      <c r="O67" s="804">
        <f t="shared" si="2"/>
        <v>582.3</v>
      </c>
      <c r="P67" s="359">
        <f aca="true" t="shared" si="8" ref="P67:P130">C67+G67+M67</f>
        <v>2479.3</v>
      </c>
      <c r="Q67" s="27">
        <v>0</v>
      </c>
      <c r="R67" s="25">
        <v>830</v>
      </c>
      <c r="S67" s="25">
        <v>0</v>
      </c>
      <c r="T67" s="360"/>
    </row>
    <row r="68" spans="1:20" ht="12.75">
      <c r="A68" s="25">
        <v>669</v>
      </c>
      <c r="B68" s="26" t="s">
        <v>96</v>
      </c>
      <c r="C68" s="25">
        <v>1680</v>
      </c>
      <c r="D68" s="155">
        <v>77</v>
      </c>
      <c r="E68" s="155">
        <v>77</v>
      </c>
      <c r="F68" s="284">
        <f t="shared" si="7"/>
        <v>77</v>
      </c>
      <c r="G68" s="284">
        <v>77</v>
      </c>
      <c r="H68" s="284">
        <v>77</v>
      </c>
      <c r="I68" s="382">
        <f t="shared" si="3"/>
        <v>669</v>
      </c>
      <c r="J68" s="382">
        <v>77</v>
      </c>
      <c r="K68" s="351">
        <v>452.9</v>
      </c>
      <c r="L68" s="351">
        <v>452.9</v>
      </c>
      <c r="M68" s="351">
        <v>452.9</v>
      </c>
      <c r="N68" s="449">
        <f aca="true" t="shared" si="9" ref="N68:O97">M68</f>
        <v>452.9</v>
      </c>
      <c r="O68" s="804">
        <f t="shared" si="9"/>
        <v>452.9</v>
      </c>
      <c r="P68" s="359">
        <f t="shared" si="8"/>
        <v>2209.9</v>
      </c>
      <c r="Q68" s="27">
        <v>0</v>
      </c>
      <c r="R68" s="25">
        <v>830</v>
      </c>
      <c r="S68" s="25">
        <v>0</v>
      </c>
      <c r="T68" s="360"/>
    </row>
    <row r="69" spans="1:20" ht="12.75">
      <c r="A69" s="25">
        <v>670</v>
      </c>
      <c r="B69" s="26" t="s">
        <v>97</v>
      </c>
      <c r="C69" s="25">
        <v>1740</v>
      </c>
      <c r="D69" s="155">
        <v>70</v>
      </c>
      <c r="E69" s="155">
        <v>70</v>
      </c>
      <c r="F69" s="284">
        <f t="shared" si="7"/>
        <v>70</v>
      </c>
      <c r="G69" s="284">
        <v>70</v>
      </c>
      <c r="H69" s="284">
        <v>70</v>
      </c>
      <c r="I69" s="382">
        <f t="shared" si="3"/>
        <v>670</v>
      </c>
      <c r="J69" s="382">
        <v>70</v>
      </c>
      <c r="K69" s="351">
        <v>517.6</v>
      </c>
      <c r="L69" s="351">
        <v>517.6</v>
      </c>
      <c r="M69" s="351">
        <v>517.6</v>
      </c>
      <c r="N69" s="449">
        <f t="shared" si="9"/>
        <v>517.6</v>
      </c>
      <c r="O69" s="804">
        <f t="shared" si="9"/>
        <v>517.6</v>
      </c>
      <c r="P69" s="359">
        <f t="shared" si="8"/>
        <v>2327.6</v>
      </c>
      <c r="Q69" s="27">
        <v>0</v>
      </c>
      <c r="R69" s="25">
        <v>750</v>
      </c>
      <c r="S69" s="25">
        <v>0</v>
      </c>
      <c r="T69" s="360"/>
    </row>
    <row r="70" spans="1:20" ht="12.75">
      <c r="A70" s="25">
        <v>671</v>
      </c>
      <c r="B70" s="26" t="s">
        <v>98</v>
      </c>
      <c r="C70" s="25">
        <v>1610</v>
      </c>
      <c r="D70" s="155">
        <v>87</v>
      </c>
      <c r="E70" s="155">
        <v>87</v>
      </c>
      <c r="F70" s="284">
        <f t="shared" si="7"/>
        <v>87</v>
      </c>
      <c r="G70" s="284">
        <v>87</v>
      </c>
      <c r="H70" s="284">
        <v>87</v>
      </c>
      <c r="I70" s="382">
        <f aca="true" t="shared" si="10" ref="I70:I133">A70</f>
        <v>671</v>
      </c>
      <c r="J70" s="382">
        <v>87</v>
      </c>
      <c r="K70" s="351">
        <v>0</v>
      </c>
      <c r="L70" s="351">
        <v>0</v>
      </c>
      <c r="M70" s="351">
        <v>0</v>
      </c>
      <c r="N70" s="449">
        <f t="shared" si="9"/>
        <v>0</v>
      </c>
      <c r="O70" s="804">
        <f t="shared" si="9"/>
        <v>0</v>
      </c>
      <c r="P70" s="359">
        <f t="shared" si="8"/>
        <v>1697</v>
      </c>
      <c r="Q70" s="27">
        <v>0</v>
      </c>
      <c r="R70" s="25">
        <v>750</v>
      </c>
      <c r="S70" s="25">
        <v>0</v>
      </c>
      <c r="T70" s="360"/>
    </row>
    <row r="71" spans="1:20" ht="12.75">
      <c r="A71" s="25">
        <v>672</v>
      </c>
      <c r="B71" s="26" t="s">
        <v>99</v>
      </c>
      <c r="C71" s="25">
        <v>2000</v>
      </c>
      <c r="D71" s="155">
        <v>36</v>
      </c>
      <c r="E71" s="155">
        <v>36</v>
      </c>
      <c r="F71" s="284">
        <f t="shared" si="7"/>
        <v>36</v>
      </c>
      <c r="G71" s="284">
        <v>36</v>
      </c>
      <c r="H71" s="284">
        <v>36</v>
      </c>
      <c r="I71" s="382">
        <f t="shared" si="10"/>
        <v>672</v>
      </c>
      <c r="J71" s="382">
        <v>36</v>
      </c>
      <c r="K71" s="351">
        <v>647</v>
      </c>
      <c r="L71" s="351">
        <v>647</v>
      </c>
      <c r="M71" s="351">
        <v>647</v>
      </c>
      <c r="N71" s="449">
        <f t="shared" si="9"/>
        <v>647</v>
      </c>
      <c r="O71" s="804">
        <f t="shared" si="9"/>
        <v>647</v>
      </c>
      <c r="P71" s="359">
        <f t="shared" si="8"/>
        <v>2683</v>
      </c>
      <c r="Q71" s="27">
        <v>0</v>
      </c>
      <c r="R71" s="25">
        <v>300</v>
      </c>
      <c r="S71" s="25">
        <v>0</v>
      </c>
      <c r="T71" s="360"/>
    </row>
    <row r="72" spans="1:20" ht="12.75">
      <c r="A72" s="25">
        <v>673</v>
      </c>
      <c r="B72" s="26" t="s">
        <v>100</v>
      </c>
      <c r="C72" s="25">
        <v>1840</v>
      </c>
      <c r="D72" s="155">
        <v>57</v>
      </c>
      <c r="E72" s="155">
        <v>57</v>
      </c>
      <c r="F72" s="284">
        <f t="shared" si="7"/>
        <v>57</v>
      </c>
      <c r="G72" s="284">
        <v>57</v>
      </c>
      <c r="H72" s="284">
        <v>57</v>
      </c>
      <c r="I72" s="382">
        <f t="shared" si="10"/>
        <v>673</v>
      </c>
      <c r="J72" s="382">
        <v>57</v>
      </c>
      <c r="K72" s="351">
        <v>582.3</v>
      </c>
      <c r="L72" s="351">
        <v>582.3</v>
      </c>
      <c r="M72" s="351">
        <v>582.3</v>
      </c>
      <c r="N72" s="449">
        <f t="shared" si="9"/>
        <v>582.3</v>
      </c>
      <c r="O72" s="804">
        <f t="shared" si="9"/>
        <v>582.3</v>
      </c>
      <c r="P72" s="359">
        <f t="shared" si="8"/>
        <v>2479.3</v>
      </c>
      <c r="Q72" s="27">
        <v>0</v>
      </c>
      <c r="R72" s="25">
        <v>300</v>
      </c>
      <c r="S72" s="25">
        <v>0</v>
      </c>
      <c r="T72" s="360"/>
    </row>
    <row r="73" spans="1:20" ht="12.75">
      <c r="A73" s="25">
        <v>674</v>
      </c>
      <c r="B73" s="26" t="s">
        <v>101</v>
      </c>
      <c r="C73" s="25">
        <v>1680</v>
      </c>
      <c r="D73" s="155">
        <v>77</v>
      </c>
      <c r="E73" s="155">
        <v>77</v>
      </c>
      <c r="F73" s="284">
        <f t="shared" si="7"/>
        <v>77</v>
      </c>
      <c r="G73" s="284">
        <v>77</v>
      </c>
      <c r="H73" s="284">
        <v>77</v>
      </c>
      <c r="I73" s="382">
        <f t="shared" si="10"/>
        <v>674</v>
      </c>
      <c r="J73" s="382">
        <v>77</v>
      </c>
      <c r="K73" s="351">
        <v>452.9</v>
      </c>
      <c r="L73" s="351">
        <v>452.9</v>
      </c>
      <c r="M73" s="351">
        <v>452.9</v>
      </c>
      <c r="N73" s="449">
        <f t="shared" si="9"/>
        <v>452.9</v>
      </c>
      <c r="O73" s="804">
        <f t="shared" si="9"/>
        <v>452.9</v>
      </c>
      <c r="P73" s="359">
        <f t="shared" si="8"/>
        <v>2209.9</v>
      </c>
      <c r="Q73" s="27">
        <v>0</v>
      </c>
      <c r="R73" s="25">
        <v>300</v>
      </c>
      <c r="S73" s="25">
        <v>0</v>
      </c>
      <c r="T73" s="360"/>
    </row>
    <row r="74" spans="1:20" ht="12.75">
      <c r="A74" s="25">
        <v>675</v>
      </c>
      <c r="B74" s="26" t="s">
        <v>420</v>
      </c>
      <c r="C74" s="25">
        <v>1740</v>
      </c>
      <c r="D74" s="155">
        <v>70</v>
      </c>
      <c r="E74" s="155">
        <v>70</v>
      </c>
      <c r="F74" s="284">
        <f t="shared" si="7"/>
        <v>70</v>
      </c>
      <c r="G74" s="284">
        <v>70</v>
      </c>
      <c r="H74" s="284">
        <v>70</v>
      </c>
      <c r="I74" s="382">
        <f t="shared" si="10"/>
        <v>675</v>
      </c>
      <c r="J74" s="382">
        <v>70</v>
      </c>
      <c r="K74" s="351">
        <v>0</v>
      </c>
      <c r="L74" s="351">
        <v>0</v>
      </c>
      <c r="M74" s="351">
        <v>517</v>
      </c>
      <c r="N74" s="449">
        <f t="shared" si="9"/>
        <v>517</v>
      </c>
      <c r="O74" s="804">
        <f t="shared" si="9"/>
        <v>517</v>
      </c>
      <c r="P74" s="359">
        <f t="shared" si="8"/>
        <v>2327</v>
      </c>
      <c r="Q74" s="27">
        <v>0</v>
      </c>
      <c r="R74" s="25">
        <v>725</v>
      </c>
      <c r="S74" s="25">
        <v>0</v>
      </c>
      <c r="T74" s="360"/>
    </row>
    <row r="75" spans="1:20" ht="12.75">
      <c r="A75" s="25">
        <v>676</v>
      </c>
      <c r="B75" s="26" t="s">
        <v>421</v>
      </c>
      <c r="C75" s="25">
        <v>1610</v>
      </c>
      <c r="D75" s="155">
        <v>87</v>
      </c>
      <c r="E75" s="155">
        <v>87</v>
      </c>
      <c r="F75" s="284">
        <f t="shared" si="7"/>
        <v>87</v>
      </c>
      <c r="G75" s="284">
        <v>87</v>
      </c>
      <c r="H75" s="284">
        <v>87</v>
      </c>
      <c r="I75" s="382">
        <f t="shared" si="10"/>
        <v>676</v>
      </c>
      <c r="J75" s="382">
        <v>87</v>
      </c>
      <c r="K75" s="351">
        <v>0</v>
      </c>
      <c r="L75" s="351">
        <v>0</v>
      </c>
      <c r="M75" s="351">
        <v>388</v>
      </c>
      <c r="N75" s="449">
        <f t="shared" si="9"/>
        <v>388</v>
      </c>
      <c r="O75" s="804">
        <f t="shared" si="9"/>
        <v>388</v>
      </c>
      <c r="P75" s="359">
        <f t="shared" si="8"/>
        <v>2085</v>
      </c>
      <c r="Q75" s="27">
        <v>0</v>
      </c>
      <c r="R75" s="25">
        <v>725</v>
      </c>
      <c r="S75" s="25">
        <v>0</v>
      </c>
      <c r="T75" s="360"/>
    </row>
    <row r="76" spans="1:20" ht="12.75">
      <c r="A76" s="25">
        <v>677</v>
      </c>
      <c r="B76" s="26" t="s">
        <v>422</v>
      </c>
      <c r="C76" s="25">
        <v>1500</v>
      </c>
      <c r="D76" s="155">
        <v>101</v>
      </c>
      <c r="E76" s="155">
        <v>101</v>
      </c>
      <c r="F76" s="284">
        <f t="shared" si="7"/>
        <v>101</v>
      </c>
      <c r="G76" s="284">
        <v>101</v>
      </c>
      <c r="H76" s="284">
        <v>101</v>
      </c>
      <c r="I76" s="382">
        <f t="shared" si="10"/>
        <v>677</v>
      </c>
      <c r="J76" s="382">
        <v>101</v>
      </c>
      <c r="K76" s="351">
        <v>0</v>
      </c>
      <c r="L76" s="351">
        <v>0</v>
      </c>
      <c r="M76" s="351">
        <v>388</v>
      </c>
      <c r="N76" s="449">
        <f t="shared" si="9"/>
        <v>388</v>
      </c>
      <c r="O76" s="804">
        <f t="shared" si="9"/>
        <v>388</v>
      </c>
      <c r="P76" s="359">
        <f t="shared" si="8"/>
        <v>1989</v>
      </c>
      <c r="Q76" s="27">
        <v>0</v>
      </c>
      <c r="R76" s="25">
        <v>725</v>
      </c>
      <c r="S76" s="25">
        <v>0</v>
      </c>
      <c r="T76" s="360"/>
    </row>
    <row r="77" spans="1:20" ht="12.75">
      <c r="A77" s="25">
        <v>678</v>
      </c>
      <c r="B77" s="26" t="s">
        <v>102</v>
      </c>
      <c r="C77" s="25">
        <v>1320</v>
      </c>
      <c r="D77" s="155">
        <v>124</v>
      </c>
      <c r="E77" s="155">
        <v>124</v>
      </c>
      <c r="F77" s="284">
        <f t="shared" si="7"/>
        <v>124</v>
      </c>
      <c r="G77" s="284">
        <v>124</v>
      </c>
      <c r="H77" s="284">
        <v>124</v>
      </c>
      <c r="I77" s="382">
        <f t="shared" si="10"/>
        <v>678</v>
      </c>
      <c r="J77" s="382">
        <v>124</v>
      </c>
      <c r="K77" s="351">
        <v>0</v>
      </c>
      <c r="L77" s="351">
        <v>0</v>
      </c>
      <c r="M77" s="351">
        <v>0</v>
      </c>
      <c r="N77" s="449">
        <f t="shared" si="9"/>
        <v>0</v>
      </c>
      <c r="O77" s="804">
        <f t="shared" si="9"/>
        <v>0</v>
      </c>
      <c r="P77" s="359">
        <f t="shared" si="8"/>
        <v>1444</v>
      </c>
      <c r="Q77" s="27">
        <v>0</v>
      </c>
      <c r="R77" s="25">
        <v>590</v>
      </c>
      <c r="S77" s="25">
        <v>0</v>
      </c>
      <c r="T77" s="360"/>
    </row>
    <row r="78" spans="1:20" ht="12.75">
      <c r="A78" s="25">
        <v>679</v>
      </c>
      <c r="B78" s="26" t="s">
        <v>103</v>
      </c>
      <c r="C78" s="25">
        <v>1690</v>
      </c>
      <c r="D78" s="155">
        <v>76</v>
      </c>
      <c r="E78" s="155">
        <v>76</v>
      </c>
      <c r="F78" s="284">
        <f t="shared" si="7"/>
        <v>76</v>
      </c>
      <c r="G78" s="284">
        <v>76</v>
      </c>
      <c r="H78" s="284">
        <v>76</v>
      </c>
      <c r="I78" s="382">
        <f t="shared" si="10"/>
        <v>679</v>
      </c>
      <c r="J78" s="382">
        <v>76</v>
      </c>
      <c r="K78" s="351">
        <v>0</v>
      </c>
      <c r="L78" s="351">
        <v>0</v>
      </c>
      <c r="M78" s="351">
        <v>0</v>
      </c>
      <c r="N78" s="449">
        <f t="shared" si="9"/>
        <v>0</v>
      </c>
      <c r="O78" s="804">
        <f t="shared" si="9"/>
        <v>0</v>
      </c>
      <c r="P78" s="359">
        <f t="shared" si="8"/>
        <v>1766</v>
      </c>
      <c r="Q78" s="27">
        <v>0</v>
      </c>
      <c r="R78" s="25">
        <v>708</v>
      </c>
      <c r="S78" s="25">
        <v>0</v>
      </c>
      <c r="T78" s="360"/>
    </row>
    <row r="79" spans="1:20" ht="12.75">
      <c r="A79" s="25">
        <v>680</v>
      </c>
      <c r="B79" s="26" t="s">
        <v>104</v>
      </c>
      <c r="C79" s="25">
        <v>1550</v>
      </c>
      <c r="D79" s="155">
        <v>94</v>
      </c>
      <c r="E79" s="155">
        <v>94</v>
      </c>
      <c r="F79" s="284">
        <f t="shared" si="7"/>
        <v>94</v>
      </c>
      <c r="G79" s="284">
        <v>94</v>
      </c>
      <c r="H79" s="284">
        <v>94</v>
      </c>
      <c r="I79" s="382">
        <f t="shared" si="10"/>
        <v>680</v>
      </c>
      <c r="J79" s="382">
        <v>94</v>
      </c>
      <c r="K79" s="351">
        <v>0</v>
      </c>
      <c r="L79" s="351">
        <v>0</v>
      </c>
      <c r="M79" s="351">
        <v>0</v>
      </c>
      <c r="N79" s="449">
        <f t="shared" si="9"/>
        <v>0</v>
      </c>
      <c r="O79" s="804">
        <f t="shared" si="9"/>
        <v>0</v>
      </c>
      <c r="P79" s="359">
        <f t="shared" si="8"/>
        <v>1644</v>
      </c>
      <c r="Q79" s="27">
        <v>0</v>
      </c>
      <c r="R79" s="25">
        <v>708</v>
      </c>
      <c r="S79" s="25">
        <v>0</v>
      </c>
      <c r="T79" s="360"/>
    </row>
    <row r="80" spans="1:20" ht="12.75">
      <c r="A80" s="25">
        <v>681</v>
      </c>
      <c r="B80" s="26" t="s">
        <v>105</v>
      </c>
      <c r="C80" s="25">
        <v>1400</v>
      </c>
      <c r="D80" s="155">
        <v>114</v>
      </c>
      <c r="E80" s="155">
        <v>114</v>
      </c>
      <c r="F80" s="284">
        <f t="shared" si="7"/>
        <v>114</v>
      </c>
      <c r="G80" s="284">
        <v>114</v>
      </c>
      <c r="H80" s="284">
        <v>114</v>
      </c>
      <c r="I80" s="382">
        <f t="shared" si="10"/>
        <v>681</v>
      </c>
      <c r="J80" s="382">
        <v>114</v>
      </c>
      <c r="K80" s="351">
        <v>0</v>
      </c>
      <c r="L80" s="351">
        <v>0</v>
      </c>
      <c r="M80" s="351">
        <v>0</v>
      </c>
      <c r="N80" s="449">
        <f t="shared" si="9"/>
        <v>0</v>
      </c>
      <c r="O80" s="804">
        <f t="shared" si="9"/>
        <v>0</v>
      </c>
      <c r="P80" s="359">
        <f t="shared" si="8"/>
        <v>1514</v>
      </c>
      <c r="Q80" s="27">
        <v>0</v>
      </c>
      <c r="R80" s="25">
        <v>708</v>
      </c>
      <c r="S80" s="25">
        <v>0</v>
      </c>
      <c r="T80" s="360"/>
    </row>
    <row r="81" spans="1:20" ht="12.75">
      <c r="A81" s="25">
        <v>682</v>
      </c>
      <c r="B81" s="28" t="s">
        <v>106</v>
      </c>
      <c r="C81" s="25">
        <v>1170</v>
      </c>
      <c r="D81" s="155">
        <v>144</v>
      </c>
      <c r="E81" s="155">
        <v>144</v>
      </c>
      <c r="F81" s="284">
        <f t="shared" si="7"/>
        <v>144</v>
      </c>
      <c r="G81" s="284">
        <v>144</v>
      </c>
      <c r="H81" s="284">
        <v>144</v>
      </c>
      <c r="I81" s="382">
        <f t="shared" si="10"/>
        <v>682</v>
      </c>
      <c r="J81" s="382">
        <v>144</v>
      </c>
      <c r="K81" s="351">
        <v>0</v>
      </c>
      <c r="L81" s="351">
        <v>0</v>
      </c>
      <c r="M81" s="351">
        <v>0</v>
      </c>
      <c r="N81" s="449">
        <f t="shared" si="9"/>
        <v>0</v>
      </c>
      <c r="O81" s="804">
        <f t="shared" si="9"/>
        <v>0</v>
      </c>
      <c r="P81" s="359">
        <f t="shared" si="8"/>
        <v>1314</v>
      </c>
      <c r="Q81" s="27">
        <v>0</v>
      </c>
      <c r="R81" s="25">
        <v>580</v>
      </c>
      <c r="S81" s="25">
        <v>0</v>
      </c>
      <c r="T81" s="360"/>
    </row>
    <row r="82" spans="1:20" ht="12.75">
      <c r="A82" s="25">
        <v>683</v>
      </c>
      <c r="B82" s="28" t="s">
        <v>107</v>
      </c>
      <c r="C82" s="25">
        <v>1170</v>
      </c>
      <c r="D82" s="155">
        <v>144</v>
      </c>
      <c r="E82" s="155">
        <v>144</v>
      </c>
      <c r="F82" s="284">
        <f t="shared" si="7"/>
        <v>144</v>
      </c>
      <c r="G82" s="284">
        <v>144</v>
      </c>
      <c r="H82" s="284">
        <v>144</v>
      </c>
      <c r="I82" s="382">
        <f t="shared" si="10"/>
        <v>683</v>
      </c>
      <c r="J82" s="382">
        <v>144</v>
      </c>
      <c r="K82" s="351">
        <v>0</v>
      </c>
      <c r="L82" s="351">
        <v>0</v>
      </c>
      <c r="M82" s="351">
        <v>0</v>
      </c>
      <c r="N82" s="449">
        <f t="shared" si="9"/>
        <v>0</v>
      </c>
      <c r="O82" s="804">
        <f t="shared" si="9"/>
        <v>0</v>
      </c>
      <c r="P82" s="359">
        <f t="shared" si="8"/>
        <v>1314</v>
      </c>
      <c r="Q82" s="27">
        <v>0</v>
      </c>
      <c r="R82" s="25">
        <v>580</v>
      </c>
      <c r="S82" s="25">
        <v>0</v>
      </c>
      <c r="T82" s="360"/>
    </row>
    <row r="83" spans="1:20" ht="12.75">
      <c r="A83" s="25">
        <v>684</v>
      </c>
      <c r="B83" s="26" t="s">
        <v>108</v>
      </c>
      <c r="C83" s="25">
        <v>1170</v>
      </c>
      <c r="D83" s="155">
        <v>144</v>
      </c>
      <c r="E83" s="155">
        <v>144</v>
      </c>
      <c r="F83" s="284">
        <f t="shared" si="7"/>
        <v>144</v>
      </c>
      <c r="G83" s="284">
        <v>144</v>
      </c>
      <c r="H83" s="284">
        <v>144</v>
      </c>
      <c r="I83" s="382">
        <f t="shared" si="10"/>
        <v>684</v>
      </c>
      <c r="J83" s="382">
        <v>144</v>
      </c>
      <c r="K83" s="351">
        <v>0</v>
      </c>
      <c r="L83" s="351">
        <v>0</v>
      </c>
      <c r="M83" s="351">
        <v>0</v>
      </c>
      <c r="N83" s="449">
        <f t="shared" si="9"/>
        <v>0</v>
      </c>
      <c r="O83" s="804">
        <f t="shared" si="9"/>
        <v>0</v>
      </c>
      <c r="P83" s="359">
        <f t="shared" si="8"/>
        <v>1314</v>
      </c>
      <c r="Q83" s="27">
        <v>0</v>
      </c>
      <c r="R83" s="25">
        <v>580</v>
      </c>
      <c r="S83" s="25">
        <v>0</v>
      </c>
      <c r="T83" s="360"/>
    </row>
    <row r="84" spans="1:20" ht="12.75">
      <c r="A84" s="25">
        <v>685</v>
      </c>
      <c r="B84" s="26" t="s">
        <v>109</v>
      </c>
      <c r="C84" s="25">
        <v>1500</v>
      </c>
      <c r="D84" s="155">
        <v>101</v>
      </c>
      <c r="E84" s="155">
        <v>101</v>
      </c>
      <c r="F84" s="284">
        <f t="shared" si="7"/>
        <v>101</v>
      </c>
      <c r="G84" s="284">
        <v>101</v>
      </c>
      <c r="H84" s="284">
        <v>101</v>
      </c>
      <c r="I84" s="382">
        <f t="shared" si="10"/>
        <v>685</v>
      </c>
      <c r="J84" s="382">
        <v>101</v>
      </c>
      <c r="K84" s="351">
        <v>388.2</v>
      </c>
      <c r="L84" s="351">
        <v>388.2</v>
      </c>
      <c r="M84" s="351">
        <v>388.2</v>
      </c>
      <c r="N84" s="449">
        <f t="shared" si="9"/>
        <v>388.2</v>
      </c>
      <c r="O84" s="804">
        <f t="shared" si="9"/>
        <v>388.2</v>
      </c>
      <c r="P84" s="359">
        <f t="shared" si="8"/>
        <v>1989.2</v>
      </c>
      <c r="Q84" s="27">
        <v>0</v>
      </c>
      <c r="R84" s="25">
        <v>750</v>
      </c>
      <c r="S84" s="25">
        <v>0</v>
      </c>
      <c r="T84" s="360"/>
    </row>
    <row r="85" spans="1:20" ht="12.75">
      <c r="A85" s="25">
        <v>686</v>
      </c>
      <c r="B85" s="26" t="s">
        <v>110</v>
      </c>
      <c r="C85" s="25">
        <v>2000</v>
      </c>
      <c r="D85" s="155">
        <v>36</v>
      </c>
      <c r="E85" s="155">
        <v>36</v>
      </c>
      <c r="F85" s="284">
        <f t="shared" si="7"/>
        <v>36</v>
      </c>
      <c r="G85" s="284">
        <v>36</v>
      </c>
      <c r="H85" s="284">
        <v>36</v>
      </c>
      <c r="I85" s="382">
        <f t="shared" si="10"/>
        <v>686</v>
      </c>
      <c r="J85" s="382">
        <v>36</v>
      </c>
      <c r="K85" s="351">
        <v>647</v>
      </c>
      <c r="L85" s="351">
        <v>647</v>
      </c>
      <c r="M85" s="351">
        <v>647</v>
      </c>
      <c r="N85" s="449">
        <f t="shared" si="9"/>
        <v>647</v>
      </c>
      <c r="O85" s="804">
        <f t="shared" si="9"/>
        <v>647</v>
      </c>
      <c r="P85" s="359">
        <f t="shared" si="8"/>
        <v>2683</v>
      </c>
      <c r="Q85" s="27">
        <v>0</v>
      </c>
      <c r="R85" s="25">
        <v>600</v>
      </c>
      <c r="S85" s="25">
        <v>0</v>
      </c>
      <c r="T85" s="360"/>
    </row>
    <row r="86" spans="1:20" ht="12.75">
      <c r="A86" s="25">
        <v>687</v>
      </c>
      <c r="B86" s="26" t="s">
        <v>111</v>
      </c>
      <c r="C86" s="25">
        <v>1840</v>
      </c>
      <c r="D86" s="155">
        <v>57</v>
      </c>
      <c r="E86" s="155">
        <v>57</v>
      </c>
      <c r="F86" s="284">
        <f t="shared" si="7"/>
        <v>57</v>
      </c>
      <c r="G86" s="284">
        <v>57</v>
      </c>
      <c r="H86" s="284">
        <v>57</v>
      </c>
      <c r="I86" s="382">
        <f t="shared" si="10"/>
        <v>687</v>
      </c>
      <c r="J86" s="382">
        <v>57</v>
      </c>
      <c r="K86" s="351">
        <v>582.3</v>
      </c>
      <c r="L86" s="351">
        <v>582.3</v>
      </c>
      <c r="M86" s="351">
        <v>582.3</v>
      </c>
      <c r="N86" s="449">
        <f t="shared" si="9"/>
        <v>582.3</v>
      </c>
      <c r="O86" s="804">
        <f t="shared" si="9"/>
        <v>582.3</v>
      </c>
      <c r="P86" s="359">
        <f t="shared" si="8"/>
        <v>2479.3</v>
      </c>
      <c r="Q86" s="27">
        <v>0</v>
      </c>
      <c r="R86" s="25">
        <v>600</v>
      </c>
      <c r="S86" s="25">
        <v>0</v>
      </c>
      <c r="T86" s="360"/>
    </row>
    <row r="87" spans="1:20" ht="12.75">
      <c r="A87" s="25">
        <v>688</v>
      </c>
      <c r="B87" s="26" t="s">
        <v>112</v>
      </c>
      <c r="C87" s="25">
        <v>1680</v>
      </c>
      <c r="D87" s="155">
        <v>77</v>
      </c>
      <c r="E87" s="155">
        <v>77</v>
      </c>
      <c r="F87" s="284">
        <f t="shared" si="7"/>
        <v>77</v>
      </c>
      <c r="G87" s="284">
        <v>77</v>
      </c>
      <c r="H87" s="284">
        <v>77</v>
      </c>
      <c r="I87" s="382">
        <f t="shared" si="10"/>
        <v>688</v>
      </c>
      <c r="J87" s="382">
        <v>77</v>
      </c>
      <c r="K87" s="351">
        <v>0</v>
      </c>
      <c r="L87" s="351">
        <v>0</v>
      </c>
      <c r="M87" s="351">
        <v>0</v>
      </c>
      <c r="N87" s="449">
        <f t="shared" si="9"/>
        <v>0</v>
      </c>
      <c r="O87" s="804">
        <f t="shared" si="9"/>
        <v>0</v>
      </c>
      <c r="P87" s="359">
        <f t="shared" si="8"/>
        <v>1757</v>
      </c>
      <c r="Q87" s="27">
        <v>0</v>
      </c>
      <c r="R87" s="25">
        <v>600</v>
      </c>
      <c r="S87" s="25">
        <v>0</v>
      </c>
      <c r="T87" s="360"/>
    </row>
    <row r="88" spans="1:20" ht="12.75">
      <c r="A88" s="25">
        <v>689</v>
      </c>
      <c r="B88" s="28" t="s">
        <v>113</v>
      </c>
      <c r="C88" s="25">
        <v>1170</v>
      </c>
      <c r="D88" s="155">
        <v>144</v>
      </c>
      <c r="E88" s="155">
        <v>144</v>
      </c>
      <c r="F88" s="284">
        <f t="shared" si="7"/>
        <v>144</v>
      </c>
      <c r="G88" s="284">
        <v>144</v>
      </c>
      <c r="H88" s="284">
        <v>144</v>
      </c>
      <c r="I88" s="382">
        <f t="shared" si="10"/>
        <v>689</v>
      </c>
      <c r="J88" s="382">
        <v>144</v>
      </c>
      <c r="K88" s="351">
        <v>0</v>
      </c>
      <c r="L88" s="351">
        <v>0</v>
      </c>
      <c r="M88" s="351">
        <v>0</v>
      </c>
      <c r="N88" s="449">
        <f t="shared" si="9"/>
        <v>0</v>
      </c>
      <c r="O88" s="804">
        <f t="shared" si="9"/>
        <v>0</v>
      </c>
      <c r="P88" s="359">
        <f t="shared" si="8"/>
        <v>1314</v>
      </c>
      <c r="Q88" s="27">
        <v>0</v>
      </c>
      <c r="R88" s="25">
        <v>580</v>
      </c>
      <c r="S88" s="25">
        <v>0</v>
      </c>
      <c r="T88" s="360"/>
    </row>
    <row r="89" spans="1:20" ht="12.75">
      <c r="A89" s="25">
        <v>691</v>
      </c>
      <c r="B89" s="26" t="s">
        <v>114</v>
      </c>
      <c r="C89" s="25">
        <v>1500</v>
      </c>
      <c r="D89" s="155">
        <v>101</v>
      </c>
      <c r="E89" s="155">
        <v>101</v>
      </c>
      <c r="F89" s="284">
        <f t="shared" si="7"/>
        <v>101</v>
      </c>
      <c r="G89" s="284">
        <v>101</v>
      </c>
      <c r="H89" s="284">
        <v>101</v>
      </c>
      <c r="I89" s="382">
        <f t="shared" si="10"/>
        <v>691</v>
      </c>
      <c r="J89" s="382">
        <v>101</v>
      </c>
      <c r="K89" s="351">
        <v>0</v>
      </c>
      <c r="L89" s="351">
        <v>0</v>
      </c>
      <c r="M89" s="351">
        <v>0</v>
      </c>
      <c r="N89" s="449">
        <f t="shared" si="9"/>
        <v>0</v>
      </c>
      <c r="O89" s="804">
        <f t="shared" si="9"/>
        <v>0</v>
      </c>
      <c r="P89" s="359">
        <f t="shared" si="8"/>
        <v>1601</v>
      </c>
      <c r="Q89" s="27">
        <v>0</v>
      </c>
      <c r="R89" s="25">
        <v>750</v>
      </c>
      <c r="S89" s="25">
        <v>0</v>
      </c>
      <c r="T89" s="360"/>
    </row>
    <row r="90" spans="1:20" ht="12.75">
      <c r="A90" s="25">
        <v>692</v>
      </c>
      <c r="B90" s="26" t="s">
        <v>115</v>
      </c>
      <c r="C90" s="25">
        <v>1690</v>
      </c>
      <c r="D90" s="155">
        <v>76</v>
      </c>
      <c r="E90" s="155">
        <v>76</v>
      </c>
      <c r="F90" s="284">
        <f t="shared" si="7"/>
        <v>76</v>
      </c>
      <c r="G90" s="284">
        <v>76</v>
      </c>
      <c r="H90" s="284">
        <v>76</v>
      </c>
      <c r="I90" s="382">
        <f t="shared" si="10"/>
        <v>692</v>
      </c>
      <c r="J90" s="382">
        <v>76</v>
      </c>
      <c r="K90" s="351">
        <v>0</v>
      </c>
      <c r="L90" s="351">
        <v>0</v>
      </c>
      <c r="M90" s="351">
        <v>0</v>
      </c>
      <c r="N90" s="449">
        <f t="shared" si="9"/>
        <v>0</v>
      </c>
      <c r="O90" s="804">
        <f t="shared" si="9"/>
        <v>0</v>
      </c>
      <c r="P90" s="359">
        <f t="shared" si="8"/>
        <v>1766</v>
      </c>
      <c r="Q90" s="27">
        <v>0</v>
      </c>
      <c r="R90" s="25">
        <v>620</v>
      </c>
      <c r="S90" s="25">
        <v>0</v>
      </c>
      <c r="T90" s="360"/>
    </row>
    <row r="91" spans="1:20" ht="12.75">
      <c r="A91" s="25">
        <v>693</v>
      </c>
      <c r="B91" s="26" t="s">
        <v>116</v>
      </c>
      <c r="C91" s="25">
        <v>1550</v>
      </c>
      <c r="D91" s="155">
        <v>94</v>
      </c>
      <c r="E91" s="155">
        <v>94</v>
      </c>
      <c r="F91" s="284">
        <f t="shared" si="7"/>
        <v>94</v>
      </c>
      <c r="G91" s="284">
        <v>94</v>
      </c>
      <c r="H91" s="284">
        <v>94</v>
      </c>
      <c r="I91" s="382">
        <f t="shared" si="10"/>
        <v>693</v>
      </c>
      <c r="J91" s="382">
        <v>94</v>
      </c>
      <c r="K91" s="351">
        <v>0</v>
      </c>
      <c r="L91" s="351">
        <v>0</v>
      </c>
      <c r="M91" s="351">
        <v>0</v>
      </c>
      <c r="N91" s="449">
        <f t="shared" si="9"/>
        <v>0</v>
      </c>
      <c r="O91" s="804">
        <f t="shared" si="9"/>
        <v>0</v>
      </c>
      <c r="P91" s="359">
        <f t="shared" si="8"/>
        <v>1644</v>
      </c>
      <c r="Q91" s="27">
        <v>0</v>
      </c>
      <c r="R91" s="25">
        <v>620</v>
      </c>
      <c r="S91" s="25">
        <v>0</v>
      </c>
      <c r="T91" s="360"/>
    </row>
    <row r="92" spans="1:20" ht="12.75">
      <c r="A92" s="25">
        <v>694</v>
      </c>
      <c r="B92" s="26" t="s">
        <v>117</v>
      </c>
      <c r="C92" s="25">
        <v>1400</v>
      </c>
      <c r="D92" s="155">
        <v>114</v>
      </c>
      <c r="E92" s="155">
        <v>114</v>
      </c>
      <c r="F92" s="284">
        <f t="shared" si="7"/>
        <v>114</v>
      </c>
      <c r="G92" s="284">
        <v>114</v>
      </c>
      <c r="H92" s="284">
        <v>114</v>
      </c>
      <c r="I92" s="382">
        <f t="shared" si="10"/>
        <v>694</v>
      </c>
      <c r="J92" s="382">
        <v>114</v>
      </c>
      <c r="K92" s="351">
        <v>0</v>
      </c>
      <c r="L92" s="351">
        <v>0</v>
      </c>
      <c r="M92" s="351">
        <v>0</v>
      </c>
      <c r="N92" s="449">
        <f t="shared" si="9"/>
        <v>0</v>
      </c>
      <c r="O92" s="804">
        <f t="shared" si="9"/>
        <v>0</v>
      </c>
      <c r="P92" s="359">
        <f t="shared" si="8"/>
        <v>1514</v>
      </c>
      <c r="Q92" s="27">
        <v>0</v>
      </c>
      <c r="R92" s="25">
        <v>620</v>
      </c>
      <c r="S92" s="25">
        <v>0</v>
      </c>
      <c r="T92" s="360"/>
    </row>
    <row r="93" spans="1:20" ht="12.75">
      <c r="A93" s="25">
        <v>695</v>
      </c>
      <c r="B93" s="26" t="s">
        <v>118</v>
      </c>
      <c r="C93" s="25">
        <v>906</v>
      </c>
      <c r="D93" s="155">
        <v>170</v>
      </c>
      <c r="E93" s="383">
        <v>216</v>
      </c>
      <c r="F93" s="284">
        <v>261</v>
      </c>
      <c r="G93" s="351">
        <v>327</v>
      </c>
      <c r="H93" s="351">
        <v>350</v>
      </c>
      <c r="I93" s="382">
        <f t="shared" si="10"/>
        <v>695</v>
      </c>
      <c r="J93" s="382">
        <v>414.7</v>
      </c>
      <c r="K93" s="351">
        <v>0</v>
      </c>
      <c r="L93" s="351">
        <v>0</v>
      </c>
      <c r="M93" s="351">
        <v>0</v>
      </c>
      <c r="N93" s="449">
        <f t="shared" si="9"/>
        <v>0</v>
      </c>
      <c r="O93" s="804">
        <f t="shared" si="9"/>
        <v>0</v>
      </c>
      <c r="P93" s="359">
        <f t="shared" si="8"/>
        <v>1233</v>
      </c>
      <c r="Q93" s="27">
        <v>0</v>
      </c>
      <c r="R93" s="25">
        <v>0</v>
      </c>
      <c r="S93" s="25">
        <v>0</v>
      </c>
      <c r="T93" s="360"/>
    </row>
    <row r="94" spans="1:20" ht="12.75">
      <c r="A94" s="25">
        <v>696</v>
      </c>
      <c r="B94" s="26" t="s">
        <v>119</v>
      </c>
      <c r="C94" s="25">
        <v>1500</v>
      </c>
      <c r="D94" s="155">
        <v>101</v>
      </c>
      <c r="E94" s="155">
        <v>101</v>
      </c>
      <c r="F94" s="284">
        <f>IF(C94&lt;972,E94+44,E94)</f>
        <v>101</v>
      </c>
      <c r="G94" s="284">
        <v>101</v>
      </c>
      <c r="H94" s="284">
        <v>101</v>
      </c>
      <c r="I94" s="382">
        <f t="shared" si="10"/>
        <v>696</v>
      </c>
      <c r="J94" s="382">
        <v>101</v>
      </c>
      <c r="K94" s="351">
        <v>388.2</v>
      </c>
      <c r="L94" s="351">
        <v>388.2</v>
      </c>
      <c r="M94" s="351">
        <v>388.2</v>
      </c>
      <c r="N94" s="449">
        <f t="shared" si="9"/>
        <v>388.2</v>
      </c>
      <c r="O94" s="804">
        <f t="shared" si="9"/>
        <v>388.2</v>
      </c>
      <c r="P94" s="359">
        <f t="shared" si="8"/>
        <v>1989.2</v>
      </c>
      <c r="Q94" s="27">
        <v>0</v>
      </c>
      <c r="R94" s="25">
        <v>0</v>
      </c>
      <c r="S94" s="25">
        <v>0</v>
      </c>
      <c r="T94" s="360"/>
    </row>
    <row r="95" spans="1:20" ht="12.75">
      <c r="A95" s="25">
        <v>697</v>
      </c>
      <c r="B95" s="26" t="s">
        <v>120</v>
      </c>
      <c r="C95" s="25">
        <v>1500</v>
      </c>
      <c r="D95" s="155">
        <v>101</v>
      </c>
      <c r="E95" s="155">
        <v>101</v>
      </c>
      <c r="F95" s="284">
        <f>IF(C95&lt;972,E95+44,E95)</f>
        <v>101</v>
      </c>
      <c r="G95" s="284">
        <v>101</v>
      </c>
      <c r="H95" s="284">
        <v>101</v>
      </c>
      <c r="I95" s="382">
        <f t="shared" si="10"/>
        <v>697</v>
      </c>
      <c r="J95" s="382">
        <v>101</v>
      </c>
      <c r="K95" s="351">
        <v>0</v>
      </c>
      <c r="L95" s="351">
        <v>0</v>
      </c>
      <c r="M95" s="351">
        <v>0</v>
      </c>
      <c r="N95" s="449">
        <f t="shared" si="9"/>
        <v>0</v>
      </c>
      <c r="O95" s="804">
        <f t="shared" si="9"/>
        <v>0</v>
      </c>
      <c r="P95" s="359">
        <f t="shared" si="8"/>
        <v>1601</v>
      </c>
      <c r="Q95" s="27">
        <v>0</v>
      </c>
      <c r="R95" s="25">
        <v>0</v>
      </c>
      <c r="S95" s="25">
        <v>0</v>
      </c>
      <c r="T95" s="360"/>
    </row>
    <row r="96" spans="1:20" ht="12.75">
      <c r="A96" s="25">
        <v>698</v>
      </c>
      <c r="B96" s="26" t="s">
        <v>121</v>
      </c>
      <c r="C96" s="25">
        <v>1690</v>
      </c>
      <c r="D96" s="155">
        <v>76</v>
      </c>
      <c r="E96" s="155">
        <v>76</v>
      </c>
      <c r="F96" s="284">
        <f>IF(C96&lt;972,E96+44,E96)</f>
        <v>76</v>
      </c>
      <c r="G96" s="284">
        <v>76</v>
      </c>
      <c r="H96" s="284">
        <v>76</v>
      </c>
      <c r="I96" s="382">
        <f t="shared" si="10"/>
        <v>698</v>
      </c>
      <c r="J96" s="382">
        <v>76</v>
      </c>
      <c r="K96" s="351">
        <v>0</v>
      </c>
      <c r="L96" s="351">
        <v>0</v>
      </c>
      <c r="M96" s="351">
        <v>0</v>
      </c>
      <c r="N96" s="449">
        <f t="shared" si="9"/>
        <v>0</v>
      </c>
      <c r="O96" s="804">
        <f t="shared" si="9"/>
        <v>0</v>
      </c>
      <c r="P96" s="359">
        <f t="shared" si="8"/>
        <v>1766</v>
      </c>
      <c r="Q96" s="27">
        <v>0</v>
      </c>
      <c r="R96" s="25">
        <v>0</v>
      </c>
      <c r="S96" s="25">
        <v>0</v>
      </c>
      <c r="T96" s="360"/>
    </row>
    <row r="97" spans="1:20" ht="12.75">
      <c r="A97" s="25">
        <v>699</v>
      </c>
      <c r="B97" s="26" t="s">
        <v>122</v>
      </c>
      <c r="C97" s="25">
        <v>1550</v>
      </c>
      <c r="D97" s="155">
        <v>94</v>
      </c>
      <c r="E97" s="155">
        <v>94</v>
      </c>
      <c r="F97" s="284">
        <f>IF(C97&lt;972,E97+44,E97)</f>
        <v>94</v>
      </c>
      <c r="G97" s="284">
        <v>94</v>
      </c>
      <c r="H97" s="284">
        <v>94</v>
      </c>
      <c r="I97" s="382">
        <f t="shared" si="10"/>
        <v>699</v>
      </c>
      <c r="J97" s="382">
        <v>94</v>
      </c>
      <c r="K97" s="351">
        <v>0</v>
      </c>
      <c r="L97" s="351">
        <v>0</v>
      </c>
      <c r="M97" s="351">
        <v>0</v>
      </c>
      <c r="N97" s="449">
        <f t="shared" si="9"/>
        <v>0</v>
      </c>
      <c r="O97" s="804">
        <f t="shared" si="9"/>
        <v>0</v>
      </c>
      <c r="P97" s="359">
        <f t="shared" si="8"/>
        <v>1644</v>
      </c>
      <c r="Q97" s="27">
        <v>0</v>
      </c>
      <c r="R97" s="25">
        <v>0</v>
      </c>
      <c r="S97" s="25">
        <v>0</v>
      </c>
      <c r="T97" s="360"/>
    </row>
    <row r="98" spans="1:20" s="385" customFormat="1" ht="12.75">
      <c r="A98" s="361">
        <v>702</v>
      </c>
      <c r="B98" s="362" t="s">
        <v>123</v>
      </c>
      <c r="C98" s="361">
        <v>971</v>
      </c>
      <c r="D98" s="363">
        <v>170</v>
      </c>
      <c r="E98" s="380">
        <v>216</v>
      </c>
      <c r="F98" s="284">
        <v>261</v>
      </c>
      <c r="G98" s="351">
        <v>327</v>
      </c>
      <c r="H98" s="351">
        <v>350</v>
      </c>
      <c r="I98" s="384">
        <f t="shared" si="10"/>
        <v>702</v>
      </c>
      <c r="J98" s="384">
        <v>414.7</v>
      </c>
      <c r="K98" s="352">
        <v>0</v>
      </c>
      <c r="L98" s="352">
        <v>0</v>
      </c>
      <c r="M98" s="352">
        <v>0</v>
      </c>
      <c r="N98" s="449">
        <f>M98*1.1</f>
        <v>0</v>
      </c>
      <c r="O98" s="805">
        <f>N98*1.25</f>
        <v>0</v>
      </c>
      <c r="P98" s="359">
        <f t="shared" si="8"/>
        <v>1298</v>
      </c>
      <c r="Q98" s="366">
        <v>0</v>
      </c>
      <c r="R98" s="361">
        <v>0</v>
      </c>
      <c r="S98" s="361">
        <v>0</v>
      </c>
      <c r="T98" s="367"/>
    </row>
    <row r="99" spans="1:20" ht="12.75">
      <c r="A99" s="25">
        <v>703</v>
      </c>
      <c r="B99" s="26" t="s">
        <v>124</v>
      </c>
      <c r="C99" s="25">
        <v>3429</v>
      </c>
      <c r="D99" s="155">
        <v>0</v>
      </c>
      <c r="E99" s="155">
        <v>0</v>
      </c>
      <c r="F99" s="284">
        <f>IF(C99&lt;972,E99+44,E99)</f>
        <v>0</v>
      </c>
      <c r="G99" s="284">
        <v>0</v>
      </c>
      <c r="H99" s="284">
        <v>0</v>
      </c>
      <c r="I99" s="382">
        <f t="shared" si="10"/>
        <v>703</v>
      </c>
      <c r="J99" s="382">
        <v>0</v>
      </c>
      <c r="K99" s="351">
        <v>0</v>
      </c>
      <c r="L99" s="351">
        <v>0</v>
      </c>
      <c r="M99" s="351">
        <v>0</v>
      </c>
      <c r="N99" s="449">
        <f>M99*1.1</f>
        <v>0</v>
      </c>
      <c r="O99" s="805">
        <f>N99*1.25</f>
        <v>0</v>
      </c>
      <c r="P99" s="359">
        <f t="shared" si="8"/>
        <v>3429</v>
      </c>
      <c r="Q99" s="27">
        <v>0</v>
      </c>
      <c r="R99" s="25">
        <v>0</v>
      </c>
      <c r="S99" s="25">
        <v>0</v>
      </c>
      <c r="T99" s="360"/>
    </row>
    <row r="100" spans="1:20" ht="12.75">
      <c r="A100" s="25">
        <v>704</v>
      </c>
      <c r="B100" s="26" t="s">
        <v>125</v>
      </c>
      <c r="C100" s="25">
        <v>1500</v>
      </c>
      <c r="D100" s="155">
        <v>101</v>
      </c>
      <c r="E100" s="155">
        <v>101</v>
      </c>
      <c r="F100" s="284">
        <f>IF(C100&lt;972,E100+44,E100)</f>
        <v>101</v>
      </c>
      <c r="G100" s="284">
        <v>101</v>
      </c>
      <c r="H100" s="284">
        <v>101</v>
      </c>
      <c r="I100" s="382">
        <f t="shared" si="10"/>
        <v>704</v>
      </c>
      <c r="J100" s="382">
        <v>101</v>
      </c>
      <c r="K100" s="351">
        <v>0</v>
      </c>
      <c r="L100" s="351">
        <v>136</v>
      </c>
      <c r="M100" s="351">
        <v>272</v>
      </c>
      <c r="N100" s="449">
        <f>M100*1.33333</f>
        <v>362.66576</v>
      </c>
      <c r="O100" s="814">
        <f>N100*1.25</f>
        <v>453.33219999999994</v>
      </c>
      <c r="P100" s="359">
        <f t="shared" si="8"/>
        <v>1873</v>
      </c>
      <c r="Q100" s="27">
        <v>0</v>
      </c>
      <c r="R100" s="25">
        <v>0</v>
      </c>
      <c r="S100" s="25">
        <v>0</v>
      </c>
      <c r="T100" s="360"/>
    </row>
    <row r="101" spans="1:20" ht="12.75">
      <c r="A101" s="25">
        <v>705</v>
      </c>
      <c r="B101" s="26" t="s">
        <v>126</v>
      </c>
      <c r="C101" s="25">
        <v>1592</v>
      </c>
      <c r="D101" s="155">
        <v>89</v>
      </c>
      <c r="E101" s="155">
        <v>89</v>
      </c>
      <c r="F101" s="284">
        <f>IF(C101&lt;972,E101+44,E101)</f>
        <v>89</v>
      </c>
      <c r="G101" s="284">
        <v>89</v>
      </c>
      <c r="H101" s="284">
        <v>89</v>
      </c>
      <c r="I101" s="382">
        <f t="shared" si="10"/>
        <v>705</v>
      </c>
      <c r="J101" s="382">
        <v>89</v>
      </c>
      <c r="K101" s="351">
        <v>0</v>
      </c>
      <c r="L101" s="351">
        <v>175</v>
      </c>
      <c r="M101" s="351">
        <v>350</v>
      </c>
      <c r="N101" s="449">
        <f>M101*1.33333</f>
        <v>466.66549999999995</v>
      </c>
      <c r="O101" s="814">
        <f>N101*1.25</f>
        <v>583.331875</v>
      </c>
      <c r="P101" s="359">
        <f t="shared" si="8"/>
        <v>2031</v>
      </c>
      <c r="Q101" s="27">
        <v>0</v>
      </c>
      <c r="R101" s="25">
        <v>0</v>
      </c>
      <c r="S101" s="25">
        <v>0</v>
      </c>
      <c r="T101" s="360"/>
    </row>
    <row r="102" spans="1:20" ht="12.75">
      <c r="A102" s="25">
        <v>706</v>
      </c>
      <c r="B102" s="26" t="s">
        <v>127</v>
      </c>
      <c r="C102" s="25">
        <v>2482</v>
      </c>
      <c r="D102" s="155">
        <v>0</v>
      </c>
      <c r="E102" s="155">
        <v>0</v>
      </c>
      <c r="F102" s="284">
        <f>IF(C102&lt;972,E102+44,E102)</f>
        <v>0</v>
      </c>
      <c r="G102" s="284">
        <v>0</v>
      </c>
      <c r="H102" s="284">
        <v>0</v>
      </c>
      <c r="I102" s="382">
        <f t="shared" si="10"/>
        <v>706</v>
      </c>
      <c r="J102" s="382">
        <v>0</v>
      </c>
      <c r="K102" s="351">
        <v>0</v>
      </c>
      <c r="L102" s="351">
        <f>D102*0.09</f>
        <v>0</v>
      </c>
      <c r="M102" s="351">
        <v>0</v>
      </c>
      <c r="N102" s="449">
        <f>M102*1.1</f>
        <v>0</v>
      </c>
      <c r="O102" s="805">
        <f>N102*1.25</f>
        <v>0</v>
      </c>
      <c r="P102" s="359">
        <f t="shared" si="8"/>
        <v>2482</v>
      </c>
      <c r="Q102" s="27">
        <v>0</v>
      </c>
      <c r="R102" s="25">
        <v>0</v>
      </c>
      <c r="S102" s="25">
        <v>0</v>
      </c>
      <c r="T102" s="360"/>
    </row>
    <row r="103" spans="1:20" ht="12.75">
      <c r="A103" s="25">
        <v>707</v>
      </c>
      <c r="B103" s="26" t="s">
        <v>423</v>
      </c>
      <c r="C103" s="25">
        <v>2913</v>
      </c>
      <c r="D103" s="155"/>
      <c r="E103" s="155"/>
      <c r="F103" s="284"/>
      <c r="G103" s="284">
        <v>0</v>
      </c>
      <c r="H103" s="284">
        <v>0</v>
      </c>
      <c r="I103" s="382">
        <f t="shared" si="10"/>
        <v>707</v>
      </c>
      <c r="J103" s="382">
        <v>0</v>
      </c>
      <c r="K103" s="351"/>
      <c r="L103" s="351"/>
      <c r="M103" s="351">
        <v>466</v>
      </c>
      <c r="N103" s="449">
        <v>776</v>
      </c>
      <c r="O103" s="804">
        <f aca="true" t="shared" si="11" ref="O103:O110">N103</f>
        <v>776</v>
      </c>
      <c r="P103" s="359">
        <f t="shared" si="8"/>
        <v>3379</v>
      </c>
      <c r="Q103" s="27">
        <v>0</v>
      </c>
      <c r="R103" s="25">
        <v>0</v>
      </c>
      <c r="S103" s="25">
        <v>0</v>
      </c>
      <c r="T103" s="360"/>
    </row>
    <row r="104" spans="1:20" ht="12.75">
      <c r="A104" s="25">
        <v>708</v>
      </c>
      <c r="B104" s="26" t="s">
        <v>128</v>
      </c>
      <c r="C104" s="25">
        <v>3146</v>
      </c>
      <c r="D104" s="155">
        <v>0</v>
      </c>
      <c r="E104" s="155">
        <v>0</v>
      </c>
      <c r="F104" s="284">
        <f aca="true" t="shared" si="12" ref="F104:F127">IF(C104&lt;972,E104+44,E104)</f>
        <v>0</v>
      </c>
      <c r="G104" s="284">
        <v>0</v>
      </c>
      <c r="H104" s="284">
        <v>0</v>
      </c>
      <c r="I104" s="382">
        <f t="shared" si="10"/>
        <v>708</v>
      </c>
      <c r="J104" s="382">
        <v>0</v>
      </c>
      <c r="K104" s="351">
        <v>0</v>
      </c>
      <c r="L104" s="351">
        <v>0</v>
      </c>
      <c r="M104" s="351">
        <v>466</v>
      </c>
      <c r="N104" s="449">
        <f>M104*1.33333</f>
        <v>621.33178</v>
      </c>
      <c r="O104" s="804">
        <f t="shared" si="11"/>
        <v>621.33178</v>
      </c>
      <c r="P104" s="359">
        <f t="shared" si="8"/>
        <v>3612</v>
      </c>
      <c r="Q104" s="27">
        <v>0</v>
      </c>
      <c r="R104" s="25">
        <v>0</v>
      </c>
      <c r="S104" s="25">
        <v>0</v>
      </c>
      <c r="T104" s="360"/>
    </row>
    <row r="105" spans="1:20" ht="12.75">
      <c r="A105" s="25">
        <v>709</v>
      </c>
      <c r="B105" s="26" t="s">
        <v>424</v>
      </c>
      <c r="C105" s="25">
        <v>2913</v>
      </c>
      <c r="D105" s="155">
        <v>0</v>
      </c>
      <c r="E105" s="155">
        <v>0</v>
      </c>
      <c r="F105" s="284">
        <f t="shared" si="12"/>
        <v>0</v>
      </c>
      <c r="G105" s="284">
        <v>0</v>
      </c>
      <c r="H105" s="284">
        <v>0</v>
      </c>
      <c r="I105" s="382">
        <f t="shared" si="10"/>
        <v>709</v>
      </c>
      <c r="J105" s="382">
        <v>0</v>
      </c>
      <c r="K105" s="351">
        <v>0</v>
      </c>
      <c r="L105" s="375">
        <v>233</v>
      </c>
      <c r="M105" s="375">
        <v>466</v>
      </c>
      <c r="N105" s="449">
        <v>776</v>
      </c>
      <c r="O105" s="804">
        <f t="shared" si="11"/>
        <v>776</v>
      </c>
      <c r="P105" s="359">
        <f t="shared" si="8"/>
        <v>3379</v>
      </c>
      <c r="Q105" s="27">
        <v>0</v>
      </c>
      <c r="R105" s="25">
        <v>0</v>
      </c>
      <c r="S105" s="25">
        <v>0</v>
      </c>
      <c r="T105" s="360"/>
    </row>
    <row r="106" spans="1:20" ht="12.75">
      <c r="A106" s="25">
        <v>710</v>
      </c>
      <c r="B106" s="26" t="s">
        <v>129</v>
      </c>
      <c r="C106" s="25">
        <v>2913</v>
      </c>
      <c r="D106" s="155">
        <v>0</v>
      </c>
      <c r="E106" s="155">
        <v>0</v>
      </c>
      <c r="F106" s="284">
        <f t="shared" si="12"/>
        <v>0</v>
      </c>
      <c r="G106" s="284">
        <v>0</v>
      </c>
      <c r="H106" s="284">
        <v>0</v>
      </c>
      <c r="I106" s="382">
        <f t="shared" si="10"/>
        <v>710</v>
      </c>
      <c r="J106" s="382">
        <v>0</v>
      </c>
      <c r="K106" s="351">
        <v>0</v>
      </c>
      <c r="L106" s="375">
        <v>233</v>
      </c>
      <c r="M106" s="375">
        <v>466</v>
      </c>
      <c r="N106" s="449">
        <v>776</v>
      </c>
      <c r="O106" s="804">
        <f t="shared" si="11"/>
        <v>776</v>
      </c>
      <c r="P106" s="359">
        <f t="shared" si="8"/>
        <v>3379</v>
      </c>
      <c r="Q106" s="27">
        <v>20</v>
      </c>
      <c r="R106" s="25">
        <v>0</v>
      </c>
      <c r="S106" s="25">
        <v>0</v>
      </c>
      <c r="T106" s="360"/>
    </row>
    <row r="107" spans="1:20" ht="12.75">
      <c r="A107" s="25">
        <v>711</v>
      </c>
      <c r="B107" s="26" t="s">
        <v>130</v>
      </c>
      <c r="C107" s="25">
        <v>2913</v>
      </c>
      <c r="D107" s="155">
        <v>0</v>
      </c>
      <c r="E107" s="155">
        <v>0</v>
      </c>
      <c r="F107" s="284">
        <f t="shared" si="12"/>
        <v>0</v>
      </c>
      <c r="G107" s="284">
        <v>0</v>
      </c>
      <c r="H107" s="284">
        <v>0</v>
      </c>
      <c r="I107" s="382">
        <f t="shared" si="10"/>
        <v>711</v>
      </c>
      <c r="J107" s="382">
        <v>0</v>
      </c>
      <c r="K107" s="351">
        <v>0</v>
      </c>
      <c r="L107" s="375">
        <v>233</v>
      </c>
      <c r="M107" s="375">
        <v>466</v>
      </c>
      <c r="N107" s="449">
        <v>776</v>
      </c>
      <c r="O107" s="804">
        <f t="shared" si="11"/>
        <v>776</v>
      </c>
      <c r="P107" s="359">
        <f t="shared" si="8"/>
        <v>3379</v>
      </c>
      <c r="Q107" s="27">
        <v>0</v>
      </c>
      <c r="R107" s="25">
        <v>0</v>
      </c>
      <c r="S107" s="25">
        <v>0</v>
      </c>
      <c r="T107" s="360"/>
    </row>
    <row r="108" spans="1:20" ht="12.75">
      <c r="A108" s="25">
        <v>712</v>
      </c>
      <c r="B108" s="26" t="s">
        <v>425</v>
      </c>
      <c r="C108" s="25">
        <v>2913</v>
      </c>
      <c r="D108" s="155">
        <v>0</v>
      </c>
      <c r="E108" s="155">
        <v>0</v>
      </c>
      <c r="F108" s="284">
        <f t="shared" si="12"/>
        <v>0</v>
      </c>
      <c r="G108" s="284">
        <v>0</v>
      </c>
      <c r="H108" s="284">
        <v>0</v>
      </c>
      <c r="I108" s="382">
        <f t="shared" si="10"/>
        <v>712</v>
      </c>
      <c r="J108" s="382">
        <v>0</v>
      </c>
      <c r="K108" s="351">
        <v>0</v>
      </c>
      <c r="L108" s="375">
        <v>233</v>
      </c>
      <c r="M108" s="375">
        <v>466</v>
      </c>
      <c r="N108" s="449">
        <v>776</v>
      </c>
      <c r="O108" s="804">
        <f t="shared" si="11"/>
        <v>776</v>
      </c>
      <c r="P108" s="359">
        <f t="shared" si="8"/>
        <v>3379</v>
      </c>
      <c r="Q108" s="27">
        <v>0</v>
      </c>
      <c r="R108" s="25">
        <v>0</v>
      </c>
      <c r="S108" s="25">
        <v>0</v>
      </c>
      <c r="T108" s="360"/>
    </row>
    <row r="109" spans="1:20" ht="12.75">
      <c r="A109" s="25">
        <v>713</v>
      </c>
      <c r="B109" s="26" t="s">
        <v>131</v>
      </c>
      <c r="C109" s="25">
        <v>2913</v>
      </c>
      <c r="D109" s="155">
        <v>0</v>
      </c>
      <c r="E109" s="155">
        <v>0</v>
      </c>
      <c r="F109" s="284">
        <f t="shared" si="12"/>
        <v>0</v>
      </c>
      <c r="G109" s="284">
        <v>0</v>
      </c>
      <c r="H109" s="284">
        <v>0</v>
      </c>
      <c r="I109" s="382">
        <f t="shared" si="10"/>
        <v>713</v>
      </c>
      <c r="J109" s="382">
        <v>0</v>
      </c>
      <c r="K109" s="351">
        <v>0</v>
      </c>
      <c r="L109" s="375">
        <v>233</v>
      </c>
      <c r="M109" s="375">
        <v>466</v>
      </c>
      <c r="N109" s="449">
        <v>776</v>
      </c>
      <c r="O109" s="804">
        <f t="shared" si="11"/>
        <v>776</v>
      </c>
      <c r="P109" s="359">
        <f t="shared" si="8"/>
        <v>3379</v>
      </c>
      <c r="Q109" s="27">
        <v>0</v>
      </c>
      <c r="R109" s="25">
        <v>0</v>
      </c>
      <c r="S109" s="25">
        <v>0</v>
      </c>
      <c r="T109" s="360"/>
    </row>
    <row r="110" spans="1:20" ht="12.75">
      <c r="A110" s="25">
        <v>714</v>
      </c>
      <c r="B110" s="26" t="s">
        <v>132</v>
      </c>
      <c r="C110" s="25">
        <v>2913</v>
      </c>
      <c r="D110" s="155">
        <v>0</v>
      </c>
      <c r="E110" s="155">
        <v>0</v>
      </c>
      <c r="F110" s="284">
        <f t="shared" si="12"/>
        <v>0</v>
      </c>
      <c r="G110" s="284">
        <v>0</v>
      </c>
      <c r="H110" s="284">
        <v>0</v>
      </c>
      <c r="I110" s="382">
        <f t="shared" si="10"/>
        <v>714</v>
      </c>
      <c r="J110" s="382">
        <v>0</v>
      </c>
      <c r="K110" s="351">
        <v>0</v>
      </c>
      <c r="L110" s="351">
        <f>D110*0.09</f>
        <v>0</v>
      </c>
      <c r="M110" s="351">
        <v>0</v>
      </c>
      <c r="N110" s="449">
        <f>M110*1.1</f>
        <v>0</v>
      </c>
      <c r="O110" s="804">
        <f t="shared" si="11"/>
        <v>0</v>
      </c>
      <c r="P110" s="359">
        <f t="shared" si="8"/>
        <v>2913</v>
      </c>
      <c r="Q110" s="27">
        <v>0</v>
      </c>
      <c r="R110" s="25">
        <v>0</v>
      </c>
      <c r="S110" s="25">
        <v>0</v>
      </c>
      <c r="T110" s="360"/>
    </row>
    <row r="111" spans="1:20" ht="12.75">
      <c r="A111" s="25">
        <v>715</v>
      </c>
      <c r="B111" s="26" t="s">
        <v>133</v>
      </c>
      <c r="C111" s="25">
        <v>1912</v>
      </c>
      <c r="D111" s="155">
        <v>47</v>
      </c>
      <c r="E111" s="155">
        <v>47</v>
      </c>
      <c r="F111" s="284">
        <f t="shared" si="12"/>
        <v>47</v>
      </c>
      <c r="G111" s="284">
        <v>47</v>
      </c>
      <c r="H111" s="284">
        <v>47</v>
      </c>
      <c r="I111" s="382">
        <f t="shared" si="10"/>
        <v>715</v>
      </c>
      <c r="J111" s="382">
        <v>47</v>
      </c>
      <c r="K111" s="351">
        <v>0</v>
      </c>
      <c r="L111" s="351">
        <v>230</v>
      </c>
      <c r="M111" s="351">
        <v>460</v>
      </c>
      <c r="N111" s="449">
        <f aca="true" t="shared" si="13" ref="N111:N127">M111*1.33333</f>
        <v>613.3317999999999</v>
      </c>
      <c r="O111" s="814">
        <f aca="true" t="shared" si="14" ref="O111:O121">N111*1.25</f>
        <v>766.6647499999999</v>
      </c>
      <c r="P111" s="359">
        <f t="shared" si="8"/>
        <v>2419</v>
      </c>
      <c r="Q111" s="27">
        <v>0</v>
      </c>
      <c r="R111" s="25">
        <v>42</v>
      </c>
      <c r="S111" s="25">
        <v>0</v>
      </c>
      <c r="T111" s="360"/>
    </row>
    <row r="112" spans="1:20" ht="12.75">
      <c r="A112" s="25">
        <v>716</v>
      </c>
      <c r="B112" s="26" t="s">
        <v>134</v>
      </c>
      <c r="C112" s="25">
        <v>1942</v>
      </c>
      <c r="D112" s="155">
        <v>43</v>
      </c>
      <c r="E112" s="155">
        <v>43</v>
      </c>
      <c r="F112" s="284">
        <f t="shared" si="12"/>
        <v>43</v>
      </c>
      <c r="G112" s="284">
        <v>43</v>
      </c>
      <c r="H112" s="284">
        <v>43</v>
      </c>
      <c r="I112" s="382">
        <f t="shared" si="10"/>
        <v>716</v>
      </c>
      <c r="J112" s="382">
        <v>43</v>
      </c>
      <c r="K112" s="351">
        <v>0</v>
      </c>
      <c r="L112" s="376">
        <v>194</v>
      </c>
      <c r="M112" s="376">
        <v>388</v>
      </c>
      <c r="N112" s="449">
        <f t="shared" si="13"/>
        <v>517.33204</v>
      </c>
      <c r="O112" s="814">
        <f t="shared" si="14"/>
        <v>646.6650500000001</v>
      </c>
      <c r="P112" s="359">
        <f t="shared" si="8"/>
        <v>2373</v>
      </c>
      <c r="Q112" s="27">
        <v>0</v>
      </c>
      <c r="R112" s="25">
        <v>0</v>
      </c>
      <c r="S112" s="25">
        <v>0</v>
      </c>
      <c r="T112" s="368">
        <v>782</v>
      </c>
    </row>
    <row r="113" spans="1:20" ht="12.75">
      <c r="A113" s="25">
        <v>717</v>
      </c>
      <c r="B113" s="26" t="s">
        <v>426</v>
      </c>
      <c r="C113" s="25">
        <v>2100</v>
      </c>
      <c r="D113" s="155">
        <v>23</v>
      </c>
      <c r="E113" s="155">
        <v>23</v>
      </c>
      <c r="F113" s="284">
        <f t="shared" si="12"/>
        <v>23</v>
      </c>
      <c r="G113" s="284">
        <v>23</v>
      </c>
      <c r="H113" s="284">
        <v>23</v>
      </c>
      <c r="I113" s="382">
        <f t="shared" si="10"/>
        <v>717</v>
      </c>
      <c r="J113" s="382">
        <v>23</v>
      </c>
      <c r="K113" s="351">
        <v>0</v>
      </c>
      <c r="L113" s="376">
        <v>194</v>
      </c>
      <c r="M113" s="376">
        <v>388</v>
      </c>
      <c r="N113" s="449">
        <f t="shared" si="13"/>
        <v>517.33204</v>
      </c>
      <c r="O113" s="814">
        <f t="shared" si="14"/>
        <v>646.6650500000001</v>
      </c>
      <c r="P113" s="359">
        <f t="shared" si="8"/>
        <v>2511</v>
      </c>
      <c r="Q113" s="27">
        <v>150</v>
      </c>
      <c r="R113" s="25">
        <v>0</v>
      </c>
      <c r="S113" s="25">
        <v>0</v>
      </c>
      <c r="T113" s="360"/>
    </row>
    <row r="114" spans="1:20" ht="12.75">
      <c r="A114" s="25">
        <v>718</v>
      </c>
      <c r="B114" s="26" t="s">
        <v>135</v>
      </c>
      <c r="C114" s="25">
        <v>1942</v>
      </c>
      <c r="D114" s="155">
        <v>43</v>
      </c>
      <c r="E114" s="155">
        <v>43</v>
      </c>
      <c r="F114" s="284">
        <f t="shared" si="12"/>
        <v>43</v>
      </c>
      <c r="G114" s="284">
        <v>43</v>
      </c>
      <c r="H114" s="284">
        <v>43</v>
      </c>
      <c r="I114" s="382">
        <f t="shared" si="10"/>
        <v>718</v>
      </c>
      <c r="J114" s="382">
        <v>43</v>
      </c>
      <c r="K114" s="351">
        <v>0</v>
      </c>
      <c r="L114" s="376">
        <v>194</v>
      </c>
      <c r="M114" s="376">
        <v>388</v>
      </c>
      <c r="N114" s="449">
        <f t="shared" si="13"/>
        <v>517.33204</v>
      </c>
      <c r="O114" s="814">
        <f t="shared" si="14"/>
        <v>646.6650500000001</v>
      </c>
      <c r="P114" s="359">
        <f t="shared" si="8"/>
        <v>2373</v>
      </c>
      <c r="Q114" s="27">
        <v>17</v>
      </c>
      <c r="R114" s="25">
        <v>0</v>
      </c>
      <c r="S114" s="25">
        <v>0</v>
      </c>
      <c r="T114" s="360"/>
    </row>
    <row r="115" spans="1:20" ht="12.75">
      <c r="A115" s="25">
        <v>719</v>
      </c>
      <c r="B115" s="26" t="s">
        <v>136</v>
      </c>
      <c r="C115" s="25">
        <v>1782</v>
      </c>
      <c r="D115" s="155">
        <v>64</v>
      </c>
      <c r="E115" s="155">
        <v>64</v>
      </c>
      <c r="F115" s="284">
        <f t="shared" si="12"/>
        <v>64</v>
      </c>
      <c r="G115" s="284">
        <v>64</v>
      </c>
      <c r="H115" s="284">
        <v>64</v>
      </c>
      <c r="I115" s="382">
        <f t="shared" si="10"/>
        <v>719</v>
      </c>
      <c r="J115" s="382">
        <v>64</v>
      </c>
      <c r="K115" s="351">
        <v>0</v>
      </c>
      <c r="L115" s="376">
        <v>175</v>
      </c>
      <c r="M115" s="376">
        <v>349</v>
      </c>
      <c r="N115" s="449">
        <f t="shared" si="13"/>
        <v>465.33216999999996</v>
      </c>
      <c r="O115" s="814">
        <f t="shared" si="14"/>
        <v>581.6652124999999</v>
      </c>
      <c r="P115" s="359">
        <f t="shared" si="8"/>
        <v>2195</v>
      </c>
      <c r="Q115" s="27">
        <v>0</v>
      </c>
      <c r="R115" s="25">
        <v>0</v>
      </c>
      <c r="S115" s="25">
        <v>0</v>
      </c>
      <c r="T115" s="368">
        <v>782</v>
      </c>
    </row>
    <row r="116" spans="1:20" ht="12.75">
      <c r="A116" s="25">
        <v>720</v>
      </c>
      <c r="B116" s="26" t="s">
        <v>137</v>
      </c>
      <c r="C116" s="25">
        <v>1782</v>
      </c>
      <c r="D116" s="155">
        <v>64</v>
      </c>
      <c r="E116" s="155">
        <v>64</v>
      </c>
      <c r="F116" s="284">
        <f t="shared" si="12"/>
        <v>64</v>
      </c>
      <c r="G116" s="284">
        <v>64</v>
      </c>
      <c r="H116" s="284">
        <v>64</v>
      </c>
      <c r="I116" s="382">
        <f t="shared" si="10"/>
        <v>720</v>
      </c>
      <c r="J116" s="382">
        <v>64</v>
      </c>
      <c r="K116" s="351">
        <v>0</v>
      </c>
      <c r="L116" s="376">
        <v>175</v>
      </c>
      <c r="M116" s="376">
        <v>349</v>
      </c>
      <c r="N116" s="449">
        <f t="shared" si="13"/>
        <v>465.33216999999996</v>
      </c>
      <c r="O116" s="814">
        <f t="shared" si="14"/>
        <v>581.6652124999999</v>
      </c>
      <c r="P116" s="359">
        <f t="shared" si="8"/>
        <v>2195</v>
      </c>
      <c r="Q116" s="27">
        <v>17</v>
      </c>
      <c r="R116" s="25">
        <v>0</v>
      </c>
      <c r="S116" s="25">
        <v>0</v>
      </c>
      <c r="T116" s="360"/>
    </row>
    <row r="117" spans="1:20" ht="12.75">
      <c r="A117" s="25">
        <v>721</v>
      </c>
      <c r="B117" s="26" t="s">
        <v>138</v>
      </c>
      <c r="C117" s="25">
        <v>1942</v>
      </c>
      <c r="D117" s="155">
        <v>43</v>
      </c>
      <c r="E117" s="155">
        <v>43</v>
      </c>
      <c r="F117" s="284">
        <f t="shared" si="12"/>
        <v>43</v>
      </c>
      <c r="G117" s="284">
        <v>43</v>
      </c>
      <c r="H117" s="284">
        <v>43</v>
      </c>
      <c r="I117" s="382">
        <f t="shared" si="10"/>
        <v>721</v>
      </c>
      <c r="J117" s="382">
        <v>43</v>
      </c>
      <c r="K117" s="351">
        <v>0</v>
      </c>
      <c r="L117" s="376">
        <v>194</v>
      </c>
      <c r="M117" s="376">
        <v>388</v>
      </c>
      <c r="N117" s="449">
        <f t="shared" si="13"/>
        <v>517.33204</v>
      </c>
      <c r="O117" s="814">
        <f t="shared" si="14"/>
        <v>646.6650500000001</v>
      </c>
      <c r="P117" s="359">
        <f t="shared" si="8"/>
        <v>2373</v>
      </c>
      <c r="Q117" s="27">
        <v>150</v>
      </c>
      <c r="R117" s="25">
        <v>0</v>
      </c>
      <c r="S117" s="25">
        <v>0</v>
      </c>
      <c r="T117" s="360"/>
    </row>
    <row r="118" spans="1:20" ht="12.75">
      <c r="A118" s="25">
        <v>722</v>
      </c>
      <c r="B118" s="26" t="s">
        <v>139</v>
      </c>
      <c r="C118" s="25">
        <v>1692</v>
      </c>
      <c r="D118" s="155">
        <v>76</v>
      </c>
      <c r="E118" s="155">
        <v>76</v>
      </c>
      <c r="F118" s="284">
        <f t="shared" si="12"/>
        <v>76</v>
      </c>
      <c r="G118" s="284">
        <v>76</v>
      </c>
      <c r="H118" s="284">
        <v>76</v>
      </c>
      <c r="I118" s="382">
        <f t="shared" si="10"/>
        <v>722</v>
      </c>
      <c r="J118" s="382">
        <v>76</v>
      </c>
      <c r="K118" s="351">
        <v>0</v>
      </c>
      <c r="L118" s="376">
        <v>136</v>
      </c>
      <c r="M118" s="376">
        <v>272</v>
      </c>
      <c r="N118" s="449">
        <f t="shared" si="13"/>
        <v>362.66576</v>
      </c>
      <c r="O118" s="814">
        <f t="shared" si="14"/>
        <v>453.33219999999994</v>
      </c>
      <c r="P118" s="359">
        <f t="shared" si="8"/>
        <v>2040</v>
      </c>
      <c r="Q118" s="27">
        <v>0</v>
      </c>
      <c r="R118" s="25">
        <v>0</v>
      </c>
      <c r="S118" s="25">
        <v>0</v>
      </c>
      <c r="T118" s="368">
        <v>744</v>
      </c>
    </row>
    <row r="119" spans="1:20" ht="12.75">
      <c r="A119" s="25">
        <v>723</v>
      </c>
      <c r="B119" s="26" t="s">
        <v>140</v>
      </c>
      <c r="C119" s="25">
        <v>1700</v>
      </c>
      <c r="D119" s="155">
        <v>75</v>
      </c>
      <c r="E119" s="155">
        <v>75</v>
      </c>
      <c r="F119" s="284">
        <f t="shared" si="12"/>
        <v>75</v>
      </c>
      <c r="G119" s="284">
        <v>75</v>
      </c>
      <c r="H119" s="284">
        <v>75</v>
      </c>
      <c r="I119" s="382">
        <f t="shared" si="10"/>
        <v>723</v>
      </c>
      <c r="J119" s="382">
        <v>75</v>
      </c>
      <c r="K119" s="351">
        <v>0</v>
      </c>
      <c r="L119" s="376">
        <v>116</v>
      </c>
      <c r="M119" s="376">
        <v>233</v>
      </c>
      <c r="N119" s="449">
        <f t="shared" si="13"/>
        <v>310.66589</v>
      </c>
      <c r="O119" s="814">
        <f t="shared" si="14"/>
        <v>388.3323625</v>
      </c>
      <c r="P119" s="359">
        <f t="shared" si="8"/>
        <v>2008</v>
      </c>
      <c r="Q119" s="27">
        <v>0</v>
      </c>
      <c r="R119" s="25">
        <v>0</v>
      </c>
      <c r="S119" s="25">
        <v>0</v>
      </c>
      <c r="T119" s="368">
        <v>769</v>
      </c>
    </row>
    <row r="120" spans="1:20" ht="12.75">
      <c r="A120" s="25">
        <v>724</v>
      </c>
      <c r="B120" s="26" t="s">
        <v>141</v>
      </c>
      <c r="C120" s="25">
        <v>1942</v>
      </c>
      <c r="D120" s="155">
        <v>43</v>
      </c>
      <c r="E120" s="155">
        <v>43</v>
      </c>
      <c r="F120" s="284">
        <f t="shared" si="12"/>
        <v>43</v>
      </c>
      <c r="G120" s="284">
        <v>43</v>
      </c>
      <c r="H120" s="284">
        <v>43</v>
      </c>
      <c r="I120" s="382">
        <f t="shared" si="10"/>
        <v>724</v>
      </c>
      <c r="J120" s="382">
        <v>43</v>
      </c>
      <c r="K120" s="351">
        <v>0</v>
      </c>
      <c r="L120" s="351">
        <v>233</v>
      </c>
      <c r="M120" s="351">
        <v>466</v>
      </c>
      <c r="N120" s="449">
        <f t="shared" si="13"/>
        <v>621.33178</v>
      </c>
      <c r="O120" s="814">
        <f t="shared" si="14"/>
        <v>776.664725</v>
      </c>
      <c r="P120" s="359">
        <f t="shared" si="8"/>
        <v>2451</v>
      </c>
      <c r="Q120" s="27">
        <v>150</v>
      </c>
      <c r="R120" s="25">
        <v>0</v>
      </c>
      <c r="S120" s="25">
        <v>0</v>
      </c>
      <c r="T120" s="360"/>
    </row>
    <row r="121" spans="1:20" ht="12.75">
      <c r="A121" s="25">
        <v>725</v>
      </c>
      <c r="B121" s="26" t="s">
        <v>142</v>
      </c>
      <c r="C121" s="25">
        <v>1592</v>
      </c>
      <c r="D121" s="155">
        <v>89</v>
      </c>
      <c r="E121" s="155">
        <v>89</v>
      </c>
      <c r="F121" s="284">
        <f t="shared" si="12"/>
        <v>89</v>
      </c>
      <c r="G121" s="284">
        <v>89</v>
      </c>
      <c r="H121" s="284">
        <v>89</v>
      </c>
      <c r="I121" s="382">
        <f t="shared" si="10"/>
        <v>725</v>
      </c>
      <c r="J121" s="382">
        <v>89</v>
      </c>
      <c r="K121" s="351">
        <v>0</v>
      </c>
      <c r="L121" s="351">
        <v>116</v>
      </c>
      <c r="M121" s="351">
        <v>233</v>
      </c>
      <c r="N121" s="449">
        <f t="shared" si="13"/>
        <v>310.66589</v>
      </c>
      <c r="O121" s="814">
        <f t="shared" si="14"/>
        <v>388.3323625</v>
      </c>
      <c r="P121" s="359">
        <f t="shared" si="8"/>
        <v>1914</v>
      </c>
      <c r="Q121" s="27">
        <v>0</v>
      </c>
      <c r="R121" s="25">
        <v>0</v>
      </c>
      <c r="S121" s="25">
        <v>0</v>
      </c>
      <c r="T121" s="368">
        <v>738</v>
      </c>
    </row>
    <row r="122" spans="1:20" ht="12.75">
      <c r="A122" s="25">
        <v>726</v>
      </c>
      <c r="B122" s="26" t="s">
        <v>143</v>
      </c>
      <c r="C122" s="25">
        <v>1500</v>
      </c>
      <c r="D122" s="155">
        <v>101</v>
      </c>
      <c r="E122" s="155">
        <v>101</v>
      </c>
      <c r="F122" s="284">
        <f t="shared" si="12"/>
        <v>101</v>
      </c>
      <c r="G122" s="284">
        <v>101</v>
      </c>
      <c r="H122" s="284">
        <v>101</v>
      </c>
      <c r="I122" s="382">
        <f t="shared" si="10"/>
        <v>726</v>
      </c>
      <c r="J122" s="382">
        <v>101</v>
      </c>
      <c r="K122" s="351">
        <v>0</v>
      </c>
      <c r="L122" s="351">
        <v>0</v>
      </c>
      <c r="M122" s="351">
        <v>0</v>
      </c>
      <c r="N122" s="449">
        <f>M122*1.1</f>
        <v>0</v>
      </c>
      <c r="O122" s="815">
        <f>N122</f>
        <v>0</v>
      </c>
      <c r="P122" s="359">
        <f t="shared" si="8"/>
        <v>1601</v>
      </c>
      <c r="Q122" s="27">
        <v>150</v>
      </c>
      <c r="R122" s="25">
        <v>0</v>
      </c>
      <c r="S122" s="25">
        <v>0</v>
      </c>
      <c r="T122" s="360"/>
    </row>
    <row r="123" spans="1:20" ht="12.75">
      <c r="A123" s="361">
        <v>727</v>
      </c>
      <c r="B123" s="386" t="s">
        <v>144</v>
      </c>
      <c r="C123" s="387">
        <v>1600</v>
      </c>
      <c r="D123" s="388">
        <v>88</v>
      </c>
      <c r="E123" s="388">
        <v>88</v>
      </c>
      <c r="F123" s="376">
        <f t="shared" si="12"/>
        <v>88</v>
      </c>
      <c r="G123" s="376">
        <v>88</v>
      </c>
      <c r="H123" s="376">
        <v>88</v>
      </c>
      <c r="I123" s="389">
        <f t="shared" si="10"/>
        <v>727</v>
      </c>
      <c r="J123" s="389">
        <v>88</v>
      </c>
      <c r="K123" s="376">
        <v>0</v>
      </c>
      <c r="L123" s="376">
        <v>116</v>
      </c>
      <c r="M123" s="376">
        <v>233</v>
      </c>
      <c r="N123" s="449">
        <f t="shared" si="13"/>
        <v>310.66589</v>
      </c>
      <c r="O123" s="814">
        <f>N123*1.25</f>
        <v>388.3323625</v>
      </c>
      <c r="P123" s="359">
        <f t="shared" si="8"/>
        <v>1921</v>
      </c>
      <c r="Q123" s="366">
        <v>0</v>
      </c>
      <c r="R123" s="361">
        <v>0</v>
      </c>
      <c r="S123" s="361">
        <v>0</v>
      </c>
      <c r="T123" s="368">
        <v>738</v>
      </c>
    </row>
    <row r="124" spans="1:20" ht="12.75">
      <c r="A124" s="25">
        <v>728</v>
      </c>
      <c r="B124" s="26" t="s">
        <v>145</v>
      </c>
      <c r="C124" s="25">
        <v>1360</v>
      </c>
      <c r="D124" s="155">
        <v>120</v>
      </c>
      <c r="E124" s="155">
        <v>120</v>
      </c>
      <c r="F124" s="284">
        <f t="shared" si="12"/>
        <v>120</v>
      </c>
      <c r="G124" s="284">
        <v>120</v>
      </c>
      <c r="H124" s="284">
        <v>120</v>
      </c>
      <c r="I124" s="382">
        <f t="shared" si="10"/>
        <v>728</v>
      </c>
      <c r="J124" s="382">
        <v>120</v>
      </c>
      <c r="K124" s="351">
        <v>0</v>
      </c>
      <c r="L124" s="351">
        <v>116</v>
      </c>
      <c r="M124" s="351">
        <v>233</v>
      </c>
      <c r="N124" s="449">
        <f t="shared" si="13"/>
        <v>310.66589</v>
      </c>
      <c r="O124" s="814">
        <f>N124*1.25</f>
        <v>388.3323625</v>
      </c>
      <c r="P124" s="359">
        <f t="shared" si="8"/>
        <v>1713</v>
      </c>
      <c r="Q124" s="27">
        <v>17</v>
      </c>
      <c r="R124" s="25">
        <v>0</v>
      </c>
      <c r="S124" s="25">
        <v>0</v>
      </c>
      <c r="T124" s="360"/>
    </row>
    <row r="125" spans="1:20" ht="12.75">
      <c r="A125" s="25">
        <v>729</v>
      </c>
      <c r="B125" s="26" t="s">
        <v>146</v>
      </c>
      <c r="C125" s="25">
        <v>1692</v>
      </c>
      <c r="D125" s="155">
        <v>76</v>
      </c>
      <c r="E125" s="155">
        <v>76</v>
      </c>
      <c r="F125" s="284">
        <f t="shared" si="12"/>
        <v>76</v>
      </c>
      <c r="G125" s="284">
        <v>76</v>
      </c>
      <c r="H125" s="284">
        <v>76</v>
      </c>
      <c r="I125" s="382">
        <f t="shared" si="10"/>
        <v>729</v>
      </c>
      <c r="J125" s="382">
        <v>76</v>
      </c>
      <c r="K125" s="351">
        <v>0</v>
      </c>
      <c r="L125" s="376">
        <v>194</v>
      </c>
      <c r="M125" s="376">
        <v>388</v>
      </c>
      <c r="N125" s="449">
        <f t="shared" si="13"/>
        <v>517.33204</v>
      </c>
      <c r="O125" s="814">
        <f>N125*1.25</f>
        <v>646.6650500000001</v>
      </c>
      <c r="P125" s="359">
        <f t="shared" si="8"/>
        <v>2156</v>
      </c>
      <c r="Q125" s="27">
        <v>0</v>
      </c>
      <c r="R125" s="25">
        <v>0</v>
      </c>
      <c r="S125" s="25">
        <v>0</v>
      </c>
      <c r="T125" s="360"/>
    </row>
    <row r="126" spans="1:20" ht="12.75">
      <c r="A126" s="25">
        <v>730</v>
      </c>
      <c r="B126" s="26" t="s">
        <v>147</v>
      </c>
      <c r="C126" s="25">
        <v>1700</v>
      </c>
      <c r="D126" s="155">
        <v>75</v>
      </c>
      <c r="E126" s="155">
        <v>75</v>
      </c>
      <c r="F126" s="284">
        <f t="shared" si="12"/>
        <v>75</v>
      </c>
      <c r="G126" s="284">
        <v>75</v>
      </c>
      <c r="H126" s="284">
        <v>75</v>
      </c>
      <c r="I126" s="382">
        <f t="shared" si="10"/>
        <v>730</v>
      </c>
      <c r="J126" s="382">
        <v>75</v>
      </c>
      <c r="K126" s="351">
        <v>0</v>
      </c>
      <c r="L126" s="376">
        <v>194</v>
      </c>
      <c r="M126" s="376">
        <v>388</v>
      </c>
      <c r="N126" s="449">
        <f t="shared" si="13"/>
        <v>517.33204</v>
      </c>
      <c r="O126" s="814">
        <f>N126*1.25</f>
        <v>646.6650500000001</v>
      </c>
      <c r="P126" s="359">
        <f t="shared" si="8"/>
        <v>2163</v>
      </c>
      <c r="Q126" s="27">
        <v>0</v>
      </c>
      <c r="R126" s="25">
        <v>0</v>
      </c>
      <c r="S126" s="25">
        <v>0</v>
      </c>
      <c r="T126" s="360"/>
    </row>
    <row r="127" spans="1:20" ht="12.75">
      <c r="A127" s="25">
        <v>731</v>
      </c>
      <c r="B127" s="26" t="s">
        <v>148</v>
      </c>
      <c r="C127" s="25">
        <v>1592</v>
      </c>
      <c r="D127" s="155">
        <v>89</v>
      </c>
      <c r="E127" s="155">
        <v>89</v>
      </c>
      <c r="F127" s="284">
        <f t="shared" si="12"/>
        <v>89</v>
      </c>
      <c r="G127" s="284">
        <v>89</v>
      </c>
      <c r="H127" s="284">
        <v>89</v>
      </c>
      <c r="I127" s="382">
        <f t="shared" si="10"/>
        <v>731</v>
      </c>
      <c r="J127" s="382">
        <v>89</v>
      </c>
      <c r="K127" s="351">
        <v>0</v>
      </c>
      <c r="L127" s="376">
        <v>175</v>
      </c>
      <c r="M127" s="376">
        <v>349</v>
      </c>
      <c r="N127" s="449">
        <f t="shared" si="13"/>
        <v>465.33216999999996</v>
      </c>
      <c r="O127" s="814">
        <f>N127*1.25</f>
        <v>581.6652124999999</v>
      </c>
      <c r="P127" s="359">
        <f t="shared" si="8"/>
        <v>2030</v>
      </c>
      <c r="Q127" s="27">
        <v>0</v>
      </c>
      <c r="R127" s="25">
        <v>0</v>
      </c>
      <c r="S127" s="25">
        <v>0</v>
      </c>
      <c r="T127" s="360"/>
    </row>
    <row r="128" spans="1:20" ht="12.75">
      <c r="A128" s="25">
        <v>732</v>
      </c>
      <c r="B128" s="26" t="s">
        <v>149</v>
      </c>
      <c r="C128" s="25">
        <v>971</v>
      </c>
      <c r="D128" s="155">
        <v>170</v>
      </c>
      <c r="E128" s="383">
        <v>216</v>
      </c>
      <c r="F128" s="284">
        <v>261</v>
      </c>
      <c r="G128" s="351">
        <v>327</v>
      </c>
      <c r="H128" s="351">
        <v>350</v>
      </c>
      <c r="I128" s="382">
        <f t="shared" si="10"/>
        <v>732</v>
      </c>
      <c r="J128" s="382">
        <v>414.7</v>
      </c>
      <c r="K128" s="351">
        <v>0</v>
      </c>
      <c r="L128" s="351">
        <v>0</v>
      </c>
      <c r="M128" s="351">
        <v>0</v>
      </c>
      <c r="N128" s="449">
        <f>M128*1.1</f>
        <v>0</v>
      </c>
      <c r="O128" s="815">
        <f>N128</f>
        <v>0</v>
      </c>
      <c r="P128" s="359">
        <f t="shared" si="8"/>
        <v>1298</v>
      </c>
      <c r="Q128" s="27">
        <v>150</v>
      </c>
      <c r="R128" s="25">
        <v>0</v>
      </c>
      <c r="S128" s="25">
        <v>0</v>
      </c>
      <c r="T128" s="360"/>
    </row>
    <row r="129" spans="1:20" ht="12.75">
      <c r="A129" s="25">
        <v>733</v>
      </c>
      <c r="B129" s="26" t="s">
        <v>150</v>
      </c>
      <c r="C129" s="25">
        <v>1150</v>
      </c>
      <c r="D129" s="155">
        <v>147</v>
      </c>
      <c r="E129" s="155">
        <v>147</v>
      </c>
      <c r="F129" s="284">
        <f>IF(C129&lt;972,E129+44,E129)</f>
        <v>147</v>
      </c>
      <c r="G129" s="284">
        <v>147</v>
      </c>
      <c r="H129" s="284">
        <v>147</v>
      </c>
      <c r="I129" s="382">
        <f t="shared" si="10"/>
        <v>733</v>
      </c>
      <c r="J129" s="382">
        <v>147</v>
      </c>
      <c r="K129" s="351">
        <v>0</v>
      </c>
      <c r="L129" s="351">
        <v>0</v>
      </c>
      <c r="M129" s="351">
        <v>0</v>
      </c>
      <c r="N129" s="449">
        <f>M129*1.1</f>
        <v>0</v>
      </c>
      <c r="O129" s="815">
        <f>N129</f>
        <v>0</v>
      </c>
      <c r="P129" s="359">
        <f t="shared" si="8"/>
        <v>1297</v>
      </c>
      <c r="Q129" s="27">
        <v>0</v>
      </c>
      <c r="R129" s="25">
        <v>0</v>
      </c>
      <c r="S129" s="25">
        <v>0</v>
      </c>
      <c r="T129" s="360"/>
    </row>
    <row r="130" spans="1:20" ht="12.75">
      <c r="A130" s="25">
        <v>734</v>
      </c>
      <c r="B130" s="26" t="s">
        <v>151</v>
      </c>
      <c r="C130" s="25">
        <v>1500</v>
      </c>
      <c r="D130" s="155">
        <v>101</v>
      </c>
      <c r="E130" s="155">
        <v>101</v>
      </c>
      <c r="F130" s="284">
        <f>IF(C130&lt;972,E130+44,E130)</f>
        <v>101</v>
      </c>
      <c r="G130" s="284">
        <v>101</v>
      </c>
      <c r="H130" s="284">
        <v>101</v>
      </c>
      <c r="I130" s="382">
        <f t="shared" si="10"/>
        <v>734</v>
      </c>
      <c r="J130" s="382">
        <v>101</v>
      </c>
      <c r="K130" s="351">
        <v>0</v>
      </c>
      <c r="L130" s="351">
        <v>0</v>
      </c>
      <c r="M130" s="351">
        <v>0</v>
      </c>
      <c r="N130" s="449">
        <f>M130*1.1</f>
        <v>0</v>
      </c>
      <c r="O130" s="815">
        <f>N130</f>
        <v>0</v>
      </c>
      <c r="P130" s="359">
        <f t="shared" si="8"/>
        <v>1601</v>
      </c>
      <c r="Q130" s="27">
        <v>150</v>
      </c>
      <c r="R130" s="25">
        <v>0</v>
      </c>
      <c r="S130" s="25">
        <v>0</v>
      </c>
      <c r="T130" s="360"/>
    </row>
    <row r="131" spans="1:20" ht="12.75">
      <c r="A131" s="25">
        <v>735</v>
      </c>
      <c r="B131" s="26" t="s">
        <v>152</v>
      </c>
      <c r="C131" s="25">
        <v>971</v>
      </c>
      <c r="D131" s="155">
        <v>170</v>
      </c>
      <c r="E131" s="383">
        <v>216</v>
      </c>
      <c r="F131" s="284">
        <v>261</v>
      </c>
      <c r="G131" s="351">
        <v>327</v>
      </c>
      <c r="H131" s="351">
        <v>350</v>
      </c>
      <c r="I131" s="382">
        <f t="shared" si="10"/>
        <v>735</v>
      </c>
      <c r="J131" s="382">
        <v>414.7</v>
      </c>
      <c r="K131" s="351">
        <v>0</v>
      </c>
      <c r="L131" s="351">
        <v>0</v>
      </c>
      <c r="M131" s="351">
        <v>0</v>
      </c>
      <c r="N131" s="449">
        <f>M131*1.1</f>
        <v>0</v>
      </c>
      <c r="O131" s="815">
        <f>N131</f>
        <v>0</v>
      </c>
      <c r="P131" s="359">
        <f aca="true" t="shared" si="15" ref="P131:P194">C131+G131+M131</f>
        <v>1298</v>
      </c>
      <c r="Q131" s="27">
        <v>150</v>
      </c>
      <c r="R131" s="25">
        <v>0</v>
      </c>
      <c r="S131" s="25">
        <v>0</v>
      </c>
      <c r="T131" s="360"/>
    </row>
    <row r="132" spans="1:20" ht="12.75">
      <c r="A132" s="25">
        <v>736</v>
      </c>
      <c r="B132" s="26" t="s">
        <v>153</v>
      </c>
      <c r="C132" s="25">
        <v>1600</v>
      </c>
      <c r="D132" s="155">
        <v>88</v>
      </c>
      <c r="E132" s="155">
        <v>88</v>
      </c>
      <c r="F132" s="284">
        <f>IF(C132&lt;972,E132+44,E132)</f>
        <v>88</v>
      </c>
      <c r="G132" s="284">
        <v>88</v>
      </c>
      <c r="H132" s="284">
        <v>88</v>
      </c>
      <c r="I132" s="382">
        <f t="shared" si="10"/>
        <v>736</v>
      </c>
      <c r="J132" s="382">
        <v>88</v>
      </c>
      <c r="K132" s="351">
        <v>0</v>
      </c>
      <c r="L132" s="376">
        <v>194</v>
      </c>
      <c r="M132" s="376">
        <v>388</v>
      </c>
      <c r="N132" s="449">
        <f>M132*1.33333</f>
        <v>517.33204</v>
      </c>
      <c r="O132" s="814">
        <f>N132*1.25</f>
        <v>646.6650500000001</v>
      </c>
      <c r="P132" s="359">
        <f t="shared" si="15"/>
        <v>2076</v>
      </c>
      <c r="Q132" s="27">
        <v>0</v>
      </c>
      <c r="R132" s="25">
        <v>0</v>
      </c>
      <c r="S132" s="25">
        <v>0</v>
      </c>
      <c r="T132" s="360"/>
    </row>
    <row r="133" spans="1:20" ht="12.75">
      <c r="A133" s="25">
        <v>737</v>
      </c>
      <c r="B133" s="26" t="s">
        <v>154</v>
      </c>
      <c r="C133" s="25">
        <v>971</v>
      </c>
      <c r="D133" s="155">
        <v>170</v>
      </c>
      <c r="E133" s="383">
        <v>216</v>
      </c>
      <c r="F133" s="284">
        <v>261</v>
      </c>
      <c r="G133" s="351">
        <v>327</v>
      </c>
      <c r="H133" s="351">
        <v>350</v>
      </c>
      <c r="I133" s="382">
        <f t="shared" si="10"/>
        <v>737</v>
      </c>
      <c r="J133" s="382">
        <v>414.7</v>
      </c>
      <c r="K133" s="351">
        <v>0</v>
      </c>
      <c r="L133" s="351">
        <v>0</v>
      </c>
      <c r="M133" s="351">
        <v>0</v>
      </c>
      <c r="N133" s="449">
        <f>M133*1.1</f>
        <v>0</v>
      </c>
      <c r="O133" s="815">
        <f>N133</f>
        <v>0</v>
      </c>
      <c r="P133" s="359">
        <f t="shared" si="15"/>
        <v>1298</v>
      </c>
      <c r="Q133" s="27">
        <v>150</v>
      </c>
      <c r="R133" s="25">
        <v>0</v>
      </c>
      <c r="S133" s="25">
        <v>0</v>
      </c>
      <c r="T133" s="360"/>
    </row>
    <row r="134" spans="1:20" ht="12.75">
      <c r="A134" s="25">
        <v>738</v>
      </c>
      <c r="B134" s="26" t="s">
        <v>155</v>
      </c>
      <c r="C134" s="25">
        <v>971</v>
      </c>
      <c r="D134" s="155">
        <v>170</v>
      </c>
      <c r="E134" s="383">
        <v>216</v>
      </c>
      <c r="F134" s="284">
        <v>261</v>
      </c>
      <c r="G134" s="351">
        <v>327</v>
      </c>
      <c r="H134" s="351">
        <v>350</v>
      </c>
      <c r="I134" s="382">
        <f aca="true" t="shared" si="16" ref="I134:I198">A134</f>
        <v>738</v>
      </c>
      <c r="J134" s="382">
        <v>414.7</v>
      </c>
      <c r="K134" s="351">
        <v>0</v>
      </c>
      <c r="L134" s="351">
        <v>0</v>
      </c>
      <c r="M134" s="351">
        <v>0</v>
      </c>
      <c r="N134" s="449">
        <f>M134*1.1</f>
        <v>0</v>
      </c>
      <c r="O134" s="815">
        <f>N134</f>
        <v>0</v>
      </c>
      <c r="P134" s="359">
        <f t="shared" si="15"/>
        <v>1298</v>
      </c>
      <c r="Q134" s="27">
        <v>17</v>
      </c>
      <c r="R134" s="25">
        <v>0</v>
      </c>
      <c r="S134" s="25">
        <v>0</v>
      </c>
      <c r="T134" s="360"/>
    </row>
    <row r="135" spans="1:20" ht="12.75">
      <c r="A135" s="25">
        <v>739</v>
      </c>
      <c r="B135" s="26" t="s">
        <v>156</v>
      </c>
      <c r="C135" s="25">
        <v>971</v>
      </c>
      <c r="D135" s="155">
        <v>170</v>
      </c>
      <c r="E135" s="383">
        <v>216</v>
      </c>
      <c r="F135" s="284">
        <v>261</v>
      </c>
      <c r="G135" s="351">
        <v>327</v>
      </c>
      <c r="H135" s="351">
        <v>350</v>
      </c>
      <c r="I135" s="382">
        <f t="shared" si="16"/>
        <v>739</v>
      </c>
      <c r="J135" s="382">
        <v>414.7</v>
      </c>
      <c r="K135" s="351">
        <v>0</v>
      </c>
      <c r="L135" s="351">
        <v>0</v>
      </c>
      <c r="M135" s="351">
        <v>0</v>
      </c>
      <c r="N135" s="449">
        <f>M135*1.1</f>
        <v>0</v>
      </c>
      <c r="O135" s="815">
        <f>N135</f>
        <v>0</v>
      </c>
      <c r="P135" s="359">
        <f t="shared" si="15"/>
        <v>1298</v>
      </c>
      <c r="Q135" s="27">
        <v>150</v>
      </c>
      <c r="R135" s="25">
        <v>0</v>
      </c>
      <c r="S135" s="25">
        <v>0</v>
      </c>
      <c r="T135" s="360"/>
    </row>
    <row r="136" spans="1:20" ht="12.75">
      <c r="A136" s="25">
        <v>740</v>
      </c>
      <c r="B136" s="26" t="s">
        <v>157</v>
      </c>
      <c r="C136" s="25">
        <v>971</v>
      </c>
      <c r="D136" s="155">
        <v>170</v>
      </c>
      <c r="E136" s="383">
        <v>216</v>
      </c>
      <c r="F136" s="284">
        <v>261</v>
      </c>
      <c r="G136" s="351">
        <v>327</v>
      </c>
      <c r="H136" s="351">
        <v>350</v>
      </c>
      <c r="I136" s="382">
        <f t="shared" si="16"/>
        <v>740</v>
      </c>
      <c r="J136" s="382">
        <v>414.7</v>
      </c>
      <c r="K136" s="351">
        <v>0</v>
      </c>
      <c r="L136" s="351">
        <v>0</v>
      </c>
      <c r="M136" s="351">
        <v>0</v>
      </c>
      <c r="N136" s="449">
        <f>M136*1.1</f>
        <v>0</v>
      </c>
      <c r="O136" s="815">
        <f>N136</f>
        <v>0</v>
      </c>
      <c r="P136" s="359">
        <f t="shared" si="15"/>
        <v>1298</v>
      </c>
      <c r="Q136" s="27">
        <v>150</v>
      </c>
      <c r="R136" s="25">
        <v>0</v>
      </c>
      <c r="S136" s="25">
        <v>0</v>
      </c>
      <c r="T136" s="360"/>
    </row>
    <row r="137" spans="1:20" ht="12.75">
      <c r="A137" s="25">
        <v>741</v>
      </c>
      <c r="B137" s="26" t="s">
        <v>158</v>
      </c>
      <c r="C137" s="25">
        <v>1300</v>
      </c>
      <c r="D137" s="155">
        <v>127</v>
      </c>
      <c r="E137" s="155">
        <v>127</v>
      </c>
      <c r="F137" s="284">
        <f>IF(C137&lt;972,E137+44,E137)</f>
        <v>127</v>
      </c>
      <c r="G137" s="284">
        <v>127</v>
      </c>
      <c r="H137" s="284">
        <v>127</v>
      </c>
      <c r="I137" s="382">
        <f t="shared" si="16"/>
        <v>741</v>
      </c>
      <c r="J137" s="382">
        <v>127</v>
      </c>
      <c r="K137" s="351">
        <v>0</v>
      </c>
      <c r="L137" s="376">
        <v>116</v>
      </c>
      <c r="M137" s="376">
        <v>233</v>
      </c>
      <c r="N137" s="449">
        <f>M137*1.33333</f>
        <v>310.66589</v>
      </c>
      <c r="O137" s="814">
        <f>N137*1.25</f>
        <v>388.3323625</v>
      </c>
      <c r="P137" s="359">
        <f t="shared" si="15"/>
        <v>1660</v>
      </c>
      <c r="Q137" s="27">
        <v>0</v>
      </c>
      <c r="R137" s="25">
        <v>0</v>
      </c>
      <c r="S137" s="25">
        <v>0</v>
      </c>
      <c r="T137" s="360"/>
    </row>
    <row r="138" spans="1:20" ht="12.75">
      <c r="A138" s="25">
        <v>742</v>
      </c>
      <c r="B138" s="26" t="s">
        <v>159</v>
      </c>
      <c r="C138" s="25">
        <v>971</v>
      </c>
      <c r="D138" s="155">
        <v>170</v>
      </c>
      <c r="E138" s="383">
        <v>216</v>
      </c>
      <c r="F138" s="284">
        <v>261</v>
      </c>
      <c r="G138" s="351">
        <v>327</v>
      </c>
      <c r="H138" s="351">
        <v>350</v>
      </c>
      <c r="I138" s="382">
        <f t="shared" si="16"/>
        <v>742</v>
      </c>
      <c r="J138" s="382">
        <v>414.7</v>
      </c>
      <c r="K138" s="351">
        <v>0</v>
      </c>
      <c r="L138" s="351">
        <v>0</v>
      </c>
      <c r="M138" s="351">
        <v>0</v>
      </c>
      <c r="N138" s="449">
        <f>M138*1.1</f>
        <v>0</v>
      </c>
      <c r="O138" s="815">
        <f>N138</f>
        <v>0</v>
      </c>
      <c r="P138" s="359">
        <f t="shared" si="15"/>
        <v>1298</v>
      </c>
      <c r="Q138" s="27">
        <v>150</v>
      </c>
      <c r="R138" s="25">
        <v>0</v>
      </c>
      <c r="S138" s="25">
        <v>0</v>
      </c>
      <c r="T138" s="360"/>
    </row>
    <row r="139" spans="1:20" ht="12.75">
      <c r="A139" s="29">
        <v>743</v>
      </c>
      <c r="B139" s="30" t="s">
        <v>160</v>
      </c>
      <c r="C139" s="29">
        <v>971</v>
      </c>
      <c r="D139" s="155">
        <v>170</v>
      </c>
      <c r="E139" s="383">
        <v>216</v>
      </c>
      <c r="F139" s="284">
        <v>261</v>
      </c>
      <c r="G139" s="351">
        <v>327</v>
      </c>
      <c r="H139" s="351">
        <v>350</v>
      </c>
      <c r="I139" s="382">
        <f t="shared" si="16"/>
        <v>743</v>
      </c>
      <c r="J139" s="382">
        <v>414.7</v>
      </c>
      <c r="K139" s="351">
        <v>0</v>
      </c>
      <c r="L139" s="351">
        <v>0</v>
      </c>
      <c r="M139" s="351">
        <v>0</v>
      </c>
      <c r="N139" s="449">
        <f>M139*1.1</f>
        <v>0</v>
      </c>
      <c r="O139" s="815">
        <f>N139</f>
        <v>0</v>
      </c>
      <c r="P139" s="359">
        <f t="shared" si="15"/>
        <v>1298</v>
      </c>
      <c r="Q139" s="31">
        <v>17</v>
      </c>
      <c r="R139" s="29">
        <v>0</v>
      </c>
      <c r="S139" s="29">
        <v>0</v>
      </c>
      <c r="T139" s="360"/>
    </row>
    <row r="140" spans="1:20" ht="12.75">
      <c r="A140" s="25">
        <v>744</v>
      </c>
      <c r="B140" s="26" t="s">
        <v>161</v>
      </c>
      <c r="C140" s="25">
        <v>1400</v>
      </c>
      <c r="D140" s="155">
        <v>114</v>
      </c>
      <c r="E140" s="155">
        <v>114</v>
      </c>
      <c r="F140" s="284">
        <f>IF(C140&lt;972,E140+44,E140)</f>
        <v>114</v>
      </c>
      <c r="G140" s="284">
        <v>114</v>
      </c>
      <c r="H140" s="284">
        <v>114</v>
      </c>
      <c r="I140" s="382">
        <f t="shared" si="16"/>
        <v>744</v>
      </c>
      <c r="J140" s="382">
        <v>114</v>
      </c>
      <c r="K140" s="351">
        <v>0</v>
      </c>
      <c r="L140" s="377">
        <v>116</v>
      </c>
      <c r="M140" s="377">
        <v>233</v>
      </c>
      <c r="N140" s="449">
        <f>M140*1.33333</f>
        <v>310.66589</v>
      </c>
      <c r="O140" s="814">
        <f>N140*1.25</f>
        <v>388.3323625</v>
      </c>
      <c r="P140" s="359">
        <f t="shared" si="15"/>
        <v>1747</v>
      </c>
      <c r="Q140" s="27">
        <v>0</v>
      </c>
      <c r="R140" s="25">
        <v>0</v>
      </c>
      <c r="S140" s="25">
        <v>0</v>
      </c>
      <c r="T140" s="360"/>
    </row>
    <row r="141" spans="1:20" ht="12.75">
      <c r="A141" s="25">
        <v>745</v>
      </c>
      <c r="B141" s="26" t="s">
        <v>162</v>
      </c>
      <c r="C141" s="25">
        <v>1450</v>
      </c>
      <c r="D141" s="155">
        <v>107</v>
      </c>
      <c r="E141" s="155">
        <v>107</v>
      </c>
      <c r="F141" s="284">
        <f>IF(C141&lt;972,E141+44,E141)</f>
        <v>107</v>
      </c>
      <c r="G141" s="284">
        <v>107</v>
      </c>
      <c r="H141" s="284">
        <v>107</v>
      </c>
      <c r="I141" s="382">
        <f t="shared" si="16"/>
        <v>745</v>
      </c>
      <c r="J141" s="382">
        <v>107</v>
      </c>
      <c r="K141" s="351">
        <v>0</v>
      </c>
      <c r="L141" s="351">
        <v>0</v>
      </c>
      <c r="M141" s="351">
        <v>0</v>
      </c>
      <c r="N141" s="449">
        <f>M141*1.1</f>
        <v>0</v>
      </c>
      <c r="O141" s="815">
        <f>N141</f>
        <v>0</v>
      </c>
      <c r="P141" s="359">
        <f t="shared" si="15"/>
        <v>1557</v>
      </c>
      <c r="Q141" s="27">
        <v>0</v>
      </c>
      <c r="R141" s="25">
        <v>0</v>
      </c>
      <c r="S141" s="25">
        <v>0</v>
      </c>
      <c r="T141" s="360"/>
    </row>
    <row r="142" spans="1:20" ht="12.75">
      <c r="A142" s="25">
        <v>746</v>
      </c>
      <c r="B142" s="26" t="s">
        <v>163</v>
      </c>
      <c r="C142" s="25">
        <v>971</v>
      </c>
      <c r="D142" s="155">
        <v>170</v>
      </c>
      <c r="E142" s="383">
        <v>216</v>
      </c>
      <c r="F142" s="284">
        <v>261</v>
      </c>
      <c r="G142" s="351">
        <v>327</v>
      </c>
      <c r="H142" s="351">
        <v>350</v>
      </c>
      <c r="I142" s="382">
        <f t="shared" si="16"/>
        <v>746</v>
      </c>
      <c r="J142" s="382">
        <v>414.7</v>
      </c>
      <c r="K142" s="351">
        <v>0</v>
      </c>
      <c r="L142" s="351">
        <v>0</v>
      </c>
      <c r="M142" s="351">
        <v>0</v>
      </c>
      <c r="N142" s="449">
        <f>M142*1.1</f>
        <v>0</v>
      </c>
      <c r="O142" s="815">
        <f>N142</f>
        <v>0</v>
      </c>
      <c r="P142" s="359">
        <f t="shared" si="15"/>
        <v>1298</v>
      </c>
      <c r="Q142" s="27">
        <v>150</v>
      </c>
      <c r="R142" s="25">
        <v>0</v>
      </c>
      <c r="S142" s="25">
        <v>0</v>
      </c>
      <c r="T142" s="360"/>
    </row>
    <row r="143" spans="1:20" ht="12.75">
      <c r="A143" s="25">
        <v>747</v>
      </c>
      <c r="B143" s="26" t="s">
        <v>164</v>
      </c>
      <c r="C143" s="25">
        <v>971</v>
      </c>
      <c r="D143" s="155">
        <v>170</v>
      </c>
      <c r="E143" s="383">
        <v>216</v>
      </c>
      <c r="F143" s="284">
        <v>261</v>
      </c>
      <c r="G143" s="351">
        <v>327</v>
      </c>
      <c r="H143" s="351">
        <v>350</v>
      </c>
      <c r="I143" s="382">
        <f t="shared" si="16"/>
        <v>747</v>
      </c>
      <c r="J143" s="382">
        <v>414.7</v>
      </c>
      <c r="K143" s="351">
        <v>0</v>
      </c>
      <c r="L143" s="351">
        <v>0</v>
      </c>
      <c r="M143" s="351">
        <v>0</v>
      </c>
      <c r="N143" s="449">
        <f>M143*1.1</f>
        <v>0</v>
      </c>
      <c r="O143" s="815">
        <f>N143</f>
        <v>0</v>
      </c>
      <c r="P143" s="359">
        <f t="shared" si="15"/>
        <v>1298</v>
      </c>
      <c r="Q143" s="27">
        <v>0</v>
      </c>
      <c r="R143" s="25">
        <v>0</v>
      </c>
      <c r="S143" s="25">
        <v>0</v>
      </c>
      <c r="T143" s="360"/>
    </row>
    <row r="144" spans="1:20" ht="12.75">
      <c r="A144" s="25">
        <v>748</v>
      </c>
      <c r="B144" s="26" t="s">
        <v>165</v>
      </c>
      <c r="C144" s="25">
        <v>1250</v>
      </c>
      <c r="D144" s="155">
        <v>134</v>
      </c>
      <c r="E144" s="155">
        <v>134</v>
      </c>
      <c r="F144" s="284">
        <f>IF(C144&lt;972,E144+44,E144)</f>
        <v>134</v>
      </c>
      <c r="G144" s="284">
        <v>134</v>
      </c>
      <c r="H144" s="284">
        <v>134</v>
      </c>
      <c r="I144" s="382">
        <f t="shared" si="16"/>
        <v>748</v>
      </c>
      <c r="J144" s="382">
        <v>134</v>
      </c>
      <c r="K144" s="351">
        <v>0</v>
      </c>
      <c r="L144" s="376">
        <v>116</v>
      </c>
      <c r="M144" s="376">
        <v>233</v>
      </c>
      <c r="N144" s="449">
        <f>M144*1.33333</f>
        <v>310.66589</v>
      </c>
      <c r="O144" s="814">
        <f>N144*1.25</f>
        <v>388.3323625</v>
      </c>
      <c r="P144" s="359">
        <f t="shared" si="15"/>
        <v>1617</v>
      </c>
      <c r="Q144" s="27">
        <v>0</v>
      </c>
      <c r="R144" s="25">
        <v>0</v>
      </c>
      <c r="S144" s="25">
        <v>0</v>
      </c>
      <c r="T144" s="360"/>
    </row>
    <row r="145" spans="1:20" s="385" customFormat="1" ht="12.75">
      <c r="A145" s="361">
        <v>749</v>
      </c>
      <c r="B145" s="362" t="s">
        <v>65</v>
      </c>
      <c r="C145" s="361">
        <v>971</v>
      </c>
      <c r="D145" s="363">
        <v>170</v>
      </c>
      <c r="E145" s="380">
        <v>216</v>
      </c>
      <c r="F145" s="284">
        <v>261</v>
      </c>
      <c r="G145" s="351">
        <v>327</v>
      </c>
      <c r="H145" s="351">
        <v>350</v>
      </c>
      <c r="I145" s="384">
        <f t="shared" si="16"/>
        <v>749</v>
      </c>
      <c r="J145" s="384">
        <v>414.7</v>
      </c>
      <c r="K145" s="352">
        <v>0</v>
      </c>
      <c r="L145" s="352">
        <v>0</v>
      </c>
      <c r="M145" s="352">
        <v>0</v>
      </c>
      <c r="N145" s="449">
        <f>M145*1.1</f>
        <v>0</v>
      </c>
      <c r="O145" s="815">
        <f>N145</f>
        <v>0</v>
      </c>
      <c r="P145" s="359">
        <f t="shared" si="15"/>
        <v>1298</v>
      </c>
      <c r="Q145" s="366">
        <v>0</v>
      </c>
      <c r="R145" s="361">
        <v>0</v>
      </c>
      <c r="S145" s="361">
        <v>0</v>
      </c>
      <c r="T145" s="367"/>
    </row>
    <row r="146" spans="1:20" ht="12.75">
      <c r="A146" s="25">
        <v>750</v>
      </c>
      <c r="B146" s="26" t="s">
        <v>64</v>
      </c>
      <c r="C146" s="25">
        <v>971</v>
      </c>
      <c r="D146" s="155">
        <v>170</v>
      </c>
      <c r="E146" s="383">
        <v>216</v>
      </c>
      <c r="F146" s="284">
        <v>261</v>
      </c>
      <c r="G146" s="351">
        <v>327</v>
      </c>
      <c r="H146" s="351">
        <v>350</v>
      </c>
      <c r="I146" s="382">
        <f t="shared" si="16"/>
        <v>750</v>
      </c>
      <c r="J146" s="382">
        <v>414.7</v>
      </c>
      <c r="K146" s="351">
        <v>0</v>
      </c>
      <c r="L146" s="351">
        <v>0</v>
      </c>
      <c r="M146" s="351">
        <v>0</v>
      </c>
      <c r="N146" s="449">
        <f>M146*1.1</f>
        <v>0</v>
      </c>
      <c r="O146" s="815">
        <f>N146</f>
        <v>0</v>
      </c>
      <c r="P146" s="359">
        <f t="shared" si="15"/>
        <v>1298</v>
      </c>
      <c r="Q146" s="27">
        <v>0</v>
      </c>
      <c r="R146" s="25">
        <v>0</v>
      </c>
      <c r="S146" s="25">
        <v>0</v>
      </c>
      <c r="T146" s="360"/>
    </row>
    <row r="147" spans="1:20" ht="12.75">
      <c r="A147" s="25">
        <v>751</v>
      </c>
      <c r="B147" s="390" t="s">
        <v>389</v>
      </c>
      <c r="C147" s="25">
        <v>1500</v>
      </c>
      <c r="D147" s="155">
        <v>101</v>
      </c>
      <c r="E147" s="155">
        <v>101</v>
      </c>
      <c r="F147" s="284">
        <f>IF(C147&lt;972,E147+44,E147)</f>
        <v>101</v>
      </c>
      <c r="G147" s="284">
        <v>101</v>
      </c>
      <c r="H147" s="284">
        <v>101</v>
      </c>
      <c r="I147" s="382">
        <f t="shared" si="16"/>
        <v>751</v>
      </c>
      <c r="J147" s="382">
        <v>101</v>
      </c>
      <c r="K147" s="351">
        <v>0</v>
      </c>
      <c r="L147" s="376">
        <v>116</v>
      </c>
      <c r="M147" s="376">
        <v>233</v>
      </c>
      <c r="N147" s="449">
        <f>M147*1.33333</f>
        <v>310.66589</v>
      </c>
      <c r="O147" s="814">
        <f>N147*1.25</f>
        <v>388.3323625</v>
      </c>
      <c r="P147" s="359">
        <f t="shared" si="15"/>
        <v>1834</v>
      </c>
      <c r="Q147" s="27">
        <v>150</v>
      </c>
      <c r="R147" s="25">
        <v>0</v>
      </c>
      <c r="S147" s="25">
        <v>0</v>
      </c>
      <c r="T147" s="360"/>
    </row>
    <row r="148" spans="1:20" ht="12.75">
      <c r="A148" s="25">
        <v>752</v>
      </c>
      <c r="B148" s="26" t="s">
        <v>167</v>
      </c>
      <c r="C148" s="25">
        <v>2913</v>
      </c>
      <c r="D148" s="155">
        <v>0</v>
      </c>
      <c r="E148" s="155">
        <v>0</v>
      </c>
      <c r="F148" s="284">
        <f>IF(C148&lt;972,E148+44,E148)</f>
        <v>0</v>
      </c>
      <c r="G148" s="284">
        <v>0</v>
      </c>
      <c r="H148" s="284">
        <v>0</v>
      </c>
      <c r="I148" s="382">
        <f t="shared" si="16"/>
        <v>752</v>
      </c>
      <c r="J148" s="382">
        <v>0</v>
      </c>
      <c r="K148" s="351">
        <v>0</v>
      </c>
      <c r="L148" s="351">
        <v>0</v>
      </c>
      <c r="M148" s="351">
        <v>0</v>
      </c>
      <c r="N148" s="449">
        <f>M148*1.1</f>
        <v>0</v>
      </c>
      <c r="O148" s="815">
        <f>N148</f>
        <v>0</v>
      </c>
      <c r="P148" s="359">
        <f t="shared" si="15"/>
        <v>2913</v>
      </c>
      <c r="Q148" s="27">
        <v>20</v>
      </c>
      <c r="R148" s="25">
        <v>0</v>
      </c>
      <c r="S148" s="25">
        <v>0</v>
      </c>
      <c r="T148" s="360"/>
    </row>
    <row r="149" spans="1:20" ht="12.75">
      <c r="A149" s="25">
        <v>753</v>
      </c>
      <c r="B149" s="26" t="s">
        <v>168</v>
      </c>
      <c r="C149" s="25">
        <v>1942</v>
      </c>
      <c r="D149" s="155">
        <v>43</v>
      </c>
      <c r="E149" s="155">
        <v>43</v>
      </c>
      <c r="F149" s="284">
        <f>IF(C149&lt;972,E149+44,E149)</f>
        <v>43</v>
      </c>
      <c r="G149" s="284">
        <v>43</v>
      </c>
      <c r="H149" s="284">
        <v>43</v>
      </c>
      <c r="I149" s="382">
        <f t="shared" si="16"/>
        <v>753</v>
      </c>
      <c r="J149" s="382">
        <v>43</v>
      </c>
      <c r="K149" s="351">
        <v>0</v>
      </c>
      <c r="L149" s="351">
        <v>233</v>
      </c>
      <c r="M149" s="351">
        <v>466</v>
      </c>
      <c r="N149" s="449">
        <f>M149*1.33333</f>
        <v>621.33178</v>
      </c>
      <c r="O149" s="814">
        <f>N149*1.25</f>
        <v>776.664725</v>
      </c>
      <c r="P149" s="359">
        <f t="shared" si="15"/>
        <v>2451</v>
      </c>
      <c r="Q149" s="27">
        <v>150</v>
      </c>
      <c r="R149" s="25">
        <v>0</v>
      </c>
      <c r="S149" s="25">
        <v>0</v>
      </c>
      <c r="T149" s="360"/>
    </row>
    <row r="150" spans="1:20" ht="12.75">
      <c r="A150" s="25">
        <v>754</v>
      </c>
      <c r="B150" s="26" t="s">
        <v>169</v>
      </c>
      <c r="C150" s="25">
        <v>971</v>
      </c>
      <c r="D150" s="155">
        <v>170</v>
      </c>
      <c r="E150" s="383">
        <v>216</v>
      </c>
      <c r="F150" s="284">
        <v>261</v>
      </c>
      <c r="G150" s="351">
        <v>327</v>
      </c>
      <c r="H150" s="351">
        <v>350</v>
      </c>
      <c r="I150" s="382">
        <f t="shared" si="16"/>
        <v>754</v>
      </c>
      <c r="J150" s="382">
        <v>414.7</v>
      </c>
      <c r="K150" s="351">
        <v>0</v>
      </c>
      <c r="L150" s="351">
        <v>0</v>
      </c>
      <c r="M150" s="351">
        <v>0</v>
      </c>
      <c r="N150" s="449">
        <f>M150*1.1</f>
        <v>0</v>
      </c>
      <c r="O150" s="815">
        <f>N150</f>
        <v>0</v>
      </c>
      <c r="P150" s="359">
        <f t="shared" si="15"/>
        <v>1298</v>
      </c>
      <c r="Q150" s="27">
        <v>0</v>
      </c>
      <c r="R150" s="25">
        <v>0</v>
      </c>
      <c r="S150" s="25">
        <v>0</v>
      </c>
      <c r="T150" s="360"/>
    </row>
    <row r="151" spans="1:20" ht="12.75">
      <c r="A151" s="25">
        <v>755</v>
      </c>
      <c r="B151" s="26" t="s">
        <v>170</v>
      </c>
      <c r="C151" s="25">
        <v>971</v>
      </c>
      <c r="D151" s="155">
        <v>170</v>
      </c>
      <c r="E151" s="383">
        <v>216</v>
      </c>
      <c r="F151" s="284">
        <v>261</v>
      </c>
      <c r="G151" s="351">
        <v>327</v>
      </c>
      <c r="H151" s="351">
        <v>350</v>
      </c>
      <c r="I151" s="382">
        <f t="shared" si="16"/>
        <v>755</v>
      </c>
      <c r="J151" s="382">
        <v>414.7</v>
      </c>
      <c r="K151" s="351">
        <v>0</v>
      </c>
      <c r="L151" s="351">
        <v>0</v>
      </c>
      <c r="M151" s="351">
        <v>0</v>
      </c>
      <c r="N151" s="449">
        <f>M151*1.1</f>
        <v>0</v>
      </c>
      <c r="O151" s="815">
        <f>N151</f>
        <v>0</v>
      </c>
      <c r="P151" s="359">
        <f t="shared" si="15"/>
        <v>1298</v>
      </c>
      <c r="Q151" s="27">
        <v>0</v>
      </c>
      <c r="R151" s="25">
        <v>0</v>
      </c>
      <c r="S151" s="25">
        <v>0</v>
      </c>
      <c r="T151" s="360"/>
    </row>
    <row r="152" spans="1:20" ht="12.75">
      <c r="A152" s="25">
        <v>756</v>
      </c>
      <c r="B152" s="26" t="s">
        <v>171</v>
      </c>
      <c r="C152" s="25">
        <v>1290</v>
      </c>
      <c r="D152" s="155">
        <v>128</v>
      </c>
      <c r="E152" s="155">
        <v>128</v>
      </c>
      <c r="F152" s="284">
        <f>IF(C152&lt;972,E152+44,E152)</f>
        <v>128</v>
      </c>
      <c r="G152" s="284">
        <v>128</v>
      </c>
      <c r="H152" s="284">
        <v>128</v>
      </c>
      <c r="I152" s="382">
        <f t="shared" si="16"/>
        <v>756</v>
      </c>
      <c r="J152" s="382">
        <v>128</v>
      </c>
      <c r="K152" s="351">
        <v>0</v>
      </c>
      <c r="L152" s="376">
        <v>116</v>
      </c>
      <c r="M152" s="376">
        <v>232</v>
      </c>
      <c r="N152" s="449">
        <f>M152*1.33333</f>
        <v>309.33256</v>
      </c>
      <c r="O152" s="814">
        <f>N152*1.25</f>
        <v>386.6657</v>
      </c>
      <c r="P152" s="359">
        <f t="shared" si="15"/>
        <v>1650</v>
      </c>
      <c r="Q152" s="27">
        <v>0</v>
      </c>
      <c r="R152" s="25">
        <v>0</v>
      </c>
      <c r="S152" s="25">
        <v>0</v>
      </c>
      <c r="T152" s="360"/>
    </row>
    <row r="153" spans="1:20" ht="12.75">
      <c r="A153" s="25">
        <v>757</v>
      </c>
      <c r="B153" s="26" t="s">
        <v>172</v>
      </c>
      <c r="C153" s="25">
        <v>971</v>
      </c>
      <c r="D153" s="155">
        <v>170</v>
      </c>
      <c r="E153" s="383">
        <v>216</v>
      </c>
      <c r="F153" s="284">
        <v>261</v>
      </c>
      <c r="G153" s="351">
        <v>327</v>
      </c>
      <c r="H153" s="351">
        <v>350</v>
      </c>
      <c r="I153" s="382">
        <f t="shared" si="16"/>
        <v>757</v>
      </c>
      <c r="J153" s="382">
        <v>414.7</v>
      </c>
      <c r="K153" s="351">
        <v>0</v>
      </c>
      <c r="L153" s="351">
        <v>0</v>
      </c>
      <c r="M153" s="351">
        <v>0</v>
      </c>
      <c r="N153" s="449">
        <f>M153*1.1</f>
        <v>0</v>
      </c>
      <c r="O153" s="815">
        <f>N153</f>
        <v>0</v>
      </c>
      <c r="P153" s="359">
        <f t="shared" si="15"/>
        <v>1298</v>
      </c>
      <c r="Q153" s="27">
        <v>0</v>
      </c>
      <c r="R153" s="25">
        <v>0</v>
      </c>
      <c r="S153" s="25">
        <v>0</v>
      </c>
      <c r="T153" s="360"/>
    </row>
    <row r="154" spans="1:20" ht="12.75">
      <c r="A154" s="25">
        <v>758</v>
      </c>
      <c r="B154" s="26" t="s">
        <v>173</v>
      </c>
      <c r="C154" s="25">
        <v>971</v>
      </c>
      <c r="D154" s="155">
        <v>170</v>
      </c>
      <c r="E154" s="383">
        <v>216</v>
      </c>
      <c r="F154" s="284">
        <v>261</v>
      </c>
      <c r="G154" s="351">
        <v>327</v>
      </c>
      <c r="H154" s="351">
        <v>350</v>
      </c>
      <c r="I154" s="382">
        <f t="shared" si="16"/>
        <v>758</v>
      </c>
      <c r="J154" s="382">
        <v>414.7</v>
      </c>
      <c r="K154" s="351">
        <v>0</v>
      </c>
      <c r="L154" s="351">
        <v>0</v>
      </c>
      <c r="M154" s="351">
        <v>0</v>
      </c>
      <c r="N154" s="449">
        <f>M154*1.1</f>
        <v>0</v>
      </c>
      <c r="O154" s="815">
        <f>N154</f>
        <v>0</v>
      </c>
      <c r="P154" s="359">
        <f t="shared" si="15"/>
        <v>1298</v>
      </c>
      <c r="Q154" s="27">
        <v>0</v>
      </c>
      <c r="R154" s="25">
        <v>0</v>
      </c>
      <c r="S154" s="25">
        <v>0</v>
      </c>
      <c r="T154" s="360"/>
    </row>
    <row r="155" spans="1:20" ht="12.75">
      <c r="A155" s="25">
        <v>759</v>
      </c>
      <c r="B155" s="26" t="s">
        <v>174</v>
      </c>
      <c r="C155" s="25">
        <v>971</v>
      </c>
      <c r="D155" s="155">
        <v>170</v>
      </c>
      <c r="E155" s="383">
        <v>216</v>
      </c>
      <c r="F155" s="284">
        <v>261</v>
      </c>
      <c r="G155" s="351">
        <v>327</v>
      </c>
      <c r="H155" s="351">
        <v>350</v>
      </c>
      <c r="I155" s="382">
        <f t="shared" si="16"/>
        <v>759</v>
      </c>
      <c r="J155" s="382">
        <v>414.7</v>
      </c>
      <c r="K155" s="351">
        <v>0</v>
      </c>
      <c r="L155" s="351">
        <v>0</v>
      </c>
      <c r="M155" s="351">
        <v>0</v>
      </c>
      <c r="N155" s="449">
        <f>M155*1.1</f>
        <v>0</v>
      </c>
      <c r="O155" s="815">
        <f>N155</f>
        <v>0</v>
      </c>
      <c r="P155" s="359">
        <f t="shared" si="15"/>
        <v>1298</v>
      </c>
      <c r="Q155" s="27">
        <v>150</v>
      </c>
      <c r="R155" s="25">
        <v>0</v>
      </c>
      <c r="S155" s="25">
        <v>0</v>
      </c>
      <c r="T155" s="360"/>
    </row>
    <row r="156" spans="1:20" ht="12.75">
      <c r="A156" s="25">
        <v>760</v>
      </c>
      <c r="B156" s="26" t="s">
        <v>175</v>
      </c>
      <c r="C156" s="25">
        <v>1400</v>
      </c>
      <c r="D156" s="155">
        <v>114</v>
      </c>
      <c r="E156" s="155">
        <v>114</v>
      </c>
      <c r="F156" s="284">
        <f>IF(C156&lt;972,E156+44,E156)</f>
        <v>114</v>
      </c>
      <c r="G156" s="284">
        <v>114</v>
      </c>
      <c r="H156" s="284">
        <v>114</v>
      </c>
      <c r="I156" s="382">
        <f t="shared" si="16"/>
        <v>760</v>
      </c>
      <c r="J156" s="382">
        <v>114</v>
      </c>
      <c r="K156" s="351">
        <v>0</v>
      </c>
      <c r="L156" s="351">
        <v>0</v>
      </c>
      <c r="M156" s="351">
        <v>0</v>
      </c>
      <c r="N156" s="449">
        <f>M156*1.1</f>
        <v>0</v>
      </c>
      <c r="O156" s="815">
        <f>N156</f>
        <v>0</v>
      </c>
      <c r="P156" s="359">
        <f t="shared" si="15"/>
        <v>1514</v>
      </c>
      <c r="Q156" s="27">
        <v>0</v>
      </c>
      <c r="R156" s="25">
        <v>0</v>
      </c>
      <c r="S156" s="25">
        <v>0</v>
      </c>
      <c r="T156" s="360"/>
    </row>
    <row r="157" spans="1:20" ht="12.75">
      <c r="A157" s="25">
        <v>761</v>
      </c>
      <c r="B157" s="26" t="s">
        <v>176</v>
      </c>
      <c r="C157" s="25">
        <v>1700</v>
      </c>
      <c r="D157" s="155">
        <v>75</v>
      </c>
      <c r="E157" s="155">
        <v>75</v>
      </c>
      <c r="F157" s="284">
        <f>IF(C157&lt;972,E157+44,E157)</f>
        <v>75</v>
      </c>
      <c r="G157" s="284">
        <v>75</v>
      </c>
      <c r="H157" s="284">
        <v>75</v>
      </c>
      <c r="I157" s="382">
        <f t="shared" si="16"/>
        <v>761</v>
      </c>
      <c r="J157" s="382">
        <v>75</v>
      </c>
      <c r="K157" s="351">
        <v>0</v>
      </c>
      <c r="L157" s="351">
        <v>136</v>
      </c>
      <c r="M157" s="351">
        <v>272</v>
      </c>
      <c r="N157" s="449">
        <f>M157*1.33333</f>
        <v>362.66576</v>
      </c>
      <c r="O157" s="814">
        <f>N157*1.25</f>
        <v>453.33219999999994</v>
      </c>
      <c r="P157" s="359">
        <f t="shared" si="15"/>
        <v>2047</v>
      </c>
      <c r="Q157" s="27">
        <v>150</v>
      </c>
      <c r="R157" s="25">
        <v>0</v>
      </c>
      <c r="S157" s="25">
        <v>0</v>
      </c>
      <c r="T157" s="360"/>
    </row>
    <row r="158" spans="1:20" ht="12.75">
      <c r="A158" s="25">
        <v>762</v>
      </c>
      <c r="B158" s="26" t="s">
        <v>177</v>
      </c>
      <c r="C158" s="25">
        <v>971</v>
      </c>
      <c r="D158" s="155">
        <v>170</v>
      </c>
      <c r="E158" s="383">
        <v>216</v>
      </c>
      <c r="F158" s="284">
        <v>261</v>
      </c>
      <c r="G158" s="351">
        <v>327</v>
      </c>
      <c r="H158" s="351">
        <v>350</v>
      </c>
      <c r="I158" s="382">
        <f t="shared" si="16"/>
        <v>762</v>
      </c>
      <c r="J158" s="382">
        <v>414.7</v>
      </c>
      <c r="K158" s="351">
        <v>0</v>
      </c>
      <c r="L158" s="351">
        <v>0</v>
      </c>
      <c r="M158" s="351">
        <v>0</v>
      </c>
      <c r="N158" s="449">
        <f>M158*1.1</f>
        <v>0</v>
      </c>
      <c r="O158" s="815">
        <f>N158</f>
        <v>0</v>
      </c>
      <c r="P158" s="359">
        <f t="shared" si="15"/>
        <v>1298</v>
      </c>
      <c r="Q158" s="27">
        <v>0</v>
      </c>
      <c r="R158" s="25">
        <v>0</v>
      </c>
      <c r="S158" s="25">
        <v>0</v>
      </c>
      <c r="T158" s="360"/>
    </row>
    <row r="159" spans="1:20" ht="12.75">
      <c r="A159" s="25">
        <v>763</v>
      </c>
      <c r="B159" s="26" t="s">
        <v>178</v>
      </c>
      <c r="C159" s="25">
        <v>971</v>
      </c>
      <c r="D159" s="155">
        <v>170</v>
      </c>
      <c r="E159" s="383">
        <v>216</v>
      </c>
      <c r="F159" s="284">
        <v>261</v>
      </c>
      <c r="G159" s="351">
        <v>327</v>
      </c>
      <c r="H159" s="351">
        <v>350</v>
      </c>
      <c r="I159" s="382">
        <f t="shared" si="16"/>
        <v>763</v>
      </c>
      <c r="J159" s="382">
        <v>414.7</v>
      </c>
      <c r="K159" s="351">
        <v>0</v>
      </c>
      <c r="L159" s="351">
        <v>0</v>
      </c>
      <c r="M159" s="351">
        <v>0</v>
      </c>
      <c r="N159" s="449">
        <f>M159*1.1</f>
        <v>0</v>
      </c>
      <c r="O159" s="815">
        <f>N159</f>
        <v>0</v>
      </c>
      <c r="P159" s="359">
        <f t="shared" si="15"/>
        <v>1298</v>
      </c>
      <c r="Q159" s="27">
        <v>0</v>
      </c>
      <c r="R159" s="25">
        <v>0</v>
      </c>
      <c r="S159" s="25">
        <v>0</v>
      </c>
      <c r="T159" s="360"/>
    </row>
    <row r="160" spans="1:20" ht="12.75">
      <c r="A160" s="25">
        <v>764</v>
      </c>
      <c r="B160" s="26" t="s">
        <v>179</v>
      </c>
      <c r="C160" s="25">
        <v>1500</v>
      </c>
      <c r="D160" s="155">
        <v>101</v>
      </c>
      <c r="E160" s="155">
        <v>101</v>
      </c>
      <c r="F160" s="284">
        <f>IF(C160&lt;972,E160+44,E160)</f>
        <v>101</v>
      </c>
      <c r="G160" s="284">
        <v>101</v>
      </c>
      <c r="H160" s="284">
        <v>101</v>
      </c>
      <c r="I160" s="382">
        <f t="shared" si="16"/>
        <v>764</v>
      </c>
      <c r="J160" s="382">
        <v>101</v>
      </c>
      <c r="K160" s="351">
        <v>0</v>
      </c>
      <c r="L160" s="351">
        <v>0</v>
      </c>
      <c r="M160" s="351">
        <v>0</v>
      </c>
      <c r="N160" s="449">
        <f>M160*1.1</f>
        <v>0</v>
      </c>
      <c r="O160" s="815">
        <f>N160</f>
        <v>0</v>
      </c>
      <c r="P160" s="359">
        <f t="shared" si="15"/>
        <v>1601</v>
      </c>
      <c r="Q160" s="27">
        <v>150</v>
      </c>
      <c r="R160" s="25">
        <v>0</v>
      </c>
      <c r="S160" s="25">
        <v>0</v>
      </c>
      <c r="T160" s="360"/>
    </row>
    <row r="161" spans="1:20" ht="12.75">
      <c r="A161" s="25">
        <v>765</v>
      </c>
      <c r="B161" s="26" t="s">
        <v>180</v>
      </c>
      <c r="C161" s="25">
        <v>1500</v>
      </c>
      <c r="D161" s="155">
        <v>101</v>
      </c>
      <c r="E161" s="155">
        <v>101</v>
      </c>
      <c r="F161" s="284">
        <f>IF(C161&lt;972,E161+44,E161)</f>
        <v>101</v>
      </c>
      <c r="G161" s="284">
        <v>101</v>
      </c>
      <c r="H161" s="284">
        <v>101</v>
      </c>
      <c r="I161" s="382">
        <f t="shared" si="16"/>
        <v>765</v>
      </c>
      <c r="J161" s="382">
        <v>101</v>
      </c>
      <c r="K161" s="351">
        <v>0</v>
      </c>
      <c r="L161" s="351">
        <v>0</v>
      </c>
      <c r="M161" s="351">
        <v>0</v>
      </c>
      <c r="N161" s="449">
        <f>M161*1.1</f>
        <v>0</v>
      </c>
      <c r="O161" s="815">
        <f>N161</f>
        <v>0</v>
      </c>
      <c r="P161" s="359">
        <f t="shared" si="15"/>
        <v>1601</v>
      </c>
      <c r="Q161" s="27">
        <v>150</v>
      </c>
      <c r="R161" s="25">
        <v>0</v>
      </c>
      <c r="S161" s="25">
        <v>0</v>
      </c>
      <c r="T161" s="360"/>
    </row>
    <row r="162" spans="1:20" ht="12.75">
      <c r="A162" s="25">
        <v>766</v>
      </c>
      <c r="B162" s="26" t="s">
        <v>181</v>
      </c>
      <c r="C162" s="25">
        <v>1942</v>
      </c>
      <c r="D162" s="155">
        <v>43</v>
      </c>
      <c r="E162" s="155">
        <v>43</v>
      </c>
      <c r="F162" s="284">
        <f>IF(C162&lt;972,E162+44,E162)</f>
        <v>43</v>
      </c>
      <c r="G162" s="284">
        <v>43</v>
      </c>
      <c r="H162" s="284">
        <v>43</v>
      </c>
      <c r="I162" s="382">
        <f t="shared" si="16"/>
        <v>766</v>
      </c>
      <c r="J162" s="382">
        <v>43</v>
      </c>
      <c r="K162" s="351">
        <v>0</v>
      </c>
      <c r="L162" s="351">
        <v>233</v>
      </c>
      <c r="M162" s="351">
        <v>466</v>
      </c>
      <c r="N162" s="449">
        <f>M162*1.33333</f>
        <v>621.33178</v>
      </c>
      <c r="O162" s="814">
        <f>N162*1.25</f>
        <v>776.664725</v>
      </c>
      <c r="P162" s="359">
        <f t="shared" si="15"/>
        <v>2451</v>
      </c>
      <c r="Q162" s="27">
        <v>150</v>
      </c>
      <c r="R162" s="25">
        <v>0</v>
      </c>
      <c r="S162" s="25">
        <v>0</v>
      </c>
      <c r="T162" s="360"/>
    </row>
    <row r="163" spans="1:20" ht="12.75">
      <c r="A163" s="25">
        <v>767</v>
      </c>
      <c r="B163" s="26" t="s">
        <v>182</v>
      </c>
      <c r="C163" s="25">
        <v>1700</v>
      </c>
      <c r="D163" s="155">
        <v>75</v>
      </c>
      <c r="E163" s="155">
        <v>75</v>
      </c>
      <c r="F163" s="284">
        <f>IF(C163&lt;972,E163+44,E163)</f>
        <v>75</v>
      </c>
      <c r="G163" s="284">
        <v>75</v>
      </c>
      <c r="H163" s="284">
        <v>75</v>
      </c>
      <c r="I163" s="382">
        <f t="shared" si="16"/>
        <v>767</v>
      </c>
      <c r="J163" s="382">
        <v>75</v>
      </c>
      <c r="K163" s="351">
        <v>0</v>
      </c>
      <c r="L163" s="376">
        <v>116</v>
      </c>
      <c r="M163" s="376">
        <v>232</v>
      </c>
      <c r="N163" s="449">
        <f>M163*1.33333</f>
        <v>309.33256</v>
      </c>
      <c r="O163" s="814">
        <f>N163*1.25</f>
        <v>386.6657</v>
      </c>
      <c r="P163" s="359">
        <f t="shared" si="15"/>
        <v>2007</v>
      </c>
      <c r="Q163" s="27">
        <v>150</v>
      </c>
      <c r="R163" s="25">
        <v>0</v>
      </c>
      <c r="S163" s="25">
        <v>0</v>
      </c>
      <c r="T163" s="360"/>
    </row>
    <row r="164" spans="1:20" ht="12.75">
      <c r="A164" s="25">
        <v>768</v>
      </c>
      <c r="B164" s="26" t="s">
        <v>183</v>
      </c>
      <c r="C164" s="25">
        <v>971</v>
      </c>
      <c r="D164" s="155">
        <v>170</v>
      </c>
      <c r="E164" s="383">
        <v>216</v>
      </c>
      <c r="F164" s="284">
        <v>261</v>
      </c>
      <c r="G164" s="351">
        <v>327</v>
      </c>
      <c r="H164" s="351">
        <v>350</v>
      </c>
      <c r="I164" s="382">
        <f t="shared" si="16"/>
        <v>768</v>
      </c>
      <c r="J164" s="382">
        <v>414.7</v>
      </c>
      <c r="K164" s="351">
        <v>0</v>
      </c>
      <c r="L164" s="351">
        <v>0</v>
      </c>
      <c r="M164" s="351">
        <v>0</v>
      </c>
      <c r="N164" s="449">
        <f>M164*1.1</f>
        <v>0</v>
      </c>
      <c r="O164" s="815">
        <f>N164</f>
        <v>0</v>
      </c>
      <c r="P164" s="359">
        <f t="shared" si="15"/>
        <v>1298</v>
      </c>
      <c r="Q164" s="27">
        <v>150</v>
      </c>
      <c r="R164" s="25">
        <v>0</v>
      </c>
      <c r="S164" s="25">
        <v>0</v>
      </c>
      <c r="T164" s="360"/>
    </row>
    <row r="165" spans="1:20" ht="12.75">
      <c r="A165" s="25">
        <v>769</v>
      </c>
      <c r="B165" s="26" t="s">
        <v>184</v>
      </c>
      <c r="C165" s="25">
        <v>2913</v>
      </c>
      <c r="D165" s="155">
        <v>0</v>
      </c>
      <c r="E165" s="155">
        <v>0</v>
      </c>
      <c r="F165" s="284">
        <f>IF(C165&lt;972,E165+44,E165)</f>
        <v>0</v>
      </c>
      <c r="G165" s="284">
        <v>0</v>
      </c>
      <c r="H165" s="284">
        <v>0</v>
      </c>
      <c r="I165" s="382">
        <f t="shared" si="16"/>
        <v>769</v>
      </c>
      <c r="J165" s="382">
        <v>0</v>
      </c>
      <c r="K165" s="351">
        <v>0</v>
      </c>
      <c r="L165" s="351">
        <f>D165*0.09</f>
        <v>0</v>
      </c>
      <c r="M165" s="351">
        <v>0</v>
      </c>
      <c r="N165" s="449">
        <f>M165*1.1</f>
        <v>0</v>
      </c>
      <c r="O165" s="815">
        <f>N165</f>
        <v>0</v>
      </c>
      <c r="P165" s="359">
        <f t="shared" si="15"/>
        <v>2913</v>
      </c>
      <c r="Q165" s="27">
        <v>0</v>
      </c>
      <c r="R165" s="25">
        <v>0</v>
      </c>
      <c r="S165" s="25">
        <v>0</v>
      </c>
      <c r="T165" s="360"/>
    </row>
    <row r="166" spans="1:20" ht="12.75">
      <c r="A166" s="25">
        <v>770</v>
      </c>
      <c r="B166" s="26" t="s">
        <v>185</v>
      </c>
      <c r="C166" s="25">
        <v>2913</v>
      </c>
      <c r="D166" s="155">
        <v>0</v>
      </c>
      <c r="E166" s="155">
        <v>0</v>
      </c>
      <c r="F166" s="284">
        <f>IF(C166&lt;972,E166+44,E166)</f>
        <v>0</v>
      </c>
      <c r="G166" s="284">
        <v>0</v>
      </c>
      <c r="H166" s="284">
        <v>0</v>
      </c>
      <c r="I166" s="382">
        <f t="shared" si="16"/>
        <v>770</v>
      </c>
      <c r="J166" s="382">
        <v>0</v>
      </c>
      <c r="K166" s="351">
        <v>0</v>
      </c>
      <c r="L166" s="375">
        <v>233</v>
      </c>
      <c r="M166" s="375">
        <v>776</v>
      </c>
      <c r="N166" s="449">
        <v>776</v>
      </c>
      <c r="O166" s="814">
        <f>N166*1.25</f>
        <v>970</v>
      </c>
      <c r="P166" s="359">
        <f t="shared" si="15"/>
        <v>3689</v>
      </c>
      <c r="Q166" s="27">
        <v>0</v>
      </c>
      <c r="R166" s="25">
        <v>0</v>
      </c>
      <c r="S166" s="25">
        <v>0</v>
      </c>
      <c r="T166" s="360"/>
    </row>
    <row r="167" spans="1:20" ht="12.75">
      <c r="A167" s="25">
        <v>771</v>
      </c>
      <c r="B167" s="26" t="s">
        <v>186</v>
      </c>
      <c r="C167" s="25">
        <v>971</v>
      </c>
      <c r="D167" s="155">
        <v>170</v>
      </c>
      <c r="E167" s="383">
        <v>216</v>
      </c>
      <c r="F167" s="284">
        <v>261</v>
      </c>
      <c r="G167" s="351">
        <v>327</v>
      </c>
      <c r="H167" s="351">
        <v>350</v>
      </c>
      <c r="I167" s="382">
        <f t="shared" si="16"/>
        <v>771</v>
      </c>
      <c r="J167" s="382">
        <v>414.7</v>
      </c>
      <c r="K167" s="351">
        <v>0</v>
      </c>
      <c r="L167" s="351">
        <v>0</v>
      </c>
      <c r="M167" s="351">
        <v>0</v>
      </c>
      <c r="N167" s="449">
        <f>M167*1.1</f>
        <v>0</v>
      </c>
      <c r="O167" s="815">
        <f>N167</f>
        <v>0</v>
      </c>
      <c r="P167" s="359">
        <f t="shared" si="15"/>
        <v>1298</v>
      </c>
      <c r="Q167" s="27">
        <v>0</v>
      </c>
      <c r="R167" s="25">
        <v>0</v>
      </c>
      <c r="S167" s="25">
        <v>620</v>
      </c>
      <c r="T167" s="360"/>
    </row>
    <row r="168" spans="1:20" ht="12.75">
      <c r="A168" s="25">
        <v>772</v>
      </c>
      <c r="B168" s="26" t="s">
        <v>187</v>
      </c>
      <c r="C168" s="25">
        <v>971</v>
      </c>
      <c r="D168" s="155">
        <v>170</v>
      </c>
      <c r="E168" s="383">
        <v>216</v>
      </c>
      <c r="F168" s="284">
        <v>261</v>
      </c>
      <c r="G168" s="351">
        <v>327</v>
      </c>
      <c r="H168" s="351">
        <v>350</v>
      </c>
      <c r="I168" s="382">
        <f t="shared" si="16"/>
        <v>772</v>
      </c>
      <c r="J168" s="382">
        <v>414.7</v>
      </c>
      <c r="K168" s="351">
        <v>0</v>
      </c>
      <c r="L168" s="351">
        <v>0</v>
      </c>
      <c r="M168" s="351">
        <v>0</v>
      </c>
      <c r="N168" s="449">
        <f>M168*1.1</f>
        <v>0</v>
      </c>
      <c r="O168" s="815">
        <f>N168</f>
        <v>0</v>
      </c>
      <c r="P168" s="359">
        <f t="shared" si="15"/>
        <v>1298</v>
      </c>
      <c r="Q168" s="27">
        <v>0</v>
      </c>
      <c r="R168" s="25">
        <v>0</v>
      </c>
      <c r="S168" s="25">
        <v>620</v>
      </c>
      <c r="T168" s="360"/>
    </row>
    <row r="169" spans="1:20" ht="12.75">
      <c r="A169" s="25">
        <v>773</v>
      </c>
      <c r="B169" s="26" t="s">
        <v>427</v>
      </c>
      <c r="C169" s="25">
        <v>1942</v>
      </c>
      <c r="D169" s="155">
        <v>43</v>
      </c>
      <c r="E169" s="155">
        <v>43</v>
      </c>
      <c r="F169" s="284">
        <f>IF(C169&lt;972,E169+44,E169)</f>
        <v>43</v>
      </c>
      <c r="G169" s="284">
        <v>43</v>
      </c>
      <c r="H169" s="284">
        <v>43</v>
      </c>
      <c r="I169" s="382">
        <f t="shared" si="16"/>
        <v>773</v>
      </c>
      <c r="J169" s="382">
        <v>43</v>
      </c>
      <c r="K169" s="351">
        <v>0</v>
      </c>
      <c r="L169" s="351">
        <v>233</v>
      </c>
      <c r="M169" s="351">
        <v>466</v>
      </c>
      <c r="N169" s="449">
        <f>M169*1.33333</f>
        <v>621.33178</v>
      </c>
      <c r="O169" s="814">
        <f>N169*1.25</f>
        <v>776.664725</v>
      </c>
      <c r="P169" s="359">
        <f t="shared" si="15"/>
        <v>2451</v>
      </c>
      <c r="Q169" s="27">
        <v>0</v>
      </c>
      <c r="R169" s="25">
        <v>0</v>
      </c>
      <c r="S169" s="25">
        <v>669</v>
      </c>
      <c r="T169" s="360"/>
    </row>
    <row r="170" spans="1:20" ht="12.75">
      <c r="A170" s="25">
        <v>774</v>
      </c>
      <c r="B170" s="26" t="s">
        <v>428</v>
      </c>
      <c r="C170" s="25">
        <v>1700</v>
      </c>
      <c r="D170" s="155">
        <v>75</v>
      </c>
      <c r="E170" s="155">
        <v>75</v>
      </c>
      <c r="F170" s="284">
        <f>IF(C170&lt;972,E170+44,E170)</f>
        <v>75</v>
      </c>
      <c r="G170" s="284">
        <v>75</v>
      </c>
      <c r="H170" s="284">
        <v>75</v>
      </c>
      <c r="I170" s="382">
        <f t="shared" si="16"/>
        <v>774</v>
      </c>
      <c r="J170" s="382">
        <v>75</v>
      </c>
      <c r="K170" s="351">
        <v>0</v>
      </c>
      <c r="L170" s="351">
        <v>155</v>
      </c>
      <c r="M170" s="351">
        <v>310</v>
      </c>
      <c r="N170" s="449">
        <f>M170*1.33333</f>
        <v>413.3323</v>
      </c>
      <c r="O170" s="814">
        <f>N170*1.25</f>
        <v>516.6653749999999</v>
      </c>
      <c r="P170" s="359">
        <f t="shared" si="15"/>
        <v>2085</v>
      </c>
      <c r="Q170" s="27">
        <v>0</v>
      </c>
      <c r="R170" s="25">
        <v>0</v>
      </c>
      <c r="S170" s="25">
        <v>657</v>
      </c>
      <c r="T170" s="360"/>
    </row>
    <row r="171" spans="1:20" ht="12.75">
      <c r="A171" s="25">
        <v>775</v>
      </c>
      <c r="B171" s="26" t="s">
        <v>287</v>
      </c>
      <c r="C171" s="25">
        <v>1400</v>
      </c>
      <c r="D171" s="155">
        <v>114</v>
      </c>
      <c r="E171" s="155">
        <v>114</v>
      </c>
      <c r="F171" s="284">
        <f>IF(C171&lt;972,E171+44,E171)</f>
        <v>114</v>
      </c>
      <c r="G171" s="284">
        <v>114</v>
      </c>
      <c r="H171" s="284">
        <v>114</v>
      </c>
      <c r="I171" s="382">
        <f t="shared" si="16"/>
        <v>775</v>
      </c>
      <c r="J171" s="382">
        <v>114</v>
      </c>
      <c r="K171" s="351">
        <v>0</v>
      </c>
      <c r="L171" s="376">
        <v>116</v>
      </c>
      <c r="M171" s="376">
        <v>233</v>
      </c>
      <c r="N171" s="449">
        <f>M171*1.33333</f>
        <v>310.66589</v>
      </c>
      <c r="O171" s="814">
        <f>N171*1.25</f>
        <v>388.3323625</v>
      </c>
      <c r="P171" s="359">
        <f t="shared" si="15"/>
        <v>1747</v>
      </c>
      <c r="Q171" s="27">
        <v>150</v>
      </c>
      <c r="R171" s="25">
        <v>0</v>
      </c>
      <c r="S171" s="25">
        <v>0</v>
      </c>
      <c r="T171" s="360"/>
    </row>
    <row r="172" spans="1:20" ht="12.75">
      <c r="A172" s="25">
        <v>776</v>
      </c>
      <c r="B172" s="26" t="s">
        <v>188</v>
      </c>
      <c r="C172" s="25">
        <v>971</v>
      </c>
      <c r="D172" s="155">
        <v>170</v>
      </c>
      <c r="E172" s="383">
        <v>216</v>
      </c>
      <c r="F172" s="284">
        <v>261</v>
      </c>
      <c r="G172" s="351">
        <v>327</v>
      </c>
      <c r="H172" s="351">
        <v>350</v>
      </c>
      <c r="I172" s="382">
        <f t="shared" si="16"/>
        <v>776</v>
      </c>
      <c r="J172" s="382">
        <v>414.7</v>
      </c>
      <c r="K172" s="351">
        <v>0</v>
      </c>
      <c r="L172" s="351">
        <v>0</v>
      </c>
      <c r="M172" s="351">
        <v>0</v>
      </c>
      <c r="N172" s="449">
        <f>M172*1.1</f>
        <v>0</v>
      </c>
      <c r="O172" s="815">
        <f>N172</f>
        <v>0</v>
      </c>
      <c r="P172" s="359">
        <f t="shared" si="15"/>
        <v>1298</v>
      </c>
      <c r="Q172" s="27">
        <v>0</v>
      </c>
      <c r="R172" s="25">
        <v>0</v>
      </c>
      <c r="S172" s="25">
        <v>0</v>
      </c>
      <c r="T172" s="360"/>
    </row>
    <row r="173" spans="1:20" ht="12.75">
      <c r="A173" s="25">
        <v>777</v>
      </c>
      <c r="B173" s="26" t="s">
        <v>189</v>
      </c>
      <c r="C173" s="25">
        <v>971</v>
      </c>
      <c r="D173" s="155">
        <v>170</v>
      </c>
      <c r="E173" s="383">
        <v>216</v>
      </c>
      <c r="F173" s="284">
        <v>261</v>
      </c>
      <c r="G173" s="351">
        <v>327</v>
      </c>
      <c r="H173" s="351">
        <v>350</v>
      </c>
      <c r="I173" s="382">
        <f t="shared" si="16"/>
        <v>777</v>
      </c>
      <c r="J173" s="382">
        <v>414.7</v>
      </c>
      <c r="K173" s="351">
        <v>0</v>
      </c>
      <c r="L173" s="351">
        <v>0</v>
      </c>
      <c r="M173" s="351">
        <v>0</v>
      </c>
      <c r="N173" s="449">
        <f>M173*1.1</f>
        <v>0</v>
      </c>
      <c r="O173" s="815">
        <f>N173</f>
        <v>0</v>
      </c>
      <c r="P173" s="359">
        <f t="shared" si="15"/>
        <v>1298</v>
      </c>
      <c r="Q173" s="27">
        <v>0</v>
      </c>
      <c r="R173" s="25">
        <v>0</v>
      </c>
      <c r="S173" s="25">
        <v>155</v>
      </c>
      <c r="T173" s="360"/>
    </row>
    <row r="174" spans="1:20" ht="12.75">
      <c r="A174" s="25">
        <v>778</v>
      </c>
      <c r="B174" s="26" t="s">
        <v>190</v>
      </c>
      <c r="C174" s="25">
        <v>1692</v>
      </c>
      <c r="D174" s="155">
        <v>76</v>
      </c>
      <c r="E174" s="155">
        <v>76</v>
      </c>
      <c r="F174" s="284">
        <f>IF(C174&lt;972,E174+44,E174)</f>
        <v>76</v>
      </c>
      <c r="G174" s="284">
        <v>76</v>
      </c>
      <c r="H174" s="284">
        <v>76</v>
      </c>
      <c r="I174" s="382">
        <f t="shared" si="16"/>
        <v>778</v>
      </c>
      <c r="J174" s="382">
        <v>76</v>
      </c>
      <c r="K174" s="351">
        <v>0</v>
      </c>
      <c r="L174" s="376">
        <v>136</v>
      </c>
      <c r="M174" s="376">
        <v>272</v>
      </c>
      <c r="N174" s="449">
        <f>M174*1.33333</f>
        <v>362.66576</v>
      </c>
      <c r="O174" s="814">
        <f>N174*1.25</f>
        <v>453.33219999999994</v>
      </c>
      <c r="P174" s="359">
        <f t="shared" si="15"/>
        <v>2040</v>
      </c>
      <c r="Q174" s="27">
        <v>17</v>
      </c>
      <c r="R174" s="25">
        <v>0</v>
      </c>
      <c r="S174" s="25">
        <v>0</v>
      </c>
      <c r="T174" s="360"/>
    </row>
    <row r="175" spans="1:20" ht="12.75">
      <c r="A175" s="25">
        <v>779</v>
      </c>
      <c r="B175" s="28" t="s">
        <v>191</v>
      </c>
      <c r="C175" s="25">
        <v>853</v>
      </c>
      <c r="D175" s="155">
        <v>170</v>
      </c>
      <c r="E175" s="383">
        <v>216</v>
      </c>
      <c r="F175" s="284">
        <v>261</v>
      </c>
      <c r="G175" s="351">
        <v>327</v>
      </c>
      <c r="H175" s="351">
        <v>350</v>
      </c>
      <c r="I175" s="382">
        <f t="shared" si="16"/>
        <v>779</v>
      </c>
      <c r="J175" s="382">
        <v>414.7</v>
      </c>
      <c r="K175" s="351">
        <v>0</v>
      </c>
      <c r="L175" s="351">
        <v>0</v>
      </c>
      <c r="M175" s="351">
        <v>0</v>
      </c>
      <c r="N175" s="449">
        <f>M175*1.1</f>
        <v>0</v>
      </c>
      <c r="O175" s="815">
        <f>N175</f>
        <v>0</v>
      </c>
      <c r="P175" s="359">
        <f t="shared" si="15"/>
        <v>1180</v>
      </c>
      <c r="Q175" s="27">
        <v>0</v>
      </c>
      <c r="R175" s="25">
        <v>0</v>
      </c>
      <c r="S175" s="25">
        <v>0</v>
      </c>
      <c r="T175" s="360"/>
    </row>
    <row r="176" spans="1:20" ht="12.75">
      <c r="A176" s="25">
        <v>780</v>
      </c>
      <c r="B176" s="26" t="s">
        <v>192</v>
      </c>
      <c r="C176" s="25">
        <v>3146</v>
      </c>
      <c r="D176" s="155">
        <v>0</v>
      </c>
      <c r="E176" s="155">
        <v>0</v>
      </c>
      <c r="F176" s="284">
        <f>IF(C176&lt;972,E176+44,E176)</f>
        <v>0</v>
      </c>
      <c r="G176" s="284">
        <v>0</v>
      </c>
      <c r="H176" s="284">
        <v>0</v>
      </c>
      <c r="I176" s="382">
        <f t="shared" si="16"/>
        <v>780</v>
      </c>
      <c r="J176" s="382">
        <v>0</v>
      </c>
      <c r="K176" s="351">
        <v>0</v>
      </c>
      <c r="L176" s="351">
        <f>D176*0.09</f>
        <v>0</v>
      </c>
      <c r="M176" s="351">
        <v>0</v>
      </c>
      <c r="N176" s="449">
        <f>M176*1.1</f>
        <v>0</v>
      </c>
      <c r="O176" s="815">
        <f>N176</f>
        <v>0</v>
      </c>
      <c r="P176" s="359">
        <f t="shared" si="15"/>
        <v>3146</v>
      </c>
      <c r="Q176" s="27">
        <v>0</v>
      </c>
      <c r="R176" s="25">
        <v>0</v>
      </c>
      <c r="S176" s="25">
        <v>0</v>
      </c>
      <c r="T176" s="360"/>
    </row>
    <row r="177" spans="1:20" ht="12.75">
      <c r="A177" s="25">
        <v>781</v>
      </c>
      <c r="B177" s="26" t="s">
        <v>193</v>
      </c>
      <c r="C177" s="25">
        <v>2288</v>
      </c>
      <c r="D177" s="155">
        <v>0</v>
      </c>
      <c r="E177" s="155">
        <v>0</v>
      </c>
      <c r="F177" s="284">
        <f>IF(C177&lt;972,E177+44,E177)</f>
        <v>0</v>
      </c>
      <c r="G177" s="284">
        <v>0</v>
      </c>
      <c r="H177" s="284">
        <v>0</v>
      </c>
      <c r="I177" s="382">
        <f t="shared" si="16"/>
        <v>781</v>
      </c>
      <c r="J177" s="382">
        <v>0</v>
      </c>
      <c r="K177" s="351">
        <v>0</v>
      </c>
      <c r="L177" s="351">
        <f>D177*0.09</f>
        <v>0</v>
      </c>
      <c r="M177" s="351">
        <v>0</v>
      </c>
      <c r="N177" s="449">
        <f>M177*1.1</f>
        <v>0</v>
      </c>
      <c r="O177" s="815">
        <f>N177</f>
        <v>0</v>
      </c>
      <c r="P177" s="359">
        <f t="shared" si="15"/>
        <v>2288</v>
      </c>
      <c r="Q177" s="27">
        <v>0</v>
      </c>
      <c r="R177" s="25">
        <v>0</v>
      </c>
      <c r="S177" s="25">
        <v>0</v>
      </c>
      <c r="T177" s="360"/>
    </row>
    <row r="178" spans="1:20" ht="12.75">
      <c r="A178" s="25">
        <v>783</v>
      </c>
      <c r="B178" s="26" t="s">
        <v>485</v>
      </c>
      <c r="C178" s="25">
        <v>690</v>
      </c>
      <c r="D178" s="558">
        <v>170</v>
      </c>
      <c r="E178" s="383">
        <v>216</v>
      </c>
      <c r="F178" s="284">
        <v>261</v>
      </c>
      <c r="G178" s="351">
        <v>327</v>
      </c>
      <c r="H178" s="351">
        <v>350</v>
      </c>
      <c r="I178" s="382">
        <f t="shared" si="16"/>
        <v>783</v>
      </c>
      <c r="J178" s="351">
        <v>0</v>
      </c>
      <c r="K178" s="351">
        <v>0</v>
      </c>
      <c r="L178" s="351">
        <v>414.7</v>
      </c>
      <c r="M178" s="351">
        <v>0</v>
      </c>
      <c r="N178" s="449">
        <f>M178*1.1</f>
        <v>0</v>
      </c>
      <c r="O178" s="815">
        <f>N178</f>
        <v>0</v>
      </c>
      <c r="P178" s="359">
        <f t="shared" si="15"/>
        <v>1017</v>
      </c>
      <c r="Q178" s="27">
        <v>0</v>
      </c>
      <c r="R178" s="25">
        <v>0</v>
      </c>
      <c r="S178" s="25">
        <v>0</v>
      </c>
      <c r="T178" s="360"/>
    </row>
    <row r="179" spans="1:20" ht="12.75">
      <c r="A179" s="25">
        <v>784</v>
      </c>
      <c r="B179" s="390" t="s">
        <v>390</v>
      </c>
      <c r="C179" s="391">
        <v>1600</v>
      </c>
      <c r="D179" s="388">
        <v>88</v>
      </c>
      <c r="E179" s="388">
        <v>88</v>
      </c>
      <c r="F179" s="376">
        <v>88</v>
      </c>
      <c r="G179" s="376">
        <v>88</v>
      </c>
      <c r="H179" s="376">
        <v>88</v>
      </c>
      <c r="I179" s="389">
        <f t="shared" si="16"/>
        <v>784</v>
      </c>
      <c r="J179" s="389">
        <v>88</v>
      </c>
      <c r="K179" s="376">
        <v>0</v>
      </c>
      <c r="L179" s="376">
        <v>116</v>
      </c>
      <c r="M179" s="376">
        <v>233</v>
      </c>
      <c r="N179" s="449">
        <f>M179*1.33333</f>
        <v>310.66589</v>
      </c>
      <c r="O179" s="814">
        <f aca="true" t="shared" si="17" ref="O179:O231">N179*1.25</f>
        <v>388.3323625</v>
      </c>
      <c r="P179" s="359">
        <f t="shared" si="15"/>
        <v>1921</v>
      </c>
      <c r="Q179" s="27">
        <v>0</v>
      </c>
      <c r="R179" s="25">
        <v>0</v>
      </c>
      <c r="S179" s="25">
        <v>0</v>
      </c>
      <c r="T179" s="360"/>
    </row>
    <row r="180" spans="1:20" ht="12.75">
      <c r="A180" s="391">
        <v>785</v>
      </c>
      <c r="B180" s="390" t="s">
        <v>391</v>
      </c>
      <c r="C180" s="391">
        <v>1782</v>
      </c>
      <c r="D180" s="388">
        <v>64</v>
      </c>
      <c r="E180" s="388">
        <v>64</v>
      </c>
      <c r="F180" s="376">
        <v>64</v>
      </c>
      <c r="G180" s="376">
        <v>64</v>
      </c>
      <c r="H180" s="376">
        <v>64</v>
      </c>
      <c r="I180" s="389">
        <f t="shared" si="16"/>
        <v>785</v>
      </c>
      <c r="J180" s="389">
        <v>64</v>
      </c>
      <c r="K180" s="376"/>
      <c r="L180" s="376">
        <v>194</v>
      </c>
      <c r="M180" s="376">
        <v>388</v>
      </c>
      <c r="N180" s="449">
        <f>M180*1.33333</f>
        <v>517.33204</v>
      </c>
      <c r="O180" s="814">
        <f t="shared" si="17"/>
        <v>646.6650500000001</v>
      </c>
      <c r="P180" s="359">
        <f t="shared" si="15"/>
        <v>2234</v>
      </c>
      <c r="Q180" s="27">
        <v>17</v>
      </c>
      <c r="R180" s="25">
        <v>0</v>
      </c>
      <c r="S180" s="25">
        <v>0</v>
      </c>
      <c r="T180" s="360"/>
    </row>
    <row r="181" spans="1:20" ht="12.75">
      <c r="A181" s="391">
        <v>787</v>
      </c>
      <c r="B181" s="390" t="s">
        <v>392</v>
      </c>
      <c r="C181" s="391">
        <v>1700</v>
      </c>
      <c r="D181" s="388">
        <v>75</v>
      </c>
      <c r="E181" s="388">
        <v>75</v>
      </c>
      <c r="F181" s="376">
        <v>75</v>
      </c>
      <c r="G181" s="376">
        <v>75</v>
      </c>
      <c r="H181" s="376">
        <v>75</v>
      </c>
      <c r="I181" s="389">
        <f t="shared" si="16"/>
        <v>787</v>
      </c>
      <c r="J181" s="389">
        <v>75</v>
      </c>
      <c r="K181" s="376"/>
      <c r="L181" s="376">
        <v>116</v>
      </c>
      <c r="M181" s="376">
        <v>233</v>
      </c>
      <c r="N181" s="449">
        <f>M181*1.33333</f>
        <v>310.66589</v>
      </c>
      <c r="O181" s="814">
        <f t="shared" si="17"/>
        <v>388.3323625</v>
      </c>
      <c r="P181" s="359">
        <f t="shared" si="15"/>
        <v>2008</v>
      </c>
      <c r="Q181" s="27">
        <v>17</v>
      </c>
      <c r="R181" s="25">
        <v>0</v>
      </c>
      <c r="S181" s="25">
        <v>0</v>
      </c>
      <c r="T181" s="360"/>
    </row>
    <row r="182" spans="1:20" ht="12.75">
      <c r="A182" s="25">
        <v>788</v>
      </c>
      <c r="B182" s="26" t="s">
        <v>194</v>
      </c>
      <c r="C182" s="25">
        <v>2000</v>
      </c>
      <c r="D182" s="155">
        <v>36</v>
      </c>
      <c r="E182" s="155">
        <v>36</v>
      </c>
      <c r="F182" s="284">
        <f>IF(C182&lt;972,E182+44,E182)</f>
        <v>36</v>
      </c>
      <c r="G182" s="284">
        <v>36</v>
      </c>
      <c r="H182" s="284">
        <v>36</v>
      </c>
      <c r="I182" s="382">
        <f t="shared" si="16"/>
        <v>788</v>
      </c>
      <c r="J182" s="382">
        <v>36</v>
      </c>
      <c r="K182" s="351">
        <v>0</v>
      </c>
      <c r="L182" s="351">
        <v>0</v>
      </c>
      <c r="M182" s="351">
        <v>0</v>
      </c>
      <c r="N182" s="449">
        <f>M182*1.1</f>
        <v>0</v>
      </c>
      <c r="O182" s="815">
        <f>N182</f>
        <v>0</v>
      </c>
      <c r="P182" s="359">
        <f t="shared" si="15"/>
        <v>2036</v>
      </c>
      <c r="Q182" s="27">
        <v>0</v>
      </c>
      <c r="R182" s="25">
        <v>0</v>
      </c>
      <c r="S182" s="25">
        <v>0</v>
      </c>
      <c r="T182" s="360"/>
    </row>
    <row r="183" spans="1:20" ht="12.75">
      <c r="A183" s="25">
        <v>789</v>
      </c>
      <c r="B183" s="26" t="s">
        <v>195</v>
      </c>
      <c r="C183" s="25">
        <v>971</v>
      </c>
      <c r="D183" s="155">
        <v>170</v>
      </c>
      <c r="E183" s="383">
        <v>216</v>
      </c>
      <c r="F183" s="284">
        <v>261</v>
      </c>
      <c r="G183" s="351">
        <v>327</v>
      </c>
      <c r="H183" s="351">
        <v>350</v>
      </c>
      <c r="I183" s="382">
        <f t="shared" si="16"/>
        <v>789</v>
      </c>
      <c r="J183" s="382">
        <v>414.7</v>
      </c>
      <c r="K183" s="351">
        <v>0</v>
      </c>
      <c r="L183" s="351">
        <v>0</v>
      </c>
      <c r="M183" s="351">
        <v>0</v>
      </c>
      <c r="N183" s="449">
        <f>M183*1.1</f>
        <v>0</v>
      </c>
      <c r="O183" s="815">
        <f>N183</f>
        <v>0</v>
      </c>
      <c r="P183" s="359">
        <f t="shared" si="15"/>
        <v>1298</v>
      </c>
      <c r="Q183" s="27">
        <v>0</v>
      </c>
      <c r="R183" s="25">
        <v>0</v>
      </c>
      <c r="S183" s="25">
        <v>0</v>
      </c>
      <c r="T183" s="360"/>
    </row>
    <row r="184" spans="1:20" ht="12.75">
      <c r="A184" s="25">
        <v>791</v>
      </c>
      <c r="B184" s="26" t="s">
        <v>196</v>
      </c>
      <c r="C184" s="25">
        <v>2913</v>
      </c>
      <c r="D184" s="155">
        <v>0</v>
      </c>
      <c r="E184" s="155">
        <v>0</v>
      </c>
      <c r="F184" s="284">
        <f aca="true" t="shared" si="18" ref="F184:F190">IF(C184&lt;972,E184+44,E184)</f>
        <v>0</v>
      </c>
      <c r="G184" s="284">
        <v>0</v>
      </c>
      <c r="H184" s="284">
        <v>0</v>
      </c>
      <c r="I184" s="382">
        <f t="shared" si="16"/>
        <v>791</v>
      </c>
      <c r="J184" s="382">
        <v>0</v>
      </c>
      <c r="K184" s="351">
        <v>0</v>
      </c>
      <c r="L184" s="375">
        <v>233</v>
      </c>
      <c r="M184" s="375">
        <v>466</v>
      </c>
      <c r="N184" s="449">
        <v>776</v>
      </c>
      <c r="O184" s="814">
        <f t="shared" si="17"/>
        <v>970</v>
      </c>
      <c r="P184" s="359">
        <f t="shared" si="15"/>
        <v>3379</v>
      </c>
      <c r="Q184" s="27">
        <v>17</v>
      </c>
      <c r="R184" s="25">
        <v>0</v>
      </c>
      <c r="S184" s="25">
        <v>0</v>
      </c>
      <c r="T184" s="360"/>
    </row>
    <row r="185" spans="1:20" ht="12.75">
      <c r="A185" s="25">
        <v>792</v>
      </c>
      <c r="B185" s="26" t="s">
        <v>197</v>
      </c>
      <c r="C185" s="25">
        <v>2913</v>
      </c>
      <c r="D185" s="155">
        <v>0</v>
      </c>
      <c r="E185" s="155">
        <v>0</v>
      </c>
      <c r="F185" s="284">
        <f t="shared" si="18"/>
        <v>0</v>
      </c>
      <c r="G185" s="284">
        <v>0</v>
      </c>
      <c r="H185" s="284">
        <v>0</v>
      </c>
      <c r="I185" s="382">
        <f t="shared" si="16"/>
        <v>792</v>
      </c>
      <c r="J185" s="382">
        <v>0</v>
      </c>
      <c r="K185" s="351">
        <v>0</v>
      </c>
      <c r="L185">
        <v>233</v>
      </c>
      <c r="M185">
        <v>466</v>
      </c>
      <c r="N185" s="449">
        <f>M185*1.33333</f>
        <v>621.33178</v>
      </c>
      <c r="O185" s="814">
        <f t="shared" si="17"/>
        <v>776.664725</v>
      </c>
      <c r="P185" s="359">
        <f t="shared" si="15"/>
        <v>3379</v>
      </c>
      <c r="Q185" s="27">
        <v>0</v>
      </c>
      <c r="R185" s="25">
        <v>0</v>
      </c>
      <c r="S185" s="25">
        <v>0</v>
      </c>
      <c r="T185" s="360"/>
    </row>
    <row r="186" spans="1:20" ht="12.75">
      <c r="A186" s="25">
        <v>793</v>
      </c>
      <c r="B186" s="26" t="s">
        <v>198</v>
      </c>
      <c r="C186" s="25">
        <v>2913</v>
      </c>
      <c r="D186" s="155">
        <v>0</v>
      </c>
      <c r="E186" s="155">
        <v>0</v>
      </c>
      <c r="F186" s="284">
        <f t="shared" si="18"/>
        <v>0</v>
      </c>
      <c r="G186" s="284">
        <v>0</v>
      </c>
      <c r="H186" s="284">
        <v>0</v>
      </c>
      <c r="I186" s="382">
        <f t="shared" si="16"/>
        <v>793</v>
      </c>
      <c r="J186" s="382">
        <v>0</v>
      </c>
      <c r="K186" s="351">
        <v>0</v>
      </c>
      <c r="L186" s="375">
        <v>233</v>
      </c>
      <c r="M186" s="375">
        <v>466</v>
      </c>
      <c r="N186" s="449">
        <v>776</v>
      </c>
      <c r="O186" s="814">
        <f t="shared" si="17"/>
        <v>970</v>
      </c>
      <c r="P186" s="359">
        <f t="shared" si="15"/>
        <v>3379</v>
      </c>
      <c r="Q186" s="27">
        <v>0</v>
      </c>
      <c r="R186" s="25">
        <v>0</v>
      </c>
      <c r="S186" s="25">
        <v>0</v>
      </c>
      <c r="T186" s="360"/>
    </row>
    <row r="187" spans="1:20" ht="12.75">
      <c r="A187" s="25">
        <v>794</v>
      </c>
      <c r="B187" s="26" t="s">
        <v>199</v>
      </c>
      <c r="C187" s="25">
        <v>1840</v>
      </c>
      <c r="D187" s="155">
        <v>57</v>
      </c>
      <c r="E187" s="155">
        <v>57</v>
      </c>
      <c r="F187" s="284">
        <f t="shared" si="18"/>
        <v>57</v>
      </c>
      <c r="G187" s="284">
        <v>57</v>
      </c>
      <c r="H187" s="284">
        <v>57</v>
      </c>
      <c r="I187" s="382">
        <f t="shared" si="16"/>
        <v>794</v>
      </c>
      <c r="J187" s="382">
        <v>57</v>
      </c>
      <c r="K187" s="351">
        <v>0</v>
      </c>
      <c r="L187" s="351">
        <v>175</v>
      </c>
      <c r="M187" s="351">
        <v>349</v>
      </c>
      <c r="N187" s="449">
        <f>M187*1.33333</f>
        <v>465.33216999999996</v>
      </c>
      <c r="O187" s="814">
        <f t="shared" si="17"/>
        <v>581.6652124999999</v>
      </c>
      <c r="P187" s="359">
        <f t="shared" si="15"/>
        <v>2246</v>
      </c>
      <c r="Q187" s="27">
        <v>0</v>
      </c>
      <c r="R187" s="25">
        <v>0</v>
      </c>
      <c r="S187" s="25">
        <v>0</v>
      </c>
      <c r="T187" s="360"/>
    </row>
    <row r="188" spans="1:20" ht="12.75">
      <c r="A188" s="25">
        <v>795</v>
      </c>
      <c r="B188" s="26" t="s">
        <v>200</v>
      </c>
      <c r="C188" s="391">
        <v>1610</v>
      </c>
      <c r="D188" s="388">
        <v>107</v>
      </c>
      <c r="E188" s="388">
        <v>107</v>
      </c>
      <c r="F188" s="376">
        <f t="shared" si="18"/>
        <v>107</v>
      </c>
      <c r="G188" s="376">
        <v>107</v>
      </c>
      <c r="H188" s="376">
        <v>107</v>
      </c>
      <c r="I188" s="389">
        <f t="shared" si="16"/>
        <v>795</v>
      </c>
      <c r="J188" s="389">
        <v>107</v>
      </c>
      <c r="K188" s="376">
        <v>0</v>
      </c>
      <c r="L188" s="376">
        <v>116</v>
      </c>
      <c r="M188" s="376">
        <v>233</v>
      </c>
      <c r="N188" s="449">
        <f>M188*1.33333</f>
        <v>310.66589</v>
      </c>
      <c r="O188" s="814">
        <f t="shared" si="17"/>
        <v>388.3323625</v>
      </c>
      <c r="P188" s="359">
        <f t="shared" si="15"/>
        <v>1950</v>
      </c>
      <c r="Q188" s="27">
        <v>0</v>
      </c>
      <c r="R188" s="25">
        <v>0</v>
      </c>
      <c r="S188" s="25">
        <v>0</v>
      </c>
      <c r="T188" s="360"/>
    </row>
    <row r="189" spans="1:20" ht="12.75">
      <c r="A189" s="25">
        <v>796</v>
      </c>
      <c r="B189" s="26" t="s">
        <v>201</v>
      </c>
      <c r="C189" s="25">
        <v>1340</v>
      </c>
      <c r="D189" s="155">
        <v>122</v>
      </c>
      <c r="E189" s="155">
        <v>122</v>
      </c>
      <c r="F189" s="284">
        <f t="shared" si="18"/>
        <v>122</v>
      </c>
      <c r="G189" s="284">
        <v>122</v>
      </c>
      <c r="H189" s="284">
        <v>122</v>
      </c>
      <c r="I189" s="382">
        <f t="shared" si="16"/>
        <v>796</v>
      </c>
      <c r="J189" s="382">
        <v>122</v>
      </c>
      <c r="K189" s="351">
        <v>0</v>
      </c>
      <c r="L189" s="376">
        <v>116</v>
      </c>
      <c r="M189" s="376">
        <v>233</v>
      </c>
      <c r="N189" s="449">
        <f>M189*1.33333</f>
        <v>310.66589</v>
      </c>
      <c r="O189" s="814">
        <f t="shared" si="17"/>
        <v>388.3323625</v>
      </c>
      <c r="P189" s="359">
        <f t="shared" si="15"/>
        <v>1695</v>
      </c>
      <c r="Q189" s="27">
        <v>0</v>
      </c>
      <c r="R189" s="25">
        <v>0</v>
      </c>
      <c r="S189" s="25">
        <v>0</v>
      </c>
      <c r="T189" s="360"/>
    </row>
    <row r="190" spans="1:20" ht="12.75">
      <c r="A190" s="25">
        <v>797</v>
      </c>
      <c r="B190" s="26" t="s">
        <v>202</v>
      </c>
      <c r="C190" s="25">
        <v>1170</v>
      </c>
      <c r="D190" s="155">
        <v>144</v>
      </c>
      <c r="E190" s="155">
        <v>144</v>
      </c>
      <c r="F190" s="284">
        <f t="shared" si="18"/>
        <v>144</v>
      </c>
      <c r="G190" s="284">
        <v>144</v>
      </c>
      <c r="H190" s="284">
        <v>144</v>
      </c>
      <c r="I190" s="382">
        <f t="shared" si="16"/>
        <v>797</v>
      </c>
      <c r="J190" s="382">
        <v>144</v>
      </c>
      <c r="K190" s="351">
        <v>0</v>
      </c>
      <c r="L190" s="351">
        <v>0</v>
      </c>
      <c r="M190" s="351">
        <v>0</v>
      </c>
      <c r="N190" s="449">
        <f>M190*1.1</f>
        <v>0</v>
      </c>
      <c r="O190" s="815">
        <f>N190</f>
        <v>0</v>
      </c>
      <c r="P190" s="359">
        <f t="shared" si="15"/>
        <v>1314</v>
      </c>
      <c r="Q190" s="27">
        <v>0</v>
      </c>
      <c r="R190" s="25">
        <v>0</v>
      </c>
      <c r="S190" s="25">
        <v>0</v>
      </c>
      <c r="T190" s="360"/>
    </row>
    <row r="191" spans="1:20" ht="12.75">
      <c r="A191" s="25">
        <v>798</v>
      </c>
      <c r="B191" s="26" t="s">
        <v>203</v>
      </c>
      <c r="C191" s="25">
        <v>961</v>
      </c>
      <c r="D191" s="155">
        <v>170</v>
      </c>
      <c r="E191" s="383">
        <v>216</v>
      </c>
      <c r="F191" s="284">
        <v>261</v>
      </c>
      <c r="G191" s="351">
        <v>327</v>
      </c>
      <c r="H191" s="351">
        <v>350</v>
      </c>
      <c r="I191" s="382">
        <f t="shared" si="16"/>
        <v>798</v>
      </c>
      <c r="J191" s="382">
        <v>414.7</v>
      </c>
      <c r="K191" s="351">
        <v>0</v>
      </c>
      <c r="L191" s="351">
        <v>0</v>
      </c>
      <c r="M191" s="351">
        <v>0</v>
      </c>
      <c r="N191" s="449">
        <f>M191*1.1</f>
        <v>0</v>
      </c>
      <c r="O191" s="815">
        <f>N191</f>
        <v>0</v>
      </c>
      <c r="P191" s="359">
        <f t="shared" si="15"/>
        <v>1288</v>
      </c>
      <c r="Q191" s="27">
        <v>0</v>
      </c>
      <c r="R191" s="25">
        <v>0</v>
      </c>
      <c r="S191" s="25">
        <v>0</v>
      </c>
      <c r="T191" s="360"/>
    </row>
    <row r="192" spans="1:20" ht="12.75">
      <c r="A192" s="361">
        <v>800</v>
      </c>
      <c r="B192" s="362" t="s">
        <v>429</v>
      </c>
      <c r="C192" s="361">
        <v>1942</v>
      </c>
      <c r="D192" s="155"/>
      <c r="E192" s="383"/>
      <c r="F192" s="284"/>
      <c r="G192" s="351">
        <v>43</v>
      </c>
      <c r="H192" s="351">
        <v>43</v>
      </c>
      <c r="I192" s="382">
        <f t="shared" si="16"/>
        <v>800</v>
      </c>
      <c r="J192" s="382">
        <v>43</v>
      </c>
      <c r="K192" s="351"/>
      <c r="L192" s="351"/>
      <c r="M192" s="351">
        <v>233</v>
      </c>
      <c r="N192" s="449">
        <f>M192*1.33333</f>
        <v>310.66589</v>
      </c>
      <c r="O192" s="814">
        <f t="shared" si="17"/>
        <v>388.3323625</v>
      </c>
      <c r="P192" s="359">
        <f t="shared" si="15"/>
        <v>2218</v>
      </c>
      <c r="Q192" s="392">
        <v>17</v>
      </c>
      <c r="R192" s="25">
        <v>0</v>
      </c>
      <c r="S192" s="25">
        <v>0</v>
      </c>
      <c r="T192" s="360"/>
    </row>
    <row r="193" spans="1:20" ht="12.75">
      <c r="A193" s="361">
        <v>801</v>
      </c>
      <c r="B193" s="362" t="s">
        <v>430</v>
      </c>
      <c r="C193" s="361">
        <v>1782</v>
      </c>
      <c r="D193" s="155"/>
      <c r="E193" s="383"/>
      <c r="F193" s="284"/>
      <c r="G193" s="351">
        <v>64</v>
      </c>
      <c r="H193" s="351">
        <v>64</v>
      </c>
      <c r="I193" s="382">
        <f t="shared" si="16"/>
        <v>801</v>
      </c>
      <c r="J193" s="382">
        <v>64</v>
      </c>
      <c r="K193" s="351"/>
      <c r="L193" s="351"/>
      <c r="M193" s="351">
        <v>233</v>
      </c>
      <c r="N193" s="449">
        <f>M193*1.33333</f>
        <v>310.66589</v>
      </c>
      <c r="O193" s="814">
        <f t="shared" si="17"/>
        <v>388.3323625</v>
      </c>
      <c r="P193" s="359">
        <f t="shared" si="15"/>
        <v>2079</v>
      </c>
      <c r="Q193" s="392">
        <v>17</v>
      </c>
      <c r="R193" s="25">
        <v>0</v>
      </c>
      <c r="S193" s="25">
        <v>0</v>
      </c>
      <c r="T193" s="360"/>
    </row>
    <row r="194" spans="1:20" ht="12.75">
      <c r="A194" s="361">
        <v>802</v>
      </c>
      <c r="B194" s="362" t="s">
        <v>431</v>
      </c>
      <c r="C194" s="361">
        <v>1700</v>
      </c>
      <c r="D194" s="155"/>
      <c r="E194" s="383"/>
      <c r="F194" s="284"/>
      <c r="G194" s="351">
        <v>75</v>
      </c>
      <c r="H194" s="351">
        <v>75</v>
      </c>
      <c r="I194" s="382">
        <f t="shared" si="16"/>
        <v>802</v>
      </c>
      <c r="J194" s="382">
        <v>75</v>
      </c>
      <c r="K194" s="351"/>
      <c r="L194" s="351"/>
      <c r="M194" s="351">
        <v>233</v>
      </c>
      <c r="N194" s="449">
        <f>M194*1.33333</f>
        <v>310.66589</v>
      </c>
      <c r="O194" s="814">
        <f t="shared" si="17"/>
        <v>388.3323625</v>
      </c>
      <c r="P194" s="359">
        <f t="shared" si="15"/>
        <v>2008</v>
      </c>
      <c r="Q194" s="392">
        <v>17</v>
      </c>
      <c r="R194" s="25">
        <v>0</v>
      </c>
      <c r="S194" s="25">
        <v>0</v>
      </c>
      <c r="T194" s="360"/>
    </row>
    <row r="195" spans="1:20" s="385" customFormat="1" ht="12.75">
      <c r="A195" s="361">
        <v>803</v>
      </c>
      <c r="B195" s="362" t="s">
        <v>403</v>
      </c>
      <c r="C195" s="361">
        <v>971</v>
      </c>
      <c r="D195" s="363">
        <v>170</v>
      </c>
      <c r="E195" s="380">
        <v>216</v>
      </c>
      <c r="F195" s="364">
        <v>261</v>
      </c>
      <c r="G195" s="351">
        <v>327</v>
      </c>
      <c r="H195" s="351">
        <v>350</v>
      </c>
      <c r="I195" s="364">
        <f t="shared" si="16"/>
        <v>803</v>
      </c>
      <c r="J195" s="364">
        <v>214</v>
      </c>
      <c r="K195" s="352">
        <v>0</v>
      </c>
      <c r="L195" s="352">
        <v>0</v>
      </c>
      <c r="M195" s="365">
        <v>0</v>
      </c>
      <c r="N195" s="449">
        <f>M195*1.1</f>
        <v>0</v>
      </c>
      <c r="O195" s="815">
        <f>N195</f>
        <v>0</v>
      </c>
      <c r="P195" s="359">
        <f aca="true" t="shared" si="19" ref="P195:P259">C195+G195+M195</f>
        <v>1298</v>
      </c>
      <c r="Q195" s="361">
        <v>0</v>
      </c>
      <c r="R195" s="361">
        <v>413</v>
      </c>
      <c r="S195" s="367">
        <v>0</v>
      </c>
      <c r="T195" s="367"/>
    </row>
    <row r="196" spans="1:16" s="812" customFormat="1" ht="12.75">
      <c r="A196" s="806">
        <v>807</v>
      </c>
      <c r="B196" s="807" t="s">
        <v>510</v>
      </c>
      <c r="C196" s="808">
        <v>1942</v>
      </c>
      <c r="D196" s="809">
        <v>43</v>
      </c>
      <c r="E196" s="809" t="s">
        <v>511</v>
      </c>
      <c r="F196" s="805">
        <f>E196*1.25</f>
        <v>647.5</v>
      </c>
      <c r="G196" s="810">
        <v>0</v>
      </c>
      <c r="H196" s="808">
        <v>0</v>
      </c>
      <c r="I196" s="808">
        <v>0</v>
      </c>
      <c r="J196" s="808">
        <v>0</v>
      </c>
      <c r="K196" s="808">
        <v>0</v>
      </c>
      <c r="L196" s="811"/>
      <c r="M196" s="811"/>
      <c r="N196" s="811"/>
      <c r="O196" s="814">
        <f t="shared" si="17"/>
        <v>0</v>
      </c>
      <c r="P196" s="811"/>
    </row>
    <row r="197" spans="1:20" ht="12.75">
      <c r="A197" s="25">
        <v>808</v>
      </c>
      <c r="B197" s="26" t="s">
        <v>204</v>
      </c>
      <c r="C197" s="25">
        <v>1942</v>
      </c>
      <c r="D197" s="155">
        <v>43</v>
      </c>
      <c r="E197" s="155">
        <v>43</v>
      </c>
      <c r="F197" s="284">
        <f>IF(C197&lt;972,E197+44,E197)</f>
        <v>43</v>
      </c>
      <c r="G197" s="284">
        <v>43</v>
      </c>
      <c r="H197" s="284">
        <v>43</v>
      </c>
      <c r="I197" s="382">
        <f t="shared" si="16"/>
        <v>808</v>
      </c>
      <c r="J197" s="382">
        <v>43</v>
      </c>
      <c r="K197" s="351">
        <v>0</v>
      </c>
      <c r="L197" s="376">
        <v>116</v>
      </c>
      <c r="M197" s="376">
        <v>233</v>
      </c>
      <c r="N197" s="449">
        <f>M197*1.33333</f>
        <v>310.66589</v>
      </c>
      <c r="O197" s="814">
        <f t="shared" si="17"/>
        <v>388.3323625</v>
      </c>
      <c r="P197" s="359">
        <f t="shared" si="19"/>
        <v>2218</v>
      </c>
      <c r="Q197" s="27">
        <v>0</v>
      </c>
      <c r="R197" s="25">
        <v>0</v>
      </c>
      <c r="S197" s="25">
        <v>669</v>
      </c>
      <c r="T197" s="360"/>
    </row>
    <row r="198" spans="1:20" ht="12.75">
      <c r="A198" s="25">
        <v>809</v>
      </c>
      <c r="B198" s="26" t="s">
        <v>205</v>
      </c>
      <c r="C198" s="25">
        <v>1782</v>
      </c>
      <c r="D198" s="155">
        <v>64</v>
      </c>
      <c r="E198" s="155">
        <v>64</v>
      </c>
      <c r="F198" s="284">
        <f>IF(C198&lt;972,E198+44,E198)</f>
        <v>64</v>
      </c>
      <c r="G198" s="284">
        <v>64</v>
      </c>
      <c r="H198" s="284">
        <v>64</v>
      </c>
      <c r="I198" s="382">
        <f t="shared" si="16"/>
        <v>809</v>
      </c>
      <c r="J198" s="382">
        <v>64</v>
      </c>
      <c r="K198" s="351">
        <v>0</v>
      </c>
      <c r="L198" s="376">
        <v>116</v>
      </c>
      <c r="M198" s="376">
        <v>233</v>
      </c>
      <c r="N198" s="449">
        <f>M198*1.33333</f>
        <v>310.66589</v>
      </c>
      <c r="O198" s="814">
        <f t="shared" si="17"/>
        <v>388.3323625</v>
      </c>
      <c r="P198" s="359">
        <f t="shared" si="19"/>
        <v>2079</v>
      </c>
      <c r="Q198" s="27">
        <v>0</v>
      </c>
      <c r="R198" s="25">
        <v>0</v>
      </c>
      <c r="S198" s="25">
        <v>669</v>
      </c>
      <c r="T198" s="360"/>
    </row>
    <row r="199" spans="1:20" ht="12.75">
      <c r="A199" s="25">
        <v>810</v>
      </c>
      <c r="B199" s="26" t="s">
        <v>206</v>
      </c>
      <c r="C199" s="25">
        <v>1692</v>
      </c>
      <c r="D199" s="155">
        <v>76</v>
      </c>
      <c r="E199" s="155">
        <v>76</v>
      </c>
      <c r="F199" s="284">
        <f>IF(C199&lt;972,E199+44,E199)</f>
        <v>76</v>
      </c>
      <c r="G199" s="284">
        <v>76</v>
      </c>
      <c r="H199" s="284">
        <v>76</v>
      </c>
      <c r="I199" s="382">
        <f aca="true" t="shared" si="20" ref="I199:I262">A199</f>
        <v>810</v>
      </c>
      <c r="J199" s="382">
        <v>76</v>
      </c>
      <c r="K199" s="351">
        <v>0</v>
      </c>
      <c r="L199" s="376">
        <v>116</v>
      </c>
      <c r="M199" s="376">
        <v>233</v>
      </c>
      <c r="N199" s="449">
        <f>M199*1.33333</f>
        <v>310.66589</v>
      </c>
      <c r="O199" s="814">
        <f t="shared" si="17"/>
        <v>388.3323625</v>
      </c>
      <c r="P199" s="359">
        <f t="shared" si="19"/>
        <v>2001</v>
      </c>
      <c r="Q199" s="27">
        <v>0</v>
      </c>
      <c r="R199" s="25">
        <v>0</v>
      </c>
      <c r="S199" s="25">
        <v>663</v>
      </c>
      <c r="T199" s="360"/>
    </row>
    <row r="200" spans="1:20" ht="12.75">
      <c r="A200" s="25">
        <v>811</v>
      </c>
      <c r="B200" s="26" t="s">
        <v>207</v>
      </c>
      <c r="C200" s="25">
        <v>1592</v>
      </c>
      <c r="D200" s="155">
        <v>89</v>
      </c>
      <c r="E200" s="155">
        <v>89</v>
      </c>
      <c r="F200" s="284">
        <f>IF(C200&lt;972,E200+44,E200)</f>
        <v>89</v>
      </c>
      <c r="G200" s="284">
        <v>89</v>
      </c>
      <c r="H200" s="284">
        <v>89</v>
      </c>
      <c r="I200" s="382">
        <f t="shared" si="20"/>
        <v>811</v>
      </c>
      <c r="J200" s="382">
        <v>89</v>
      </c>
      <c r="K200" s="351">
        <v>0</v>
      </c>
      <c r="L200" s="376">
        <v>116</v>
      </c>
      <c r="M200" s="376">
        <v>233</v>
      </c>
      <c r="N200" s="449">
        <f>M200*1.33333</f>
        <v>310.66589</v>
      </c>
      <c r="O200" s="814">
        <f t="shared" si="17"/>
        <v>388.3323625</v>
      </c>
      <c r="P200" s="359">
        <f t="shared" si="19"/>
        <v>1914</v>
      </c>
      <c r="Q200" s="27">
        <v>0</v>
      </c>
      <c r="R200" s="25">
        <v>0</v>
      </c>
      <c r="S200" s="25">
        <v>657</v>
      </c>
      <c r="T200" s="360"/>
    </row>
    <row r="201" spans="1:20" ht="12.75">
      <c r="A201" s="25">
        <v>812</v>
      </c>
      <c r="B201" s="26" t="s">
        <v>208</v>
      </c>
      <c r="C201" s="25">
        <v>1600</v>
      </c>
      <c r="D201" s="155">
        <v>88</v>
      </c>
      <c r="E201" s="155">
        <v>88</v>
      </c>
      <c r="F201" s="284">
        <f>IF(C201&lt;972,E201+44,E201)</f>
        <v>88</v>
      </c>
      <c r="G201" s="284">
        <v>88</v>
      </c>
      <c r="H201" s="284">
        <v>88</v>
      </c>
      <c r="I201" s="382">
        <f t="shared" si="20"/>
        <v>812</v>
      </c>
      <c r="J201" s="382">
        <v>88</v>
      </c>
      <c r="K201" s="351">
        <v>0</v>
      </c>
      <c r="L201" s="376">
        <v>116</v>
      </c>
      <c r="M201" s="376">
        <v>233</v>
      </c>
      <c r="N201" s="449">
        <f>M201*1.33333</f>
        <v>310.66589</v>
      </c>
      <c r="O201" s="814">
        <f t="shared" si="17"/>
        <v>388.3323625</v>
      </c>
      <c r="P201" s="359">
        <f t="shared" si="19"/>
        <v>1921</v>
      </c>
      <c r="Q201" s="27">
        <v>0</v>
      </c>
      <c r="R201" s="25">
        <v>0</v>
      </c>
      <c r="S201" s="25">
        <v>657</v>
      </c>
      <c r="T201" s="360"/>
    </row>
    <row r="202" spans="1:20" ht="12.75">
      <c r="A202" s="25">
        <v>813</v>
      </c>
      <c r="B202" s="26" t="s">
        <v>209</v>
      </c>
      <c r="C202" s="25">
        <v>971</v>
      </c>
      <c r="D202" s="155">
        <v>170</v>
      </c>
      <c r="E202" s="155">
        <v>170</v>
      </c>
      <c r="F202" s="284">
        <v>170</v>
      </c>
      <c r="G202" s="351">
        <v>214</v>
      </c>
      <c r="H202" s="351">
        <v>214</v>
      </c>
      <c r="I202" s="382">
        <f t="shared" si="20"/>
        <v>813</v>
      </c>
      <c r="J202" s="382">
        <v>214</v>
      </c>
      <c r="K202" s="351">
        <v>0</v>
      </c>
      <c r="L202" s="351">
        <v>0</v>
      </c>
      <c r="M202" s="351">
        <v>0</v>
      </c>
      <c r="N202" s="449">
        <f>M202*1.1</f>
        <v>0</v>
      </c>
      <c r="O202" s="815">
        <f>N202</f>
        <v>0</v>
      </c>
      <c r="P202" s="359">
        <f t="shared" si="19"/>
        <v>1185</v>
      </c>
      <c r="Q202" s="27">
        <v>0</v>
      </c>
      <c r="R202" s="25">
        <v>0</v>
      </c>
      <c r="S202" s="25">
        <v>620</v>
      </c>
      <c r="T202" s="360"/>
    </row>
    <row r="203" spans="1:20" ht="12.75">
      <c r="A203" s="25">
        <v>814</v>
      </c>
      <c r="B203" s="26" t="s">
        <v>210</v>
      </c>
      <c r="C203" s="25">
        <v>971</v>
      </c>
      <c r="D203" s="155">
        <v>170</v>
      </c>
      <c r="E203" s="155">
        <v>170</v>
      </c>
      <c r="F203" s="284">
        <v>170</v>
      </c>
      <c r="G203" s="351">
        <v>214</v>
      </c>
      <c r="H203" s="351">
        <v>214</v>
      </c>
      <c r="I203" s="382">
        <f t="shared" si="20"/>
        <v>814</v>
      </c>
      <c r="J203" s="382">
        <v>214</v>
      </c>
      <c r="K203" s="351">
        <v>0</v>
      </c>
      <c r="L203" s="351">
        <v>0</v>
      </c>
      <c r="M203" s="351">
        <v>0</v>
      </c>
      <c r="N203" s="449">
        <f>M203*1.1</f>
        <v>0</v>
      </c>
      <c r="O203" s="815">
        <f>N203</f>
        <v>0</v>
      </c>
      <c r="P203" s="359">
        <f t="shared" si="19"/>
        <v>1185</v>
      </c>
      <c r="Q203" s="27">
        <v>0</v>
      </c>
      <c r="R203" s="25">
        <v>0</v>
      </c>
      <c r="S203" s="25">
        <v>155</v>
      </c>
      <c r="T203" s="360"/>
    </row>
    <row r="204" spans="1:20" ht="12.75">
      <c r="A204" s="25">
        <v>815</v>
      </c>
      <c r="B204" s="26" t="s">
        <v>211</v>
      </c>
      <c r="C204" s="25">
        <v>971</v>
      </c>
      <c r="D204" s="155">
        <v>170</v>
      </c>
      <c r="E204" s="155">
        <v>170</v>
      </c>
      <c r="F204" s="284">
        <v>170</v>
      </c>
      <c r="G204" s="351">
        <v>214</v>
      </c>
      <c r="H204" s="351">
        <v>214</v>
      </c>
      <c r="I204" s="382">
        <f t="shared" si="20"/>
        <v>815</v>
      </c>
      <c r="J204" s="382">
        <v>214</v>
      </c>
      <c r="K204" s="351">
        <v>0</v>
      </c>
      <c r="L204" s="351">
        <v>0</v>
      </c>
      <c r="M204" s="351">
        <v>0</v>
      </c>
      <c r="N204" s="449">
        <f>M204*1.1</f>
        <v>0</v>
      </c>
      <c r="O204" s="815">
        <f>N204</f>
        <v>0</v>
      </c>
      <c r="P204" s="359">
        <f t="shared" si="19"/>
        <v>1185</v>
      </c>
      <c r="Q204" s="27">
        <v>17</v>
      </c>
      <c r="R204" s="25">
        <v>0</v>
      </c>
      <c r="S204" s="25">
        <v>0</v>
      </c>
      <c r="T204" s="360"/>
    </row>
    <row r="205" spans="1:20" ht="12.75">
      <c r="A205" s="25">
        <v>816</v>
      </c>
      <c r="B205" s="26" t="s">
        <v>212</v>
      </c>
      <c r="C205" s="25">
        <v>1600</v>
      </c>
      <c r="D205" s="155">
        <v>88</v>
      </c>
      <c r="E205" s="155">
        <v>88</v>
      </c>
      <c r="F205" s="284">
        <f>IF(C205&lt;972,E205+44,E205)</f>
        <v>88</v>
      </c>
      <c r="G205" s="284">
        <v>88</v>
      </c>
      <c r="H205" s="284">
        <v>88</v>
      </c>
      <c r="I205" s="382">
        <f t="shared" si="20"/>
        <v>816</v>
      </c>
      <c r="J205" s="382">
        <v>88</v>
      </c>
      <c r="K205" s="351">
        <v>0</v>
      </c>
      <c r="L205" s="376">
        <v>116</v>
      </c>
      <c r="M205" s="376">
        <v>233</v>
      </c>
      <c r="N205" s="449">
        <f>M205*1.33333</f>
        <v>310.66589</v>
      </c>
      <c r="O205" s="814">
        <f t="shared" si="17"/>
        <v>388.3323625</v>
      </c>
      <c r="P205" s="359">
        <f t="shared" si="19"/>
        <v>1921</v>
      </c>
      <c r="Q205" s="27">
        <v>17</v>
      </c>
      <c r="R205" s="25">
        <v>0</v>
      </c>
      <c r="S205" s="25">
        <v>0</v>
      </c>
      <c r="T205" s="360"/>
    </row>
    <row r="206" spans="1:20" ht="12.75">
      <c r="A206" s="25">
        <v>817</v>
      </c>
      <c r="B206" s="26" t="s">
        <v>213</v>
      </c>
      <c r="C206" s="25">
        <v>1782</v>
      </c>
      <c r="D206" s="155">
        <v>64</v>
      </c>
      <c r="E206" s="155">
        <v>64</v>
      </c>
      <c r="F206" s="284">
        <f>IF(C206&lt;972,E206+44,E206)</f>
        <v>64</v>
      </c>
      <c r="G206" s="284">
        <v>64</v>
      </c>
      <c r="H206" s="284">
        <v>64</v>
      </c>
      <c r="I206" s="382">
        <f t="shared" si="20"/>
        <v>817</v>
      </c>
      <c r="J206" s="382">
        <v>64</v>
      </c>
      <c r="K206" s="351">
        <v>0</v>
      </c>
      <c r="L206" s="351">
        <v>175</v>
      </c>
      <c r="M206" s="351">
        <v>349</v>
      </c>
      <c r="N206" s="449">
        <f>M206*1.33333</f>
        <v>465.33216999999996</v>
      </c>
      <c r="O206" s="814">
        <f t="shared" si="17"/>
        <v>581.6652124999999</v>
      </c>
      <c r="P206" s="359">
        <f t="shared" si="19"/>
        <v>2195</v>
      </c>
      <c r="Q206" s="27">
        <v>0</v>
      </c>
      <c r="R206" s="25">
        <v>0</v>
      </c>
      <c r="S206" s="25">
        <v>839</v>
      </c>
      <c r="T206" s="360"/>
    </row>
    <row r="207" spans="1:20" ht="12.75">
      <c r="A207" s="25">
        <v>818</v>
      </c>
      <c r="B207" s="26" t="s">
        <v>214</v>
      </c>
      <c r="C207" s="25">
        <v>971</v>
      </c>
      <c r="D207" s="155">
        <v>170</v>
      </c>
      <c r="E207" s="155">
        <v>170</v>
      </c>
      <c r="F207" s="284">
        <v>170</v>
      </c>
      <c r="G207" s="351">
        <v>214</v>
      </c>
      <c r="H207" s="351">
        <v>214</v>
      </c>
      <c r="I207" s="382">
        <f t="shared" si="20"/>
        <v>818</v>
      </c>
      <c r="J207" s="382">
        <v>214</v>
      </c>
      <c r="K207" s="351">
        <v>0</v>
      </c>
      <c r="L207" s="351">
        <v>0</v>
      </c>
      <c r="M207" s="351">
        <v>0</v>
      </c>
      <c r="N207" s="449">
        <f>M207*1.1</f>
        <v>0</v>
      </c>
      <c r="O207" s="815">
        <f>N207</f>
        <v>0</v>
      </c>
      <c r="P207" s="359">
        <f t="shared" si="19"/>
        <v>1185</v>
      </c>
      <c r="Q207" s="27">
        <v>0</v>
      </c>
      <c r="R207" s="25">
        <v>0</v>
      </c>
      <c r="S207" s="25">
        <v>659</v>
      </c>
      <c r="T207" s="360"/>
    </row>
    <row r="208" spans="1:20" ht="12.75">
      <c r="A208" s="25">
        <v>819</v>
      </c>
      <c r="B208" s="26" t="s">
        <v>215</v>
      </c>
      <c r="C208" s="25">
        <v>971</v>
      </c>
      <c r="D208" s="155">
        <v>170</v>
      </c>
      <c r="E208" s="155">
        <v>170</v>
      </c>
      <c r="F208" s="284">
        <v>170</v>
      </c>
      <c r="G208" s="351">
        <v>214</v>
      </c>
      <c r="H208" s="351">
        <v>214</v>
      </c>
      <c r="I208" s="382">
        <f t="shared" si="20"/>
        <v>819</v>
      </c>
      <c r="J208" s="382">
        <v>214</v>
      </c>
      <c r="K208" s="351">
        <v>0</v>
      </c>
      <c r="L208" s="351">
        <v>0</v>
      </c>
      <c r="M208" s="351">
        <v>0</v>
      </c>
      <c r="N208" s="449">
        <f>M208*1.1</f>
        <v>0</v>
      </c>
      <c r="O208" s="815">
        <f>N208</f>
        <v>0</v>
      </c>
      <c r="P208" s="359">
        <f t="shared" si="19"/>
        <v>1185</v>
      </c>
      <c r="Q208" s="27">
        <v>0</v>
      </c>
      <c r="R208" s="25">
        <v>0</v>
      </c>
      <c r="S208" s="25">
        <v>155</v>
      </c>
      <c r="T208" s="360"/>
    </row>
    <row r="209" spans="1:20" ht="12.75">
      <c r="A209" s="25">
        <v>820</v>
      </c>
      <c r="B209" s="26" t="s">
        <v>216</v>
      </c>
      <c r="C209" s="25">
        <v>1692</v>
      </c>
      <c r="D209" s="155">
        <v>76</v>
      </c>
      <c r="E209" s="155">
        <v>76</v>
      </c>
      <c r="F209" s="284">
        <f>IF(C209&lt;972,E209+44,E209)</f>
        <v>76</v>
      </c>
      <c r="G209" s="284">
        <v>76</v>
      </c>
      <c r="H209" s="284">
        <v>76</v>
      </c>
      <c r="I209" s="382">
        <f t="shared" si="20"/>
        <v>820</v>
      </c>
      <c r="J209" s="382">
        <v>76</v>
      </c>
      <c r="K209" s="351">
        <v>0</v>
      </c>
      <c r="L209" s="376">
        <v>136</v>
      </c>
      <c r="M209" s="376">
        <v>272</v>
      </c>
      <c r="N209" s="449">
        <f>M209*1.33333</f>
        <v>362.66576</v>
      </c>
      <c r="O209" s="814">
        <f t="shared" si="17"/>
        <v>453.33219999999994</v>
      </c>
      <c r="P209" s="359">
        <f t="shared" si="19"/>
        <v>2040</v>
      </c>
      <c r="Q209" s="27">
        <v>0</v>
      </c>
      <c r="R209" s="25">
        <v>0</v>
      </c>
      <c r="S209" s="25">
        <v>839</v>
      </c>
      <c r="T209" s="360"/>
    </row>
    <row r="210" spans="1:20" ht="12.75">
      <c r="A210" s="25">
        <v>821</v>
      </c>
      <c r="B210" s="26" t="s">
        <v>217</v>
      </c>
      <c r="C210" s="25">
        <v>1592</v>
      </c>
      <c r="D210" s="155">
        <v>89</v>
      </c>
      <c r="E210" s="155">
        <v>89</v>
      </c>
      <c r="F210" s="284">
        <f>IF(C210&lt;972,E210+44,E210)</f>
        <v>89</v>
      </c>
      <c r="G210" s="284">
        <v>89</v>
      </c>
      <c r="H210" s="284">
        <v>89</v>
      </c>
      <c r="I210" s="382">
        <f t="shared" si="20"/>
        <v>821</v>
      </c>
      <c r="J210" s="382">
        <v>89</v>
      </c>
      <c r="K210" s="351">
        <v>0</v>
      </c>
      <c r="L210" s="376">
        <v>116</v>
      </c>
      <c r="M210" s="376">
        <v>233</v>
      </c>
      <c r="N210" s="449">
        <f>M210*1.33333</f>
        <v>310.66589</v>
      </c>
      <c r="O210" s="814">
        <f t="shared" si="17"/>
        <v>388.3323625</v>
      </c>
      <c r="P210" s="359">
        <f t="shared" si="19"/>
        <v>1914</v>
      </c>
      <c r="Q210" s="27">
        <v>0</v>
      </c>
      <c r="R210" s="25">
        <v>0</v>
      </c>
      <c r="S210" s="25">
        <v>839</v>
      </c>
      <c r="T210" s="360"/>
    </row>
    <row r="211" spans="1:20" ht="12.75">
      <c r="A211" s="25">
        <v>822</v>
      </c>
      <c r="B211" s="26" t="s">
        <v>218</v>
      </c>
      <c r="C211" s="25">
        <v>971</v>
      </c>
      <c r="D211" s="155">
        <v>170</v>
      </c>
      <c r="E211" s="383">
        <v>216</v>
      </c>
      <c r="F211" s="284">
        <v>261</v>
      </c>
      <c r="G211" s="351">
        <v>327</v>
      </c>
      <c r="H211" s="351">
        <v>350</v>
      </c>
      <c r="I211" s="382">
        <f t="shared" si="20"/>
        <v>822</v>
      </c>
      <c r="J211" s="382">
        <v>414.7</v>
      </c>
      <c r="K211" s="351">
        <v>0</v>
      </c>
      <c r="L211" s="351">
        <v>0</v>
      </c>
      <c r="M211" s="351">
        <v>0</v>
      </c>
      <c r="N211" s="449">
        <f>M211*1.1</f>
        <v>0</v>
      </c>
      <c r="O211" s="815">
        <f>N211</f>
        <v>0</v>
      </c>
      <c r="P211" s="359">
        <f t="shared" si="19"/>
        <v>1298</v>
      </c>
      <c r="Q211" s="27">
        <v>0</v>
      </c>
      <c r="R211" s="25">
        <v>0</v>
      </c>
      <c r="S211" s="25">
        <v>155</v>
      </c>
      <c r="T211" s="360"/>
    </row>
    <row r="212" spans="1:20" ht="12.75">
      <c r="A212" s="25">
        <v>823</v>
      </c>
      <c r="B212" s="26" t="s">
        <v>219</v>
      </c>
      <c r="C212" s="25">
        <v>1700</v>
      </c>
      <c r="D212" s="155">
        <v>75</v>
      </c>
      <c r="E212" s="155">
        <v>75</v>
      </c>
      <c r="F212" s="284">
        <f>IF(C212&lt;972,E212+44,E212)</f>
        <v>75</v>
      </c>
      <c r="G212" s="284">
        <v>75</v>
      </c>
      <c r="H212" s="284">
        <v>75</v>
      </c>
      <c r="I212" s="382">
        <f t="shared" si="20"/>
        <v>823</v>
      </c>
      <c r="J212" s="382">
        <v>75</v>
      </c>
      <c r="K212" s="351">
        <v>0</v>
      </c>
      <c r="L212" s="376">
        <v>116</v>
      </c>
      <c r="M212" s="376">
        <v>233</v>
      </c>
      <c r="N212" s="449">
        <f>M212*1.33333</f>
        <v>310.66589</v>
      </c>
      <c r="O212" s="814">
        <f t="shared" si="17"/>
        <v>388.3323625</v>
      </c>
      <c r="P212" s="359">
        <f t="shared" si="19"/>
        <v>2008</v>
      </c>
      <c r="Q212" s="27">
        <v>0</v>
      </c>
      <c r="R212" s="25">
        <v>0</v>
      </c>
      <c r="S212" s="25">
        <v>657</v>
      </c>
      <c r="T212" s="360"/>
    </row>
    <row r="213" spans="1:20" ht="12.75">
      <c r="A213" s="25">
        <v>824</v>
      </c>
      <c r="B213" s="26" t="s">
        <v>220</v>
      </c>
      <c r="C213" s="25">
        <v>1400</v>
      </c>
      <c r="D213" s="155">
        <v>114</v>
      </c>
      <c r="E213" s="155">
        <v>114</v>
      </c>
      <c r="F213" s="284">
        <f>IF(C213&lt;972,E213+44,E213)</f>
        <v>114</v>
      </c>
      <c r="G213" s="284">
        <v>114</v>
      </c>
      <c r="H213" s="284">
        <v>114</v>
      </c>
      <c r="I213" s="382">
        <f t="shared" si="20"/>
        <v>824</v>
      </c>
      <c r="J213" s="382">
        <v>114</v>
      </c>
      <c r="K213" s="351">
        <v>0</v>
      </c>
      <c r="L213" s="376">
        <v>116</v>
      </c>
      <c r="M213" s="376">
        <v>233</v>
      </c>
      <c r="N213" s="449">
        <f>M213*1.33333</f>
        <v>310.66589</v>
      </c>
      <c r="O213" s="814">
        <f t="shared" si="17"/>
        <v>388.3323625</v>
      </c>
      <c r="P213" s="359">
        <f t="shared" si="19"/>
        <v>1747</v>
      </c>
      <c r="Q213" s="27">
        <v>0</v>
      </c>
      <c r="R213" s="25">
        <v>0</v>
      </c>
      <c r="S213" s="25">
        <v>657</v>
      </c>
      <c r="T213" s="360"/>
    </row>
    <row r="214" spans="1:20" ht="12.75">
      <c r="A214" s="25">
        <v>825</v>
      </c>
      <c r="B214" s="26" t="s">
        <v>221</v>
      </c>
      <c r="C214" s="25">
        <v>1300</v>
      </c>
      <c r="D214" s="155">
        <v>127</v>
      </c>
      <c r="E214" s="155">
        <v>127</v>
      </c>
      <c r="F214" s="284">
        <f>IF(C214&lt;972,E214+44,E214)</f>
        <v>127</v>
      </c>
      <c r="G214" s="284">
        <v>127</v>
      </c>
      <c r="H214" s="284">
        <v>127</v>
      </c>
      <c r="I214" s="382">
        <f t="shared" si="20"/>
        <v>825</v>
      </c>
      <c r="J214" s="382">
        <v>127</v>
      </c>
      <c r="K214" s="351">
        <v>0</v>
      </c>
      <c r="L214" s="376">
        <v>116</v>
      </c>
      <c r="M214" s="376">
        <v>233</v>
      </c>
      <c r="N214" s="449">
        <f>M214*1.33333</f>
        <v>310.66589</v>
      </c>
      <c r="O214" s="814">
        <f t="shared" si="17"/>
        <v>388.3323625</v>
      </c>
      <c r="P214" s="359">
        <f t="shared" si="19"/>
        <v>1660</v>
      </c>
      <c r="Q214" s="27">
        <v>0</v>
      </c>
      <c r="R214" s="25">
        <v>0</v>
      </c>
      <c r="S214" s="25">
        <v>657</v>
      </c>
      <c r="T214" s="360"/>
    </row>
    <row r="215" spans="1:20" ht="12.75">
      <c r="A215" s="25">
        <v>826</v>
      </c>
      <c r="B215" s="26" t="s">
        <v>222</v>
      </c>
      <c r="C215" s="25">
        <v>1250</v>
      </c>
      <c r="D215" s="155">
        <v>134</v>
      </c>
      <c r="E215" s="155">
        <v>134</v>
      </c>
      <c r="F215" s="284">
        <f>IF(C215&lt;972,E215+44,E215)</f>
        <v>134</v>
      </c>
      <c r="G215" s="284">
        <v>134</v>
      </c>
      <c r="H215" s="284">
        <v>134</v>
      </c>
      <c r="I215" s="382">
        <f t="shared" si="20"/>
        <v>826</v>
      </c>
      <c r="J215" s="382">
        <v>134</v>
      </c>
      <c r="K215" s="351">
        <v>0</v>
      </c>
      <c r="L215" s="376">
        <v>116</v>
      </c>
      <c r="M215" s="376">
        <v>233</v>
      </c>
      <c r="N215" s="449">
        <f>M215*1.33333</f>
        <v>310.66589</v>
      </c>
      <c r="O215" s="814">
        <f t="shared" si="17"/>
        <v>388.3323625</v>
      </c>
      <c r="P215" s="359">
        <f t="shared" si="19"/>
        <v>1617</v>
      </c>
      <c r="Q215" s="27">
        <v>0</v>
      </c>
      <c r="R215" s="25">
        <v>0</v>
      </c>
      <c r="S215" s="25">
        <v>657</v>
      </c>
      <c r="T215" s="360"/>
    </row>
    <row r="216" spans="1:20" ht="12.75">
      <c r="A216" s="25">
        <v>827</v>
      </c>
      <c r="B216" s="390" t="s">
        <v>399</v>
      </c>
      <c r="C216" s="391">
        <v>1942</v>
      </c>
      <c r="D216" s="388">
        <v>43</v>
      </c>
      <c r="E216" s="388">
        <v>43</v>
      </c>
      <c r="F216" s="376">
        <v>43</v>
      </c>
      <c r="G216" s="376">
        <v>43</v>
      </c>
      <c r="H216" s="376">
        <v>43</v>
      </c>
      <c r="I216" s="389">
        <f t="shared" si="20"/>
        <v>827</v>
      </c>
      <c r="J216" s="389">
        <v>43</v>
      </c>
      <c r="K216" s="376">
        <v>0</v>
      </c>
      <c r="L216" s="376">
        <v>194</v>
      </c>
      <c r="M216" s="376">
        <v>388</v>
      </c>
      <c r="N216" s="449">
        <f>M216*1.33333</f>
        <v>517.33204</v>
      </c>
      <c r="O216" s="814">
        <f t="shared" si="17"/>
        <v>646.6650500000001</v>
      </c>
      <c r="P216" s="359">
        <f t="shared" si="19"/>
        <v>2373</v>
      </c>
      <c r="Q216" s="27">
        <v>0</v>
      </c>
      <c r="R216" s="25">
        <v>0</v>
      </c>
      <c r="S216" s="25">
        <v>0</v>
      </c>
      <c r="T216" s="360"/>
    </row>
    <row r="217" spans="1:20" ht="12.75">
      <c r="A217" s="25">
        <v>828</v>
      </c>
      <c r="B217" s="26" t="s">
        <v>223</v>
      </c>
      <c r="C217" s="25">
        <v>2913</v>
      </c>
      <c r="D217" s="155">
        <v>0</v>
      </c>
      <c r="E217" s="155">
        <v>0</v>
      </c>
      <c r="F217" s="284">
        <f>IF(C217&lt;972,E217+44,E217)</f>
        <v>0</v>
      </c>
      <c r="G217" s="284">
        <v>0</v>
      </c>
      <c r="H217" s="284">
        <v>0</v>
      </c>
      <c r="I217" s="382">
        <f t="shared" si="20"/>
        <v>828</v>
      </c>
      <c r="J217" s="382">
        <v>0</v>
      </c>
      <c r="K217" s="351">
        <v>0</v>
      </c>
      <c r="L217" s="351">
        <v>0</v>
      </c>
      <c r="M217" s="351">
        <v>0</v>
      </c>
      <c r="N217" s="449">
        <f>M217*1.1</f>
        <v>0</v>
      </c>
      <c r="O217" s="815">
        <f>N217</f>
        <v>0</v>
      </c>
      <c r="P217" s="359">
        <f t="shared" si="19"/>
        <v>2913</v>
      </c>
      <c r="Q217" s="27">
        <v>0</v>
      </c>
      <c r="R217" s="25">
        <v>0</v>
      </c>
      <c r="S217" s="25">
        <v>0</v>
      </c>
      <c r="T217" s="360"/>
    </row>
    <row r="218" spans="1:20" ht="12.75">
      <c r="A218" s="25">
        <v>829</v>
      </c>
      <c r="B218" s="390" t="s">
        <v>432</v>
      </c>
      <c r="C218" s="391">
        <v>1782</v>
      </c>
      <c r="D218" s="388">
        <v>64</v>
      </c>
      <c r="E218" s="388">
        <v>64</v>
      </c>
      <c r="F218" s="284">
        <v>64</v>
      </c>
      <c r="G218" s="284">
        <v>64</v>
      </c>
      <c r="H218" s="284">
        <v>64</v>
      </c>
      <c r="I218" s="382">
        <f t="shared" si="20"/>
        <v>829</v>
      </c>
      <c r="J218" s="382">
        <v>64</v>
      </c>
      <c r="K218" s="351">
        <v>0</v>
      </c>
      <c r="L218" s="376">
        <v>175</v>
      </c>
      <c r="M218" s="376">
        <v>349</v>
      </c>
      <c r="N218" s="449">
        <f>M218*1.33333</f>
        <v>465.33216999999996</v>
      </c>
      <c r="O218" s="814">
        <f t="shared" si="17"/>
        <v>581.6652124999999</v>
      </c>
      <c r="P218" s="359">
        <f t="shared" si="19"/>
        <v>2195</v>
      </c>
      <c r="Q218" s="27">
        <v>0</v>
      </c>
      <c r="R218" s="25">
        <v>0</v>
      </c>
      <c r="S218" s="25">
        <v>0</v>
      </c>
      <c r="T218" s="360"/>
    </row>
    <row r="219" spans="1:20" ht="12.75">
      <c r="A219" s="25">
        <v>830</v>
      </c>
      <c r="B219" s="26" t="s">
        <v>224</v>
      </c>
      <c r="C219" s="25">
        <v>1740</v>
      </c>
      <c r="D219" s="155">
        <v>70</v>
      </c>
      <c r="E219" s="155">
        <v>70</v>
      </c>
      <c r="F219" s="284">
        <f>IF(C219&lt;972,E219+44,E219)</f>
        <v>70</v>
      </c>
      <c r="G219" s="284">
        <v>70</v>
      </c>
      <c r="H219" s="284">
        <v>70</v>
      </c>
      <c r="I219" s="382">
        <f t="shared" si="20"/>
        <v>830</v>
      </c>
      <c r="J219" s="382">
        <v>70</v>
      </c>
      <c r="K219" s="351">
        <v>0</v>
      </c>
      <c r="L219" s="351">
        <v>0</v>
      </c>
      <c r="M219" s="351">
        <v>0</v>
      </c>
      <c r="N219" s="449">
        <f>M219*1.1</f>
        <v>0</v>
      </c>
      <c r="O219" s="815">
        <f>N219</f>
        <v>0</v>
      </c>
      <c r="P219" s="359">
        <f t="shared" si="19"/>
        <v>1810</v>
      </c>
      <c r="Q219" s="27">
        <v>0</v>
      </c>
      <c r="R219" s="25">
        <v>0</v>
      </c>
      <c r="S219" s="25">
        <v>0</v>
      </c>
      <c r="T219" s="360"/>
    </row>
    <row r="220" spans="1:20" ht="12.75">
      <c r="A220" s="25">
        <v>831</v>
      </c>
      <c r="B220" s="26" t="s">
        <v>225</v>
      </c>
      <c r="C220" s="25">
        <v>971</v>
      </c>
      <c r="D220" s="155">
        <v>170</v>
      </c>
      <c r="E220" s="383">
        <v>216</v>
      </c>
      <c r="F220" s="284">
        <v>261</v>
      </c>
      <c r="G220" s="351">
        <v>327</v>
      </c>
      <c r="H220" s="351">
        <v>350</v>
      </c>
      <c r="I220" s="382">
        <f t="shared" si="20"/>
        <v>831</v>
      </c>
      <c r="J220" s="382">
        <v>414.7</v>
      </c>
      <c r="K220" s="351">
        <v>0</v>
      </c>
      <c r="L220" s="351">
        <v>0</v>
      </c>
      <c r="M220" s="351">
        <v>0</v>
      </c>
      <c r="N220" s="449">
        <f>M220*1.1</f>
        <v>0</v>
      </c>
      <c r="O220" s="815">
        <f>N220</f>
        <v>0</v>
      </c>
      <c r="P220" s="359">
        <f t="shared" si="19"/>
        <v>1298</v>
      </c>
      <c r="Q220" s="27">
        <v>0</v>
      </c>
      <c r="R220" s="25">
        <v>0</v>
      </c>
      <c r="S220" s="25">
        <v>0</v>
      </c>
      <c r="T220" s="360"/>
    </row>
    <row r="221" spans="1:20" ht="12.75">
      <c r="A221" s="391">
        <v>832</v>
      </c>
      <c r="B221" s="390" t="s">
        <v>400</v>
      </c>
      <c r="C221" s="391">
        <v>1700</v>
      </c>
      <c r="D221" s="388">
        <v>0</v>
      </c>
      <c r="E221" s="388">
        <v>0</v>
      </c>
      <c r="F221" s="376">
        <f>IF(C221&lt;972,E221+44,E221)</f>
        <v>0</v>
      </c>
      <c r="G221" s="376">
        <v>75</v>
      </c>
      <c r="H221" s="376">
        <v>75</v>
      </c>
      <c r="I221" s="389">
        <f t="shared" si="20"/>
        <v>832</v>
      </c>
      <c r="J221" s="389">
        <v>75</v>
      </c>
      <c r="K221" s="376">
        <v>0</v>
      </c>
      <c r="L221" s="376">
        <v>116</v>
      </c>
      <c r="M221" s="376">
        <v>233</v>
      </c>
      <c r="N221" s="449">
        <f>M221*1.33333</f>
        <v>310.66589</v>
      </c>
      <c r="O221" s="814">
        <f t="shared" si="17"/>
        <v>388.3323625</v>
      </c>
      <c r="P221" s="359">
        <f t="shared" si="19"/>
        <v>2008</v>
      </c>
      <c r="Q221" s="27">
        <v>0</v>
      </c>
      <c r="R221" s="25">
        <v>0</v>
      </c>
      <c r="S221" s="25">
        <v>0</v>
      </c>
      <c r="T221" s="360"/>
    </row>
    <row r="222" spans="1:20" ht="12.75">
      <c r="A222" s="25">
        <v>833</v>
      </c>
      <c r="B222" s="26" t="s">
        <v>226</v>
      </c>
      <c r="C222" s="25">
        <v>971</v>
      </c>
      <c r="D222" s="155">
        <v>170</v>
      </c>
      <c r="E222" s="383">
        <v>216</v>
      </c>
      <c r="F222" s="284">
        <v>261</v>
      </c>
      <c r="G222" s="351">
        <v>327</v>
      </c>
      <c r="H222" s="351">
        <v>350</v>
      </c>
      <c r="I222" s="382">
        <f t="shared" si="20"/>
        <v>833</v>
      </c>
      <c r="J222" s="382">
        <v>414.7</v>
      </c>
      <c r="K222" s="351">
        <v>0</v>
      </c>
      <c r="L222" s="351">
        <v>0</v>
      </c>
      <c r="M222" s="351">
        <v>0</v>
      </c>
      <c r="N222" s="449">
        <f aca="true" t="shared" si="21" ref="N222:N228">M222*1.1</f>
        <v>0</v>
      </c>
      <c r="O222" s="815">
        <f aca="true" t="shared" si="22" ref="O222:O228">N222</f>
        <v>0</v>
      </c>
      <c r="P222" s="359">
        <f t="shared" si="19"/>
        <v>1298</v>
      </c>
      <c r="Q222" s="27">
        <v>0</v>
      </c>
      <c r="R222" s="25">
        <v>0</v>
      </c>
      <c r="S222" s="25">
        <v>155</v>
      </c>
      <c r="T222" s="360"/>
    </row>
    <row r="223" spans="1:20" ht="12.75">
      <c r="A223" s="25">
        <v>834</v>
      </c>
      <c r="B223" s="26" t="s">
        <v>227</v>
      </c>
      <c r="C223" s="25">
        <v>971</v>
      </c>
      <c r="D223" s="155">
        <v>170</v>
      </c>
      <c r="E223" s="383">
        <v>216</v>
      </c>
      <c r="F223" s="284">
        <v>261</v>
      </c>
      <c r="G223" s="351">
        <v>327</v>
      </c>
      <c r="H223" s="351">
        <v>350</v>
      </c>
      <c r="I223" s="382">
        <f t="shared" si="20"/>
        <v>834</v>
      </c>
      <c r="J223" s="382">
        <v>414.7</v>
      </c>
      <c r="K223" s="351">
        <v>0</v>
      </c>
      <c r="L223" s="351">
        <v>0</v>
      </c>
      <c r="M223" s="351">
        <v>0</v>
      </c>
      <c r="N223" s="449">
        <f t="shared" si="21"/>
        <v>0</v>
      </c>
      <c r="O223" s="815">
        <f t="shared" si="22"/>
        <v>0</v>
      </c>
      <c r="P223" s="359">
        <f t="shared" si="19"/>
        <v>1298</v>
      </c>
      <c r="Q223" s="27">
        <v>0</v>
      </c>
      <c r="R223" s="25">
        <v>0</v>
      </c>
      <c r="S223" s="25">
        <v>155</v>
      </c>
      <c r="T223" s="360"/>
    </row>
    <row r="224" spans="1:20" ht="12.75">
      <c r="A224" s="25">
        <v>835</v>
      </c>
      <c r="B224" s="26" t="s">
        <v>228</v>
      </c>
      <c r="C224" s="25">
        <v>971</v>
      </c>
      <c r="D224" s="155">
        <v>170</v>
      </c>
      <c r="E224" s="383">
        <v>216</v>
      </c>
      <c r="F224" s="284">
        <v>261</v>
      </c>
      <c r="G224" s="351">
        <v>327</v>
      </c>
      <c r="H224" s="351">
        <v>350</v>
      </c>
      <c r="I224" s="382">
        <f t="shared" si="20"/>
        <v>835</v>
      </c>
      <c r="J224" s="382">
        <v>414.7</v>
      </c>
      <c r="K224" s="351">
        <v>0</v>
      </c>
      <c r="L224" s="351">
        <v>0</v>
      </c>
      <c r="M224" s="351">
        <v>0</v>
      </c>
      <c r="N224" s="449">
        <f t="shared" si="21"/>
        <v>0</v>
      </c>
      <c r="O224" s="815">
        <f t="shared" si="22"/>
        <v>0</v>
      </c>
      <c r="P224" s="359">
        <f t="shared" si="19"/>
        <v>1298</v>
      </c>
      <c r="Q224" s="27">
        <v>0</v>
      </c>
      <c r="R224" s="25">
        <v>0</v>
      </c>
      <c r="S224" s="25">
        <v>0</v>
      </c>
      <c r="T224" s="360"/>
    </row>
    <row r="225" spans="1:20" ht="12.75">
      <c r="A225" s="25">
        <v>836</v>
      </c>
      <c r="B225" s="26" t="s">
        <v>229</v>
      </c>
      <c r="C225" s="25">
        <v>971</v>
      </c>
      <c r="D225" s="155">
        <v>170</v>
      </c>
      <c r="E225" s="383">
        <v>216</v>
      </c>
      <c r="F225" s="284">
        <v>261</v>
      </c>
      <c r="G225" s="351">
        <v>327</v>
      </c>
      <c r="H225" s="351">
        <v>350</v>
      </c>
      <c r="I225" s="382">
        <f t="shared" si="20"/>
        <v>836</v>
      </c>
      <c r="J225" s="382">
        <v>414.7</v>
      </c>
      <c r="K225" s="351">
        <v>0</v>
      </c>
      <c r="L225" s="351">
        <v>0</v>
      </c>
      <c r="M225" s="351">
        <v>0</v>
      </c>
      <c r="N225" s="449">
        <f t="shared" si="21"/>
        <v>0</v>
      </c>
      <c r="O225" s="815">
        <f t="shared" si="22"/>
        <v>0</v>
      </c>
      <c r="P225" s="359">
        <f t="shared" si="19"/>
        <v>1298</v>
      </c>
      <c r="Q225" s="27">
        <v>0</v>
      </c>
      <c r="R225" s="25">
        <v>0</v>
      </c>
      <c r="S225" s="25">
        <v>155</v>
      </c>
      <c r="T225" s="360"/>
    </row>
    <row r="226" spans="1:20" ht="12.75">
      <c r="A226" s="25">
        <v>837</v>
      </c>
      <c r="B226" s="26" t="s">
        <v>230</v>
      </c>
      <c r="C226" s="25">
        <v>971</v>
      </c>
      <c r="D226" s="155">
        <v>170</v>
      </c>
      <c r="E226" s="383">
        <v>216</v>
      </c>
      <c r="F226" s="284">
        <v>261</v>
      </c>
      <c r="G226" s="351">
        <v>327</v>
      </c>
      <c r="H226" s="351">
        <v>350</v>
      </c>
      <c r="I226" s="382">
        <f t="shared" si="20"/>
        <v>837</v>
      </c>
      <c r="J226" s="382">
        <v>414.7</v>
      </c>
      <c r="K226" s="351">
        <v>0</v>
      </c>
      <c r="L226" s="351">
        <v>0</v>
      </c>
      <c r="M226" s="351">
        <v>0</v>
      </c>
      <c r="N226" s="449">
        <f t="shared" si="21"/>
        <v>0</v>
      </c>
      <c r="O226" s="815">
        <f t="shared" si="22"/>
        <v>0</v>
      </c>
      <c r="P226" s="359">
        <f t="shared" si="19"/>
        <v>1298</v>
      </c>
      <c r="Q226" s="27">
        <v>0</v>
      </c>
      <c r="R226" s="25">
        <v>0</v>
      </c>
      <c r="S226" s="25">
        <v>155</v>
      </c>
      <c r="T226" s="360"/>
    </row>
    <row r="227" spans="1:20" ht="12.75">
      <c r="A227" s="25">
        <v>839</v>
      </c>
      <c r="B227" s="26" t="s">
        <v>231</v>
      </c>
      <c r="C227" s="25">
        <v>971</v>
      </c>
      <c r="D227" s="155">
        <v>170</v>
      </c>
      <c r="E227" s="383">
        <v>216</v>
      </c>
      <c r="F227" s="284">
        <v>261</v>
      </c>
      <c r="G227" s="351">
        <v>327</v>
      </c>
      <c r="H227" s="351">
        <v>350</v>
      </c>
      <c r="I227" s="382">
        <f t="shared" si="20"/>
        <v>839</v>
      </c>
      <c r="J227" s="382">
        <v>414.7</v>
      </c>
      <c r="K227" s="351">
        <v>0</v>
      </c>
      <c r="L227" s="351">
        <v>0</v>
      </c>
      <c r="M227" s="351">
        <v>0</v>
      </c>
      <c r="N227" s="449">
        <f t="shared" si="21"/>
        <v>0</v>
      </c>
      <c r="O227" s="815">
        <f t="shared" si="22"/>
        <v>0</v>
      </c>
      <c r="P227" s="359">
        <f t="shared" si="19"/>
        <v>1298</v>
      </c>
      <c r="Q227" s="27">
        <v>0</v>
      </c>
      <c r="R227" s="25">
        <v>0</v>
      </c>
      <c r="S227" s="25">
        <v>155</v>
      </c>
      <c r="T227" s="360"/>
    </row>
    <row r="228" spans="1:20" ht="12.75">
      <c r="A228" s="25">
        <v>840</v>
      </c>
      <c r="B228" s="26" t="s">
        <v>232</v>
      </c>
      <c r="C228" s="25">
        <v>971</v>
      </c>
      <c r="D228" s="155">
        <v>170</v>
      </c>
      <c r="E228" s="383">
        <v>216</v>
      </c>
      <c r="F228" s="284">
        <v>261</v>
      </c>
      <c r="G228" s="351">
        <v>327</v>
      </c>
      <c r="H228" s="351">
        <v>350</v>
      </c>
      <c r="I228" s="382">
        <f t="shared" si="20"/>
        <v>840</v>
      </c>
      <c r="J228" s="382">
        <v>414.7</v>
      </c>
      <c r="K228" s="351">
        <v>0</v>
      </c>
      <c r="L228" s="351">
        <v>0</v>
      </c>
      <c r="M228" s="351">
        <v>0</v>
      </c>
      <c r="N228" s="449">
        <f t="shared" si="21"/>
        <v>0</v>
      </c>
      <c r="O228" s="815">
        <f t="shared" si="22"/>
        <v>0</v>
      </c>
      <c r="P228" s="359">
        <f t="shared" si="19"/>
        <v>1298</v>
      </c>
      <c r="Q228" s="27">
        <v>0</v>
      </c>
      <c r="R228" s="25">
        <v>0</v>
      </c>
      <c r="S228" s="25">
        <v>155</v>
      </c>
      <c r="T228" s="360"/>
    </row>
    <row r="229" spans="1:20" s="375" customFormat="1" ht="12.75">
      <c r="A229" s="391">
        <v>841</v>
      </c>
      <c r="B229" s="390" t="s">
        <v>401</v>
      </c>
      <c r="C229" s="391">
        <v>1300</v>
      </c>
      <c r="D229" s="388">
        <v>127</v>
      </c>
      <c r="E229" s="388">
        <v>127</v>
      </c>
      <c r="F229" s="376">
        <v>127</v>
      </c>
      <c r="G229" s="376">
        <v>127</v>
      </c>
      <c r="H229" s="376">
        <v>127</v>
      </c>
      <c r="I229" s="389">
        <f t="shared" si="20"/>
        <v>841</v>
      </c>
      <c r="J229" s="389">
        <v>127</v>
      </c>
      <c r="K229" s="376"/>
      <c r="L229" s="376">
        <v>116</v>
      </c>
      <c r="M229" s="376">
        <v>388</v>
      </c>
      <c r="N229" s="449">
        <f>M229</f>
        <v>388</v>
      </c>
      <c r="O229" s="814">
        <f t="shared" si="17"/>
        <v>485</v>
      </c>
      <c r="P229" s="359">
        <f t="shared" si="19"/>
        <v>1815</v>
      </c>
      <c r="Q229" s="393">
        <v>0</v>
      </c>
      <c r="R229" s="391">
        <v>0</v>
      </c>
      <c r="S229" s="391">
        <v>0</v>
      </c>
      <c r="T229" s="394"/>
    </row>
    <row r="230" spans="1:20" ht="12.75">
      <c r="A230" s="25">
        <v>842</v>
      </c>
      <c r="B230" s="26" t="s">
        <v>233</v>
      </c>
      <c r="C230" s="25">
        <v>1500</v>
      </c>
      <c r="D230" s="155">
        <v>101</v>
      </c>
      <c r="E230" s="155">
        <v>101</v>
      </c>
      <c r="F230" s="284">
        <f>IF(C230&lt;972,E230+44,E230)</f>
        <v>101</v>
      </c>
      <c r="G230" s="284">
        <v>101</v>
      </c>
      <c r="H230" s="284">
        <v>101</v>
      </c>
      <c r="I230" s="382">
        <f t="shared" si="20"/>
        <v>842</v>
      </c>
      <c r="J230" s="382">
        <v>101</v>
      </c>
      <c r="K230" s="351">
        <v>0</v>
      </c>
      <c r="L230" s="376">
        <v>194</v>
      </c>
      <c r="M230" s="376">
        <v>388</v>
      </c>
      <c r="N230" s="449">
        <f>M230</f>
        <v>388</v>
      </c>
      <c r="O230" s="814">
        <f t="shared" si="17"/>
        <v>485</v>
      </c>
      <c r="P230" s="359">
        <f t="shared" si="19"/>
        <v>1989</v>
      </c>
      <c r="Q230" s="27">
        <v>0</v>
      </c>
      <c r="R230" s="25">
        <v>0</v>
      </c>
      <c r="S230" s="25">
        <v>0</v>
      </c>
      <c r="T230" s="360"/>
    </row>
    <row r="231" spans="1:20" ht="12.75">
      <c r="A231" s="25">
        <v>843</v>
      </c>
      <c r="B231" s="26" t="s">
        <v>234</v>
      </c>
      <c r="C231" s="25">
        <v>1250</v>
      </c>
      <c r="D231" s="155">
        <v>134</v>
      </c>
      <c r="E231" s="155">
        <v>134</v>
      </c>
      <c r="F231" s="284">
        <f>IF(C231&lt;972,E231+44,E231)</f>
        <v>134</v>
      </c>
      <c r="G231" s="284">
        <v>134</v>
      </c>
      <c r="H231" s="284">
        <v>134</v>
      </c>
      <c r="I231" s="382">
        <f t="shared" si="20"/>
        <v>843</v>
      </c>
      <c r="J231" s="382">
        <v>134</v>
      </c>
      <c r="K231" s="351">
        <v>0</v>
      </c>
      <c r="L231" s="376">
        <v>116</v>
      </c>
      <c r="M231" s="376">
        <v>233</v>
      </c>
      <c r="N231" s="449">
        <f>M231*1.33333</f>
        <v>310.66589</v>
      </c>
      <c r="O231" s="814">
        <f t="shared" si="17"/>
        <v>388.3323625</v>
      </c>
      <c r="P231" s="359">
        <f t="shared" si="19"/>
        <v>1617</v>
      </c>
      <c r="Q231" s="27">
        <v>0</v>
      </c>
      <c r="R231" s="25">
        <v>0</v>
      </c>
      <c r="S231" s="25">
        <v>0</v>
      </c>
      <c r="T231" s="360"/>
    </row>
    <row r="232" spans="1:20" ht="12.75">
      <c r="A232" s="25">
        <v>844</v>
      </c>
      <c r="B232" s="26" t="s">
        <v>235</v>
      </c>
      <c r="C232" s="25">
        <v>1660</v>
      </c>
      <c r="D232" s="155">
        <v>80</v>
      </c>
      <c r="E232" s="155">
        <v>80</v>
      </c>
      <c r="F232" s="284">
        <f>IF(C232&lt;972,E232+44,E232)</f>
        <v>80</v>
      </c>
      <c r="G232" s="284">
        <v>80</v>
      </c>
      <c r="H232" s="284">
        <v>80</v>
      </c>
      <c r="I232" s="382">
        <f t="shared" si="20"/>
        <v>844</v>
      </c>
      <c r="J232" s="382">
        <v>80</v>
      </c>
      <c r="K232" s="351">
        <v>0</v>
      </c>
      <c r="L232" s="351">
        <v>0</v>
      </c>
      <c r="M232" s="351">
        <v>0</v>
      </c>
      <c r="N232" s="449">
        <f>M232</f>
        <v>0</v>
      </c>
      <c r="O232" s="815">
        <f>N232</f>
        <v>0</v>
      </c>
      <c r="P232" s="359">
        <f t="shared" si="19"/>
        <v>1740</v>
      </c>
      <c r="Q232" s="27">
        <v>0</v>
      </c>
      <c r="R232" s="25">
        <v>0</v>
      </c>
      <c r="S232" s="25">
        <v>0</v>
      </c>
      <c r="T232" s="360"/>
    </row>
    <row r="233" spans="1:20" ht="12.75">
      <c r="A233" s="25">
        <v>849</v>
      </c>
      <c r="B233" s="26" t="s">
        <v>236</v>
      </c>
      <c r="C233" s="25">
        <v>971</v>
      </c>
      <c r="D233" s="155">
        <v>170</v>
      </c>
      <c r="E233" s="383">
        <v>216</v>
      </c>
      <c r="F233" s="284">
        <v>261</v>
      </c>
      <c r="G233" s="351">
        <v>327</v>
      </c>
      <c r="H233" s="351">
        <v>350</v>
      </c>
      <c r="I233" s="382">
        <f t="shared" si="20"/>
        <v>849</v>
      </c>
      <c r="J233" s="382">
        <v>414.7</v>
      </c>
      <c r="K233" s="351">
        <v>0</v>
      </c>
      <c r="L233" s="351">
        <v>0</v>
      </c>
      <c r="M233" s="351">
        <v>0</v>
      </c>
      <c r="N233" s="449">
        <f>M233</f>
        <v>0</v>
      </c>
      <c r="O233" s="815">
        <f>N233</f>
        <v>0</v>
      </c>
      <c r="P233" s="359">
        <f t="shared" si="19"/>
        <v>1298</v>
      </c>
      <c r="Q233" s="27">
        <v>0</v>
      </c>
      <c r="R233" s="25">
        <v>0</v>
      </c>
      <c r="S233" s="25">
        <v>0</v>
      </c>
      <c r="T233" s="360"/>
    </row>
    <row r="234" spans="1:20" ht="12.75">
      <c r="A234" s="25">
        <v>850</v>
      </c>
      <c r="B234" s="362" t="s">
        <v>433</v>
      </c>
      <c r="C234" s="25">
        <v>3146</v>
      </c>
      <c r="D234" s="155"/>
      <c r="E234" s="383"/>
      <c r="F234" s="284"/>
      <c r="G234" s="351">
        <v>0</v>
      </c>
      <c r="H234" s="351">
        <v>0</v>
      </c>
      <c r="I234" s="382">
        <f t="shared" si="20"/>
        <v>850</v>
      </c>
      <c r="J234" s="382">
        <v>0</v>
      </c>
      <c r="K234" s="351">
        <v>0</v>
      </c>
      <c r="L234" s="351"/>
      <c r="M234" s="351">
        <v>466</v>
      </c>
      <c r="N234" s="449">
        <f aca="true" t="shared" si="23" ref="N234:N239">M234*1.33333</f>
        <v>621.33178</v>
      </c>
      <c r="O234" s="815">
        <f>N234</f>
        <v>621.33178</v>
      </c>
      <c r="P234" s="359">
        <f t="shared" si="19"/>
        <v>3612</v>
      </c>
      <c r="Q234" s="27">
        <v>0</v>
      </c>
      <c r="R234" s="25">
        <v>0</v>
      </c>
      <c r="S234" s="25"/>
      <c r="T234" s="360"/>
    </row>
    <row r="235" spans="1:20" ht="12.75">
      <c r="A235" s="25">
        <v>851</v>
      </c>
      <c r="B235" s="362" t="s">
        <v>434</v>
      </c>
      <c r="C235" s="25">
        <v>2913</v>
      </c>
      <c r="D235" s="155"/>
      <c r="E235" s="383"/>
      <c r="F235" s="284"/>
      <c r="G235" s="351">
        <v>0</v>
      </c>
      <c r="H235" s="351">
        <v>0</v>
      </c>
      <c r="I235" s="382">
        <f t="shared" si="20"/>
        <v>851</v>
      </c>
      <c r="J235" s="382">
        <v>0</v>
      </c>
      <c r="K235" s="351"/>
      <c r="L235" s="351"/>
      <c r="M235" s="351">
        <v>466</v>
      </c>
      <c r="N235" s="449">
        <f t="shared" si="23"/>
        <v>621.33178</v>
      </c>
      <c r="O235" s="815">
        <f aca="true" t="shared" si="24" ref="O235:O248">N235</f>
        <v>621.33178</v>
      </c>
      <c r="P235" s="359">
        <f t="shared" si="19"/>
        <v>3379</v>
      </c>
      <c r="Q235" s="27">
        <v>20</v>
      </c>
      <c r="R235" s="25">
        <v>0</v>
      </c>
      <c r="S235" s="25">
        <v>0</v>
      </c>
      <c r="T235" s="360"/>
    </row>
    <row r="236" spans="1:20" ht="12.75">
      <c r="A236" s="25">
        <v>852</v>
      </c>
      <c r="B236" s="362" t="s">
        <v>435</v>
      </c>
      <c r="C236" s="25">
        <v>2913</v>
      </c>
      <c r="D236" s="155"/>
      <c r="E236" s="383"/>
      <c r="F236" s="284"/>
      <c r="G236" s="351">
        <v>0</v>
      </c>
      <c r="H236" s="351">
        <v>0</v>
      </c>
      <c r="I236" s="382">
        <f t="shared" si="20"/>
        <v>852</v>
      </c>
      <c r="J236" s="382">
        <v>0</v>
      </c>
      <c r="K236" s="351"/>
      <c r="L236" s="351"/>
      <c r="M236" s="351">
        <v>466</v>
      </c>
      <c r="N236" s="449">
        <f t="shared" si="23"/>
        <v>621.33178</v>
      </c>
      <c r="O236" s="815">
        <f t="shared" si="24"/>
        <v>621.33178</v>
      </c>
      <c r="P236" s="359">
        <f t="shared" si="19"/>
        <v>3379</v>
      </c>
      <c r="Q236" s="27">
        <v>0</v>
      </c>
      <c r="R236" s="25">
        <v>0</v>
      </c>
      <c r="S236" s="25">
        <v>0</v>
      </c>
      <c r="T236" s="360"/>
    </row>
    <row r="237" spans="1:20" ht="12.75">
      <c r="A237" s="25">
        <v>853</v>
      </c>
      <c r="B237" s="362" t="s">
        <v>436</v>
      </c>
      <c r="C237" s="25">
        <v>2913</v>
      </c>
      <c r="D237" s="155"/>
      <c r="E237" s="383"/>
      <c r="F237" s="284"/>
      <c r="G237" s="351">
        <v>0</v>
      </c>
      <c r="H237" s="351">
        <v>0</v>
      </c>
      <c r="I237" s="382">
        <f t="shared" si="20"/>
        <v>853</v>
      </c>
      <c r="J237" s="382">
        <v>0</v>
      </c>
      <c r="K237" s="351"/>
      <c r="L237" s="351"/>
      <c r="M237" s="351">
        <v>466</v>
      </c>
      <c r="N237" s="449">
        <f t="shared" si="23"/>
        <v>621.33178</v>
      </c>
      <c r="O237" s="815">
        <f t="shared" si="24"/>
        <v>621.33178</v>
      </c>
      <c r="P237" s="359">
        <f t="shared" si="19"/>
        <v>3379</v>
      </c>
      <c r="Q237" s="27">
        <v>17</v>
      </c>
      <c r="R237" s="25">
        <v>0</v>
      </c>
      <c r="S237" s="25">
        <v>0</v>
      </c>
      <c r="T237" s="360"/>
    </row>
    <row r="238" spans="1:20" ht="12.75">
      <c r="A238" s="25">
        <v>854</v>
      </c>
      <c r="B238" s="362" t="s">
        <v>437</v>
      </c>
      <c r="C238" s="25">
        <v>2913</v>
      </c>
      <c r="D238" s="155"/>
      <c r="E238" s="383"/>
      <c r="F238" s="284"/>
      <c r="G238" s="351">
        <v>0</v>
      </c>
      <c r="H238" s="351">
        <v>0</v>
      </c>
      <c r="I238" s="382">
        <f t="shared" si="20"/>
        <v>854</v>
      </c>
      <c r="J238" s="382">
        <v>0</v>
      </c>
      <c r="K238" s="351"/>
      <c r="L238" s="351"/>
      <c r="M238" s="351">
        <v>466</v>
      </c>
      <c r="N238" s="449">
        <f t="shared" si="23"/>
        <v>621.33178</v>
      </c>
      <c r="O238" s="815">
        <f t="shared" si="24"/>
        <v>621.33178</v>
      </c>
      <c r="P238" s="359">
        <f t="shared" si="19"/>
        <v>3379</v>
      </c>
      <c r="Q238" s="27">
        <v>0</v>
      </c>
      <c r="R238" s="25">
        <v>0</v>
      </c>
      <c r="S238" s="25">
        <v>0</v>
      </c>
      <c r="T238" s="360"/>
    </row>
    <row r="239" spans="1:20" ht="12.75">
      <c r="A239" s="25">
        <v>857</v>
      </c>
      <c r="B239" s="362" t="s">
        <v>438</v>
      </c>
      <c r="C239" s="25">
        <v>2913</v>
      </c>
      <c r="D239" s="155"/>
      <c r="E239" s="383"/>
      <c r="F239" s="284"/>
      <c r="G239" s="351">
        <v>0</v>
      </c>
      <c r="H239" s="351">
        <v>0</v>
      </c>
      <c r="I239" s="382">
        <f t="shared" si="20"/>
        <v>857</v>
      </c>
      <c r="J239" s="382">
        <v>0</v>
      </c>
      <c r="K239" s="351"/>
      <c r="L239" s="351"/>
      <c r="M239" s="351">
        <v>466</v>
      </c>
      <c r="N239" s="449">
        <f t="shared" si="23"/>
        <v>621.33178</v>
      </c>
      <c r="O239" s="815">
        <f t="shared" si="24"/>
        <v>621.33178</v>
      </c>
      <c r="P239" s="359">
        <f t="shared" si="19"/>
        <v>3379</v>
      </c>
      <c r="Q239" s="27">
        <v>0</v>
      </c>
      <c r="R239" s="25">
        <v>0</v>
      </c>
      <c r="S239" s="25">
        <v>0</v>
      </c>
      <c r="T239" s="360"/>
    </row>
    <row r="240" spans="1:19" ht="12.75">
      <c r="A240" s="25">
        <v>883</v>
      </c>
      <c r="B240" s="362" t="s">
        <v>408</v>
      </c>
      <c r="C240" s="25">
        <v>2220</v>
      </c>
      <c r="D240" s="155"/>
      <c r="E240" s="383"/>
      <c r="F240" s="284"/>
      <c r="G240" s="351">
        <v>7</v>
      </c>
      <c r="H240" s="351">
        <v>7</v>
      </c>
      <c r="I240" s="382">
        <f t="shared" si="20"/>
        <v>883</v>
      </c>
      <c r="J240" s="382">
        <v>7</v>
      </c>
      <c r="K240" s="351"/>
      <c r="L240" s="351"/>
      <c r="M240" s="360">
        <v>521.4</v>
      </c>
      <c r="N240" s="449">
        <f>M240</f>
        <v>521.4</v>
      </c>
      <c r="O240" s="815">
        <f t="shared" si="24"/>
        <v>521.4</v>
      </c>
      <c r="P240" s="359">
        <f t="shared" si="19"/>
        <v>2748.4</v>
      </c>
      <c r="Q240" s="27">
        <v>0</v>
      </c>
      <c r="R240" s="25">
        <v>0</v>
      </c>
      <c r="S240" s="25">
        <v>0</v>
      </c>
    </row>
    <row r="241" spans="1:19" ht="12.75">
      <c r="A241" s="25">
        <v>885</v>
      </c>
      <c r="B241" s="362" t="s">
        <v>439</v>
      </c>
      <c r="C241" s="25">
        <v>1850</v>
      </c>
      <c r="D241" s="155"/>
      <c r="E241" s="383"/>
      <c r="F241" s="284"/>
      <c r="G241" s="351">
        <v>55</v>
      </c>
      <c r="H241" s="351">
        <v>55</v>
      </c>
      <c r="I241" s="382">
        <f t="shared" si="20"/>
        <v>885</v>
      </c>
      <c r="J241" s="382">
        <v>55</v>
      </c>
      <c r="K241" s="351"/>
      <c r="L241" s="351"/>
      <c r="M241" s="360">
        <v>434.5</v>
      </c>
      <c r="N241" s="449">
        <f>M241</f>
        <v>434.5</v>
      </c>
      <c r="O241" s="815">
        <f t="shared" si="24"/>
        <v>434.5</v>
      </c>
      <c r="P241" s="359">
        <f t="shared" si="19"/>
        <v>2339.5</v>
      </c>
      <c r="Q241" s="27">
        <v>0</v>
      </c>
      <c r="R241" s="25">
        <v>0</v>
      </c>
      <c r="S241" s="25"/>
    </row>
    <row r="242" spans="1:19" ht="12.75">
      <c r="A242" s="25">
        <v>887</v>
      </c>
      <c r="B242" s="362" t="s">
        <v>409</v>
      </c>
      <c r="C242" s="25">
        <v>1580</v>
      </c>
      <c r="D242" s="155"/>
      <c r="E242" s="383"/>
      <c r="F242" s="284"/>
      <c r="G242" s="351">
        <v>90</v>
      </c>
      <c r="H242" s="351">
        <v>90</v>
      </c>
      <c r="I242" s="382">
        <f t="shared" si="20"/>
        <v>887</v>
      </c>
      <c r="J242" s="382">
        <v>90</v>
      </c>
      <c r="K242" s="351"/>
      <c r="L242" s="351"/>
      <c r="M242" s="360">
        <v>347.6</v>
      </c>
      <c r="N242" s="449">
        <f>M242</f>
        <v>347.6</v>
      </c>
      <c r="O242" s="815">
        <f t="shared" si="24"/>
        <v>347.6</v>
      </c>
      <c r="P242" s="359">
        <f t="shared" si="19"/>
        <v>2017.6</v>
      </c>
      <c r="Q242" s="27">
        <v>0</v>
      </c>
      <c r="R242" s="25">
        <v>0</v>
      </c>
      <c r="S242" s="25">
        <v>0</v>
      </c>
    </row>
    <row r="243" spans="1:20" ht="12.75">
      <c r="A243" s="25">
        <v>900</v>
      </c>
      <c r="B243" s="26" t="s">
        <v>237</v>
      </c>
      <c r="C243" s="25">
        <v>3146</v>
      </c>
      <c r="D243" s="155">
        <v>0</v>
      </c>
      <c r="E243" s="155">
        <v>0</v>
      </c>
      <c r="F243" s="284">
        <f aca="true" t="shared" si="25" ref="F243:F259">IF(C243&lt;972,E243+44,E243)</f>
        <v>0</v>
      </c>
      <c r="G243" s="284">
        <v>0</v>
      </c>
      <c r="H243" s="284">
        <v>0</v>
      </c>
      <c r="I243" s="382">
        <f t="shared" si="20"/>
        <v>900</v>
      </c>
      <c r="J243" s="382">
        <v>0</v>
      </c>
      <c r="K243" s="351">
        <v>0</v>
      </c>
      <c r="L243" s="351">
        <v>0</v>
      </c>
      <c r="M243" s="351">
        <v>0</v>
      </c>
      <c r="N243" s="449">
        <f>M243</f>
        <v>0</v>
      </c>
      <c r="O243" s="815">
        <f t="shared" si="24"/>
        <v>0</v>
      </c>
      <c r="P243" s="359">
        <f t="shared" si="19"/>
        <v>3146</v>
      </c>
      <c r="Q243" s="27">
        <v>0</v>
      </c>
      <c r="R243" s="25">
        <v>0</v>
      </c>
      <c r="S243" s="25">
        <v>0</v>
      </c>
      <c r="T243" s="360"/>
    </row>
    <row r="244" spans="1:20" ht="12.75">
      <c r="A244" s="25">
        <v>901</v>
      </c>
      <c r="B244" s="26" t="s">
        <v>238</v>
      </c>
      <c r="C244" s="25">
        <v>2913</v>
      </c>
      <c r="D244" s="155">
        <v>0</v>
      </c>
      <c r="E244" s="155">
        <v>0</v>
      </c>
      <c r="F244" s="284">
        <f t="shared" si="25"/>
        <v>0</v>
      </c>
      <c r="G244" s="284">
        <v>0</v>
      </c>
      <c r="H244" s="284">
        <v>0</v>
      </c>
      <c r="I244" s="382">
        <f t="shared" si="20"/>
        <v>901</v>
      </c>
      <c r="J244" s="382">
        <v>0</v>
      </c>
      <c r="K244" s="351">
        <v>0</v>
      </c>
      <c r="L244" s="351">
        <v>0</v>
      </c>
      <c r="M244" s="351">
        <v>0</v>
      </c>
      <c r="N244" s="449">
        <f>M244</f>
        <v>0</v>
      </c>
      <c r="O244" s="815">
        <f t="shared" si="24"/>
        <v>0</v>
      </c>
      <c r="P244" s="359">
        <f t="shared" si="19"/>
        <v>2913</v>
      </c>
      <c r="Q244" s="27">
        <v>0</v>
      </c>
      <c r="R244" s="25">
        <v>0</v>
      </c>
      <c r="S244" s="25">
        <v>0</v>
      </c>
      <c r="T244" s="360"/>
    </row>
    <row r="245" spans="1:20" ht="12.75">
      <c r="A245" s="25">
        <v>902</v>
      </c>
      <c r="B245" s="26" t="s">
        <v>239</v>
      </c>
      <c r="C245" s="25">
        <v>2913</v>
      </c>
      <c r="D245" s="155">
        <v>0</v>
      </c>
      <c r="E245" s="155">
        <v>0</v>
      </c>
      <c r="F245" s="284">
        <f t="shared" si="25"/>
        <v>0</v>
      </c>
      <c r="G245" s="284">
        <v>0</v>
      </c>
      <c r="H245" s="284">
        <v>0</v>
      </c>
      <c r="I245" s="382">
        <f t="shared" si="20"/>
        <v>902</v>
      </c>
      <c r="J245" s="382">
        <v>0</v>
      </c>
      <c r="K245" s="351">
        <v>0</v>
      </c>
      <c r="L245">
        <v>233</v>
      </c>
      <c r="M245">
        <v>466</v>
      </c>
      <c r="N245" s="449">
        <f>M245*1.33333</f>
        <v>621.33178</v>
      </c>
      <c r="O245" s="815">
        <f t="shared" si="24"/>
        <v>621.33178</v>
      </c>
      <c r="P245" s="359">
        <f t="shared" si="19"/>
        <v>3379</v>
      </c>
      <c r="Q245" s="27">
        <v>20</v>
      </c>
      <c r="R245" s="25">
        <v>0</v>
      </c>
      <c r="S245" s="25">
        <v>0</v>
      </c>
      <c r="T245" s="360"/>
    </row>
    <row r="246" spans="1:20" ht="12.75">
      <c r="A246" s="25">
        <v>903</v>
      </c>
      <c r="B246" s="26" t="s">
        <v>240</v>
      </c>
      <c r="C246" s="25">
        <v>2913</v>
      </c>
      <c r="D246" s="155">
        <v>0</v>
      </c>
      <c r="E246" s="155">
        <v>0</v>
      </c>
      <c r="F246" s="284">
        <f t="shared" si="25"/>
        <v>0</v>
      </c>
      <c r="G246" s="284">
        <v>0</v>
      </c>
      <c r="H246" s="284">
        <v>0</v>
      </c>
      <c r="I246" s="382">
        <f t="shared" si="20"/>
        <v>903</v>
      </c>
      <c r="J246" s="382">
        <v>0</v>
      </c>
      <c r="K246" s="351">
        <v>0</v>
      </c>
      <c r="L246">
        <v>233</v>
      </c>
      <c r="M246">
        <v>466</v>
      </c>
      <c r="N246" s="449">
        <f>M246*1.33333</f>
        <v>621.33178</v>
      </c>
      <c r="O246" s="815">
        <f t="shared" si="24"/>
        <v>621.33178</v>
      </c>
      <c r="P246" s="359">
        <f t="shared" si="19"/>
        <v>3379</v>
      </c>
      <c r="Q246" s="27">
        <v>0</v>
      </c>
      <c r="R246" s="25">
        <v>0</v>
      </c>
      <c r="S246" s="25">
        <v>0</v>
      </c>
      <c r="T246" s="360"/>
    </row>
    <row r="247" spans="1:20" ht="12.75">
      <c r="A247" s="25">
        <v>904</v>
      </c>
      <c r="B247" s="26" t="s">
        <v>241</v>
      </c>
      <c r="C247" s="25">
        <v>2100</v>
      </c>
      <c r="D247" s="155">
        <v>23</v>
      </c>
      <c r="E247" s="155">
        <v>23</v>
      </c>
      <c r="F247" s="284">
        <f t="shared" si="25"/>
        <v>23</v>
      </c>
      <c r="G247" s="284">
        <v>23</v>
      </c>
      <c r="H247" s="284">
        <v>23</v>
      </c>
      <c r="I247" s="382">
        <f t="shared" si="20"/>
        <v>904</v>
      </c>
      <c r="J247" s="382">
        <v>23</v>
      </c>
      <c r="K247" s="351">
        <v>0</v>
      </c>
      <c r="L247" s="351">
        <v>0</v>
      </c>
      <c r="M247" s="351">
        <v>0</v>
      </c>
      <c r="N247" s="449">
        <f>M247</f>
        <v>0</v>
      </c>
      <c r="O247" s="815">
        <f t="shared" si="24"/>
        <v>0</v>
      </c>
      <c r="P247" s="359">
        <f t="shared" si="19"/>
        <v>2123</v>
      </c>
      <c r="Q247" s="27">
        <v>0</v>
      </c>
      <c r="R247" s="25">
        <v>0</v>
      </c>
      <c r="S247" s="25">
        <v>0</v>
      </c>
      <c r="T247" s="360"/>
    </row>
    <row r="248" spans="1:20" ht="12.75">
      <c r="A248" s="25">
        <v>905</v>
      </c>
      <c r="B248" s="26" t="s">
        <v>242</v>
      </c>
      <c r="C248" s="25">
        <v>1800</v>
      </c>
      <c r="D248" s="155">
        <v>62</v>
      </c>
      <c r="E248" s="155">
        <v>62</v>
      </c>
      <c r="F248" s="284">
        <f t="shared" si="25"/>
        <v>62</v>
      </c>
      <c r="G248" s="284">
        <v>62</v>
      </c>
      <c r="H248" s="284">
        <v>62</v>
      </c>
      <c r="I248" s="382">
        <f t="shared" si="20"/>
        <v>905</v>
      </c>
      <c r="J248" s="382">
        <v>62</v>
      </c>
      <c r="K248" s="351">
        <v>0</v>
      </c>
      <c r="L248" s="351">
        <v>0</v>
      </c>
      <c r="M248" s="351">
        <v>0</v>
      </c>
      <c r="N248" s="449">
        <f>M248</f>
        <v>0</v>
      </c>
      <c r="O248" s="815">
        <f t="shared" si="24"/>
        <v>0</v>
      </c>
      <c r="P248" s="359">
        <f t="shared" si="19"/>
        <v>1862</v>
      </c>
      <c r="Q248" s="27">
        <v>0</v>
      </c>
      <c r="R248" s="25">
        <v>0</v>
      </c>
      <c r="S248" s="25">
        <v>0</v>
      </c>
      <c r="T248" s="360"/>
    </row>
    <row r="249" spans="1:20" ht="12.75">
      <c r="A249" s="25">
        <v>906</v>
      </c>
      <c r="B249" s="26" t="s">
        <v>243</v>
      </c>
      <c r="C249" s="25">
        <v>1942</v>
      </c>
      <c r="D249" s="155">
        <v>43</v>
      </c>
      <c r="E249" s="155">
        <v>43</v>
      </c>
      <c r="F249" s="284">
        <f t="shared" si="25"/>
        <v>43</v>
      </c>
      <c r="G249" s="284">
        <v>43</v>
      </c>
      <c r="H249" s="284">
        <v>43</v>
      </c>
      <c r="I249" s="382">
        <f t="shared" si="20"/>
        <v>906</v>
      </c>
      <c r="J249" s="382">
        <v>43</v>
      </c>
      <c r="K249" s="351">
        <v>0</v>
      </c>
      <c r="L249" s="351">
        <v>194</v>
      </c>
      <c r="M249" s="351">
        <v>388</v>
      </c>
      <c r="N249" s="449">
        <f aca="true" t="shared" si="26" ref="N249:N259">M249*1.33333</f>
        <v>517.33204</v>
      </c>
      <c r="O249" s="814">
        <f aca="true" t="shared" si="27" ref="O249:O272">N249*1.25</f>
        <v>646.6650500000001</v>
      </c>
      <c r="P249" s="359">
        <f t="shared" si="19"/>
        <v>2373</v>
      </c>
      <c r="Q249" s="27">
        <v>0</v>
      </c>
      <c r="R249" s="25">
        <v>0</v>
      </c>
      <c r="S249" s="25">
        <v>0</v>
      </c>
      <c r="T249" s="368">
        <v>782</v>
      </c>
    </row>
    <row r="250" spans="1:20" ht="12.75">
      <c r="A250" s="25">
        <v>907</v>
      </c>
      <c r="B250" s="26" t="s">
        <v>244</v>
      </c>
      <c r="C250" s="25">
        <v>1782</v>
      </c>
      <c r="D250" s="155">
        <v>64</v>
      </c>
      <c r="E250" s="155">
        <v>64</v>
      </c>
      <c r="F250" s="284">
        <f t="shared" si="25"/>
        <v>64</v>
      </c>
      <c r="G250" s="284">
        <v>64</v>
      </c>
      <c r="H250" s="284">
        <v>64</v>
      </c>
      <c r="I250" s="382">
        <f t="shared" si="20"/>
        <v>907</v>
      </c>
      <c r="J250" s="382">
        <v>64</v>
      </c>
      <c r="K250" s="351">
        <v>0</v>
      </c>
      <c r="L250" s="351">
        <v>175</v>
      </c>
      <c r="M250" s="351">
        <v>349</v>
      </c>
      <c r="N250" s="449">
        <f t="shared" si="26"/>
        <v>465.33216999999996</v>
      </c>
      <c r="O250" s="814">
        <f t="shared" si="27"/>
        <v>581.6652124999999</v>
      </c>
      <c r="P250" s="359">
        <f t="shared" si="19"/>
        <v>2195</v>
      </c>
      <c r="Q250" s="27">
        <v>0</v>
      </c>
      <c r="R250" s="25">
        <v>0</v>
      </c>
      <c r="S250" s="25">
        <v>0</v>
      </c>
      <c r="T250" s="368">
        <v>782</v>
      </c>
    </row>
    <row r="251" spans="1:20" ht="12.75">
      <c r="A251" s="25">
        <v>908</v>
      </c>
      <c r="B251" s="26" t="s">
        <v>245</v>
      </c>
      <c r="C251" s="25">
        <v>1692</v>
      </c>
      <c r="D251" s="155">
        <v>76</v>
      </c>
      <c r="E251" s="155">
        <v>76</v>
      </c>
      <c r="F251" s="284">
        <f t="shared" si="25"/>
        <v>76</v>
      </c>
      <c r="G251" s="284">
        <v>76</v>
      </c>
      <c r="H251" s="284">
        <v>76</v>
      </c>
      <c r="I251" s="382">
        <f t="shared" si="20"/>
        <v>908</v>
      </c>
      <c r="J251" s="382">
        <v>76</v>
      </c>
      <c r="K251" s="351">
        <v>0</v>
      </c>
      <c r="L251" s="353">
        <v>136</v>
      </c>
      <c r="M251" s="353">
        <v>272</v>
      </c>
      <c r="N251" s="449">
        <f t="shared" si="26"/>
        <v>362.66576</v>
      </c>
      <c r="O251" s="814">
        <f t="shared" si="27"/>
        <v>453.33219999999994</v>
      </c>
      <c r="P251" s="359">
        <f t="shared" si="19"/>
        <v>2040</v>
      </c>
      <c r="Q251" s="27">
        <v>0</v>
      </c>
      <c r="R251" s="25">
        <v>0</v>
      </c>
      <c r="S251" s="25">
        <v>0</v>
      </c>
      <c r="T251" s="360"/>
    </row>
    <row r="252" spans="1:20" ht="12.75">
      <c r="A252" s="25">
        <v>909</v>
      </c>
      <c r="B252" s="26" t="s">
        <v>246</v>
      </c>
      <c r="C252" s="25">
        <v>1592</v>
      </c>
      <c r="D252" s="155">
        <v>89</v>
      </c>
      <c r="E252" s="155">
        <v>89</v>
      </c>
      <c r="F252" s="284">
        <f t="shared" si="25"/>
        <v>89</v>
      </c>
      <c r="G252" s="284">
        <v>89</v>
      </c>
      <c r="H252" s="284">
        <v>89</v>
      </c>
      <c r="I252" s="382">
        <f t="shared" si="20"/>
        <v>909</v>
      </c>
      <c r="J252" s="382">
        <v>89</v>
      </c>
      <c r="K252" s="351">
        <v>0</v>
      </c>
      <c r="L252" s="351">
        <v>0</v>
      </c>
      <c r="M252" s="351">
        <v>349</v>
      </c>
      <c r="N252" s="449">
        <f t="shared" si="26"/>
        <v>465.33216999999996</v>
      </c>
      <c r="O252" s="814">
        <f t="shared" si="27"/>
        <v>581.6652124999999</v>
      </c>
      <c r="P252" s="359">
        <f t="shared" si="19"/>
        <v>2030</v>
      </c>
      <c r="Q252" s="27">
        <v>0</v>
      </c>
      <c r="R252" s="25">
        <v>0</v>
      </c>
      <c r="S252" s="25">
        <v>0</v>
      </c>
      <c r="T252" s="360"/>
    </row>
    <row r="253" spans="1:20" ht="12.75">
      <c r="A253" s="25">
        <v>910</v>
      </c>
      <c r="B253" s="26" t="s">
        <v>138</v>
      </c>
      <c r="C253" s="25">
        <v>1942</v>
      </c>
      <c r="D253" s="155">
        <v>43</v>
      </c>
      <c r="E253" s="155">
        <v>43</v>
      </c>
      <c r="F253" s="284">
        <f t="shared" si="25"/>
        <v>43</v>
      </c>
      <c r="G253" s="284">
        <v>43</v>
      </c>
      <c r="H253" s="284">
        <v>43</v>
      </c>
      <c r="I253" s="382">
        <f t="shared" si="20"/>
        <v>910</v>
      </c>
      <c r="J253" s="382">
        <v>43</v>
      </c>
      <c r="K253" s="351">
        <v>0</v>
      </c>
      <c r="L253" s="351">
        <v>194</v>
      </c>
      <c r="M253" s="351">
        <v>388</v>
      </c>
      <c r="N253" s="449">
        <f t="shared" si="26"/>
        <v>517.33204</v>
      </c>
      <c r="O253" s="814">
        <f t="shared" si="27"/>
        <v>646.6650500000001</v>
      </c>
      <c r="P253" s="359">
        <f t="shared" si="19"/>
        <v>2373</v>
      </c>
      <c r="Q253" s="27">
        <v>150</v>
      </c>
      <c r="R253" s="25">
        <v>0</v>
      </c>
      <c r="S253" s="25">
        <v>0</v>
      </c>
      <c r="T253" s="360"/>
    </row>
    <row r="254" spans="1:20" ht="12.75">
      <c r="A254" s="25">
        <v>911</v>
      </c>
      <c r="B254" s="26" t="s">
        <v>148</v>
      </c>
      <c r="C254" s="25">
        <v>1592</v>
      </c>
      <c r="D254" s="155">
        <v>89</v>
      </c>
      <c r="E254" s="155">
        <v>89</v>
      </c>
      <c r="F254" s="284">
        <f t="shared" si="25"/>
        <v>89</v>
      </c>
      <c r="G254" s="284">
        <v>89</v>
      </c>
      <c r="H254" s="284">
        <v>89</v>
      </c>
      <c r="I254" s="382">
        <f t="shared" si="20"/>
        <v>911</v>
      </c>
      <c r="J254" s="382">
        <v>89</v>
      </c>
      <c r="K254" s="351">
        <v>0</v>
      </c>
      <c r="L254" s="351">
        <v>136</v>
      </c>
      <c r="M254" s="351">
        <v>350</v>
      </c>
      <c r="N254" s="449">
        <f t="shared" si="26"/>
        <v>466.66549999999995</v>
      </c>
      <c r="O254" s="814">
        <f t="shared" si="27"/>
        <v>583.331875</v>
      </c>
      <c r="P254" s="359">
        <f t="shared" si="19"/>
        <v>2031</v>
      </c>
      <c r="Q254" s="27">
        <v>0</v>
      </c>
      <c r="R254" s="25">
        <v>0</v>
      </c>
      <c r="S254" s="25">
        <v>0</v>
      </c>
      <c r="T254" s="360"/>
    </row>
    <row r="255" spans="1:20" ht="12.75">
      <c r="A255" s="25">
        <v>912</v>
      </c>
      <c r="B255" s="26" t="s">
        <v>247</v>
      </c>
      <c r="C255" s="25">
        <v>1782</v>
      </c>
      <c r="D255" s="155">
        <v>64</v>
      </c>
      <c r="E255" s="155">
        <v>64</v>
      </c>
      <c r="F255" s="284">
        <f t="shared" si="25"/>
        <v>64</v>
      </c>
      <c r="G255" s="284">
        <v>64</v>
      </c>
      <c r="H255" s="284">
        <v>64</v>
      </c>
      <c r="I255" s="382">
        <f t="shared" si="20"/>
        <v>912</v>
      </c>
      <c r="J255" s="382">
        <v>64</v>
      </c>
      <c r="K255" s="351">
        <v>0</v>
      </c>
      <c r="L255" s="351">
        <v>175</v>
      </c>
      <c r="M255" s="351">
        <v>349</v>
      </c>
      <c r="N255" s="449">
        <f t="shared" si="26"/>
        <v>465.33216999999996</v>
      </c>
      <c r="O255" s="814">
        <f t="shared" si="27"/>
        <v>581.6652124999999</v>
      </c>
      <c r="P255" s="359">
        <f t="shared" si="19"/>
        <v>2195</v>
      </c>
      <c r="Q255" s="27">
        <v>17</v>
      </c>
      <c r="R255" s="25">
        <v>0</v>
      </c>
      <c r="S255" s="25">
        <v>0</v>
      </c>
      <c r="T255" s="360"/>
    </row>
    <row r="256" spans="1:20" ht="12.75">
      <c r="A256" s="25">
        <v>913</v>
      </c>
      <c r="B256" s="26" t="s">
        <v>248</v>
      </c>
      <c r="C256" s="25">
        <v>1700</v>
      </c>
      <c r="D256" s="155">
        <v>75</v>
      </c>
      <c r="E256" s="155">
        <v>75</v>
      </c>
      <c r="F256" s="284">
        <f t="shared" si="25"/>
        <v>75</v>
      </c>
      <c r="G256" s="284">
        <v>75</v>
      </c>
      <c r="H256" s="284">
        <v>75</v>
      </c>
      <c r="I256" s="382">
        <f t="shared" si="20"/>
        <v>913</v>
      </c>
      <c r="J256" s="382">
        <v>75</v>
      </c>
      <c r="K256" s="351">
        <v>0</v>
      </c>
      <c r="L256" s="351">
        <v>155</v>
      </c>
      <c r="M256" s="351">
        <v>310</v>
      </c>
      <c r="N256" s="449">
        <f t="shared" si="26"/>
        <v>413.3323</v>
      </c>
      <c r="O256" s="814">
        <f t="shared" si="27"/>
        <v>516.6653749999999</v>
      </c>
      <c r="P256" s="359">
        <f t="shared" si="19"/>
        <v>2085</v>
      </c>
      <c r="Q256" s="27">
        <v>0</v>
      </c>
      <c r="R256" s="25">
        <v>0</v>
      </c>
      <c r="S256" s="25">
        <v>0</v>
      </c>
      <c r="T256" s="368">
        <v>769</v>
      </c>
    </row>
    <row r="257" spans="1:20" ht="12.75">
      <c r="A257" s="25">
        <v>914</v>
      </c>
      <c r="B257" s="26" t="s">
        <v>249</v>
      </c>
      <c r="C257" s="25">
        <v>1600</v>
      </c>
      <c r="D257" s="155">
        <v>88</v>
      </c>
      <c r="E257" s="155">
        <v>88</v>
      </c>
      <c r="F257" s="284">
        <f t="shared" si="25"/>
        <v>88</v>
      </c>
      <c r="G257" s="284">
        <v>88</v>
      </c>
      <c r="H257" s="284">
        <v>88</v>
      </c>
      <c r="I257" s="382">
        <f t="shared" si="20"/>
        <v>914</v>
      </c>
      <c r="J257" s="382">
        <v>88</v>
      </c>
      <c r="K257" s="351">
        <v>0</v>
      </c>
      <c r="L257" s="351">
        <v>116</v>
      </c>
      <c r="M257" s="351">
        <v>232</v>
      </c>
      <c r="N257" s="449">
        <f t="shared" si="26"/>
        <v>309.33256</v>
      </c>
      <c r="O257" s="814">
        <f t="shared" si="27"/>
        <v>386.6657</v>
      </c>
      <c r="P257" s="359">
        <f t="shared" si="19"/>
        <v>1920</v>
      </c>
      <c r="Q257" s="27">
        <v>0</v>
      </c>
      <c r="R257" s="25">
        <v>0</v>
      </c>
      <c r="S257" s="25">
        <v>0</v>
      </c>
      <c r="T257" s="368">
        <v>738</v>
      </c>
    </row>
    <row r="258" spans="1:20" ht="12.75">
      <c r="A258" s="25">
        <v>915</v>
      </c>
      <c r="B258" s="26" t="s">
        <v>250</v>
      </c>
      <c r="C258" s="25">
        <v>1700</v>
      </c>
      <c r="D258" s="155">
        <v>75</v>
      </c>
      <c r="E258" s="155">
        <v>75</v>
      </c>
      <c r="F258" s="284">
        <f t="shared" si="25"/>
        <v>75</v>
      </c>
      <c r="G258" s="284">
        <v>75</v>
      </c>
      <c r="H258" s="284">
        <v>75</v>
      </c>
      <c r="I258" s="382">
        <f t="shared" si="20"/>
        <v>915</v>
      </c>
      <c r="J258" s="382">
        <v>75</v>
      </c>
      <c r="K258" s="351">
        <v>0</v>
      </c>
      <c r="L258" s="351">
        <v>155</v>
      </c>
      <c r="M258" s="351">
        <v>233</v>
      </c>
      <c r="N258" s="449">
        <f t="shared" si="26"/>
        <v>310.66589</v>
      </c>
      <c r="O258" s="814">
        <f t="shared" si="27"/>
        <v>388.3323625</v>
      </c>
      <c r="P258" s="359">
        <f t="shared" si="19"/>
        <v>2008</v>
      </c>
      <c r="Q258" s="27">
        <v>150</v>
      </c>
      <c r="R258" s="25">
        <v>0</v>
      </c>
      <c r="S258" s="25">
        <v>0</v>
      </c>
      <c r="T258" s="360"/>
    </row>
    <row r="259" spans="1:20" ht="12.75">
      <c r="A259" s="25">
        <v>916</v>
      </c>
      <c r="B259" s="26" t="s">
        <v>251</v>
      </c>
      <c r="C259" s="25">
        <v>1300</v>
      </c>
      <c r="D259" s="155">
        <v>127</v>
      </c>
      <c r="E259" s="155">
        <v>127</v>
      </c>
      <c r="F259" s="284">
        <f t="shared" si="25"/>
        <v>127</v>
      </c>
      <c r="G259" s="284">
        <v>127</v>
      </c>
      <c r="H259" s="284">
        <v>127</v>
      </c>
      <c r="I259" s="382">
        <f t="shared" si="20"/>
        <v>916</v>
      </c>
      <c r="J259" s="382">
        <v>127</v>
      </c>
      <c r="K259" s="351">
        <v>0</v>
      </c>
      <c r="L259" s="351">
        <v>116</v>
      </c>
      <c r="M259" s="351">
        <v>233</v>
      </c>
      <c r="N259" s="449">
        <f t="shared" si="26"/>
        <v>310.66589</v>
      </c>
      <c r="O259" s="814">
        <f t="shared" si="27"/>
        <v>388.3323625</v>
      </c>
      <c r="P259" s="359">
        <f t="shared" si="19"/>
        <v>1660</v>
      </c>
      <c r="Q259" s="27">
        <v>0</v>
      </c>
      <c r="R259" s="25">
        <v>0</v>
      </c>
      <c r="S259" s="25">
        <v>0</v>
      </c>
      <c r="T259" s="360"/>
    </row>
    <row r="260" spans="1:20" ht="12.75">
      <c r="A260" s="25">
        <v>917</v>
      </c>
      <c r="B260" s="26" t="s">
        <v>252</v>
      </c>
      <c r="C260" s="25">
        <v>971</v>
      </c>
      <c r="D260" s="155">
        <v>170</v>
      </c>
      <c r="E260" s="383">
        <v>216</v>
      </c>
      <c r="F260" s="284">
        <v>261</v>
      </c>
      <c r="G260" s="351">
        <v>327</v>
      </c>
      <c r="H260" s="351">
        <v>350</v>
      </c>
      <c r="I260" s="382">
        <f t="shared" si="20"/>
        <v>917</v>
      </c>
      <c r="J260" s="382">
        <v>414.7</v>
      </c>
      <c r="K260" s="351">
        <v>0</v>
      </c>
      <c r="L260" s="351">
        <v>0</v>
      </c>
      <c r="M260" s="351">
        <v>0</v>
      </c>
      <c r="N260" s="449">
        <f>M260</f>
        <v>0</v>
      </c>
      <c r="O260" s="815">
        <f aca="true" t="shared" si="28" ref="O260:O271">N260</f>
        <v>0</v>
      </c>
      <c r="P260" s="359">
        <f aca="true" t="shared" si="29" ref="P260:P323">C260+G260+M260</f>
        <v>1298</v>
      </c>
      <c r="Q260" s="27">
        <v>0</v>
      </c>
      <c r="R260" s="25">
        <v>0</v>
      </c>
      <c r="S260" s="25">
        <v>0</v>
      </c>
      <c r="T260" s="360"/>
    </row>
    <row r="261" spans="1:20" ht="12.75">
      <c r="A261" s="25">
        <v>918</v>
      </c>
      <c r="B261" s="26" t="s">
        <v>156</v>
      </c>
      <c r="C261" s="25">
        <v>971</v>
      </c>
      <c r="D261" s="155">
        <v>170</v>
      </c>
      <c r="E261" s="383">
        <v>216</v>
      </c>
      <c r="F261" s="284">
        <v>261</v>
      </c>
      <c r="G261" s="351">
        <v>327</v>
      </c>
      <c r="H261" s="351">
        <v>350</v>
      </c>
      <c r="I261" s="382">
        <f t="shared" si="20"/>
        <v>918</v>
      </c>
      <c r="J261" s="382">
        <v>414.7</v>
      </c>
      <c r="K261" s="351">
        <v>0</v>
      </c>
      <c r="L261" s="351">
        <v>0</v>
      </c>
      <c r="M261" s="351">
        <v>0</v>
      </c>
      <c r="N261" s="449">
        <f aca="true" t="shared" si="30" ref="N261:O324">M261</f>
        <v>0</v>
      </c>
      <c r="O261" s="815">
        <f t="shared" si="28"/>
        <v>0</v>
      </c>
      <c r="P261" s="359">
        <f t="shared" si="29"/>
        <v>1298</v>
      </c>
      <c r="Q261" s="27">
        <v>150</v>
      </c>
      <c r="R261" s="25">
        <v>0</v>
      </c>
      <c r="S261" s="25">
        <v>0</v>
      </c>
      <c r="T261" s="360"/>
    </row>
    <row r="262" spans="1:20" ht="12.75">
      <c r="A262" s="25">
        <v>919</v>
      </c>
      <c r="B262" s="26" t="s">
        <v>253</v>
      </c>
      <c r="C262" s="25">
        <v>971</v>
      </c>
      <c r="D262" s="155">
        <v>170</v>
      </c>
      <c r="E262" s="383">
        <v>216</v>
      </c>
      <c r="F262" s="284">
        <v>261</v>
      </c>
      <c r="G262" s="351">
        <v>327</v>
      </c>
      <c r="H262" s="351">
        <v>350</v>
      </c>
      <c r="I262" s="382">
        <f t="shared" si="20"/>
        <v>919</v>
      </c>
      <c r="J262" s="382">
        <v>414.7</v>
      </c>
      <c r="K262" s="351">
        <v>0</v>
      </c>
      <c r="L262" s="351">
        <v>0</v>
      </c>
      <c r="M262" s="351">
        <v>0</v>
      </c>
      <c r="N262" s="449">
        <f t="shared" si="30"/>
        <v>0</v>
      </c>
      <c r="O262" s="815">
        <f t="shared" si="28"/>
        <v>0</v>
      </c>
      <c r="P262" s="359">
        <f t="shared" si="29"/>
        <v>1298</v>
      </c>
      <c r="Q262" s="27">
        <v>17</v>
      </c>
      <c r="R262" s="25">
        <v>0</v>
      </c>
      <c r="S262" s="25">
        <v>0</v>
      </c>
      <c r="T262" s="360"/>
    </row>
    <row r="263" spans="1:20" ht="12.75">
      <c r="A263" s="25">
        <v>920</v>
      </c>
      <c r="B263" s="26" t="s">
        <v>254</v>
      </c>
      <c r="C263" s="25">
        <v>971</v>
      </c>
      <c r="D263" s="155">
        <v>170</v>
      </c>
      <c r="E263" s="383">
        <v>216</v>
      </c>
      <c r="F263" s="284">
        <v>261</v>
      </c>
      <c r="G263" s="351">
        <v>327</v>
      </c>
      <c r="H263" s="351">
        <v>350</v>
      </c>
      <c r="I263" s="382">
        <f aca="true" t="shared" si="31" ref="I263:I326">A263</f>
        <v>920</v>
      </c>
      <c r="J263" s="382">
        <v>414.7</v>
      </c>
      <c r="K263" s="351">
        <v>0</v>
      </c>
      <c r="L263" s="351">
        <v>0</v>
      </c>
      <c r="M263" s="351">
        <v>0</v>
      </c>
      <c r="N263" s="449">
        <f t="shared" si="30"/>
        <v>0</v>
      </c>
      <c r="O263" s="815">
        <f t="shared" si="28"/>
        <v>0</v>
      </c>
      <c r="P263" s="359">
        <f t="shared" si="29"/>
        <v>1298</v>
      </c>
      <c r="Q263" s="27">
        <v>150</v>
      </c>
      <c r="R263" s="25">
        <v>0</v>
      </c>
      <c r="S263" s="25">
        <v>0</v>
      </c>
      <c r="T263" s="360"/>
    </row>
    <row r="264" spans="1:20" ht="12.75">
      <c r="A264" s="25">
        <v>921</v>
      </c>
      <c r="B264" s="26" t="s">
        <v>255</v>
      </c>
      <c r="C264" s="25">
        <v>971</v>
      </c>
      <c r="D264" s="155">
        <v>170</v>
      </c>
      <c r="E264" s="383">
        <v>216</v>
      </c>
      <c r="F264" s="284">
        <v>261</v>
      </c>
      <c r="G264" s="351">
        <v>327</v>
      </c>
      <c r="H264" s="351">
        <v>350</v>
      </c>
      <c r="I264" s="382">
        <f t="shared" si="31"/>
        <v>921</v>
      </c>
      <c r="J264" s="382">
        <v>414.7</v>
      </c>
      <c r="K264" s="351">
        <v>0</v>
      </c>
      <c r="L264" s="351">
        <v>0</v>
      </c>
      <c r="M264" s="351">
        <v>0</v>
      </c>
      <c r="N264" s="449">
        <f t="shared" si="30"/>
        <v>0</v>
      </c>
      <c r="O264" s="815">
        <f t="shared" si="28"/>
        <v>0</v>
      </c>
      <c r="P264" s="359">
        <f t="shared" si="29"/>
        <v>1298</v>
      </c>
      <c r="Q264" s="27">
        <v>0</v>
      </c>
      <c r="R264" s="25">
        <v>0</v>
      </c>
      <c r="S264" s="25">
        <v>0</v>
      </c>
      <c r="T264" s="360"/>
    </row>
    <row r="265" spans="1:20" ht="12.75">
      <c r="A265" s="25">
        <v>922</v>
      </c>
      <c r="B265" s="26" t="s">
        <v>256</v>
      </c>
      <c r="C265" s="25">
        <v>971</v>
      </c>
      <c r="D265" s="155">
        <v>170</v>
      </c>
      <c r="E265" s="383">
        <v>216</v>
      </c>
      <c r="F265" s="284">
        <v>261</v>
      </c>
      <c r="G265" s="351">
        <v>327</v>
      </c>
      <c r="H265" s="351">
        <v>350</v>
      </c>
      <c r="I265" s="382">
        <f t="shared" si="31"/>
        <v>922</v>
      </c>
      <c r="J265" s="382">
        <v>414.7</v>
      </c>
      <c r="K265" s="351">
        <v>0</v>
      </c>
      <c r="L265" s="351">
        <v>0</v>
      </c>
      <c r="M265" s="351">
        <v>0</v>
      </c>
      <c r="N265" s="449">
        <f t="shared" si="30"/>
        <v>0</v>
      </c>
      <c r="O265" s="815">
        <f t="shared" si="28"/>
        <v>0</v>
      </c>
      <c r="P265" s="359">
        <f t="shared" si="29"/>
        <v>1298</v>
      </c>
      <c r="Q265" s="27">
        <v>0</v>
      </c>
      <c r="R265" s="25">
        <v>0</v>
      </c>
      <c r="S265" s="25">
        <v>0</v>
      </c>
      <c r="T265" s="360"/>
    </row>
    <row r="266" spans="1:20" ht="12.75">
      <c r="A266" s="25">
        <v>923</v>
      </c>
      <c r="B266" s="26" t="s">
        <v>257</v>
      </c>
      <c r="C266" s="25">
        <v>971</v>
      </c>
      <c r="D266" s="155">
        <v>170</v>
      </c>
      <c r="E266" s="383">
        <v>216</v>
      </c>
      <c r="F266" s="284">
        <v>261</v>
      </c>
      <c r="G266" s="351">
        <v>327</v>
      </c>
      <c r="H266" s="351">
        <v>350</v>
      </c>
      <c r="I266" s="382">
        <f t="shared" si="31"/>
        <v>923</v>
      </c>
      <c r="J266" s="382">
        <v>414.7</v>
      </c>
      <c r="K266" s="351">
        <v>0</v>
      </c>
      <c r="L266" s="351">
        <v>0</v>
      </c>
      <c r="M266" s="351">
        <v>0</v>
      </c>
      <c r="N266" s="449">
        <f t="shared" si="30"/>
        <v>0</v>
      </c>
      <c r="O266" s="815">
        <f t="shared" si="28"/>
        <v>0</v>
      </c>
      <c r="P266" s="359">
        <f t="shared" si="29"/>
        <v>1298</v>
      </c>
      <c r="Q266" s="27">
        <v>0</v>
      </c>
      <c r="R266" s="25">
        <v>0</v>
      </c>
      <c r="S266" s="25">
        <v>0</v>
      </c>
      <c r="T266" s="360"/>
    </row>
    <row r="267" spans="1:20" ht="12.75">
      <c r="A267" s="25">
        <v>924</v>
      </c>
      <c r="B267" s="26" t="s">
        <v>258</v>
      </c>
      <c r="C267" s="25">
        <v>971</v>
      </c>
      <c r="D267" s="155">
        <v>170</v>
      </c>
      <c r="E267" s="383">
        <v>216</v>
      </c>
      <c r="F267" s="284">
        <v>261</v>
      </c>
      <c r="G267" s="351">
        <v>327</v>
      </c>
      <c r="H267" s="351">
        <v>350</v>
      </c>
      <c r="I267" s="382">
        <f t="shared" si="31"/>
        <v>924</v>
      </c>
      <c r="J267" s="382">
        <v>414.7</v>
      </c>
      <c r="K267" s="351">
        <v>0</v>
      </c>
      <c r="L267" s="351">
        <v>0</v>
      </c>
      <c r="M267" s="351">
        <v>0</v>
      </c>
      <c r="N267" s="449">
        <f t="shared" si="30"/>
        <v>0</v>
      </c>
      <c r="O267" s="815">
        <f t="shared" si="28"/>
        <v>0</v>
      </c>
      <c r="P267" s="359">
        <f t="shared" si="29"/>
        <v>1298</v>
      </c>
      <c r="Q267" s="27">
        <v>150</v>
      </c>
      <c r="R267" s="25">
        <v>0</v>
      </c>
      <c r="S267" s="25">
        <v>0</v>
      </c>
      <c r="T267" s="360"/>
    </row>
    <row r="268" spans="1:20" ht="12.75">
      <c r="A268" s="25">
        <v>925</v>
      </c>
      <c r="B268" s="26" t="s">
        <v>64</v>
      </c>
      <c r="C268" s="25">
        <v>971</v>
      </c>
      <c r="D268" s="155">
        <v>170</v>
      </c>
      <c r="E268" s="383">
        <v>216</v>
      </c>
      <c r="F268" s="284">
        <v>261</v>
      </c>
      <c r="G268" s="351">
        <v>327</v>
      </c>
      <c r="H268" s="351">
        <v>350</v>
      </c>
      <c r="I268" s="382">
        <f t="shared" si="31"/>
        <v>925</v>
      </c>
      <c r="J268" s="382">
        <v>414.7</v>
      </c>
      <c r="K268" s="351">
        <v>0</v>
      </c>
      <c r="L268" s="351">
        <v>0</v>
      </c>
      <c r="M268" s="351">
        <v>0</v>
      </c>
      <c r="N268" s="449">
        <f t="shared" si="30"/>
        <v>0</v>
      </c>
      <c r="O268" s="815">
        <f t="shared" si="28"/>
        <v>0</v>
      </c>
      <c r="P268" s="359">
        <f t="shared" si="29"/>
        <v>1298</v>
      </c>
      <c r="Q268" s="27">
        <v>0</v>
      </c>
      <c r="R268" s="25">
        <v>0</v>
      </c>
      <c r="S268" s="25">
        <v>0</v>
      </c>
      <c r="T268" s="360"/>
    </row>
    <row r="269" spans="1:20" ht="12.75">
      <c r="A269" s="25">
        <v>926</v>
      </c>
      <c r="B269" s="26" t="s">
        <v>180</v>
      </c>
      <c r="C269" s="25">
        <v>1500</v>
      </c>
      <c r="D269" s="155">
        <v>101</v>
      </c>
      <c r="E269" s="155">
        <v>101</v>
      </c>
      <c r="F269" s="284">
        <f>IF(C269&lt;972,E269+44,E269)</f>
        <v>101</v>
      </c>
      <c r="G269" s="284">
        <v>101</v>
      </c>
      <c r="H269" s="284">
        <v>101</v>
      </c>
      <c r="I269" s="382">
        <f t="shared" si="31"/>
        <v>926</v>
      </c>
      <c r="J269" s="382">
        <v>101</v>
      </c>
      <c r="K269" s="351">
        <v>0</v>
      </c>
      <c r="L269" s="351">
        <v>0</v>
      </c>
      <c r="M269" s="351">
        <v>0</v>
      </c>
      <c r="N269" s="449">
        <f t="shared" si="30"/>
        <v>0</v>
      </c>
      <c r="O269" s="815">
        <f t="shared" si="28"/>
        <v>0</v>
      </c>
      <c r="P269" s="359">
        <f t="shared" si="29"/>
        <v>1601</v>
      </c>
      <c r="Q269" s="27">
        <v>150</v>
      </c>
      <c r="R269" s="25">
        <v>0</v>
      </c>
      <c r="S269" s="25">
        <v>0</v>
      </c>
      <c r="T269" s="360"/>
    </row>
    <row r="270" spans="1:20" ht="12.75">
      <c r="A270" s="25">
        <v>928</v>
      </c>
      <c r="B270" s="26" t="s">
        <v>151</v>
      </c>
      <c r="C270" s="25">
        <v>1500</v>
      </c>
      <c r="D270" s="155">
        <v>101</v>
      </c>
      <c r="E270" s="155">
        <v>101</v>
      </c>
      <c r="F270" s="284">
        <f>IF(C270&lt;972,E270+44,E270)</f>
        <v>101</v>
      </c>
      <c r="G270" s="284">
        <v>101</v>
      </c>
      <c r="H270" s="284">
        <v>101</v>
      </c>
      <c r="I270" s="382">
        <f t="shared" si="31"/>
        <v>928</v>
      </c>
      <c r="J270" s="382">
        <v>101</v>
      </c>
      <c r="K270" s="351">
        <v>0</v>
      </c>
      <c r="L270" s="351">
        <v>0</v>
      </c>
      <c r="M270" s="351">
        <v>0</v>
      </c>
      <c r="N270" s="449">
        <f t="shared" si="30"/>
        <v>0</v>
      </c>
      <c r="O270" s="815">
        <f t="shared" si="28"/>
        <v>0</v>
      </c>
      <c r="P270" s="359">
        <f t="shared" si="29"/>
        <v>1601</v>
      </c>
      <c r="Q270" s="27">
        <v>150</v>
      </c>
      <c r="R270" s="25">
        <v>0</v>
      </c>
      <c r="S270" s="25">
        <v>0</v>
      </c>
      <c r="T270" s="360"/>
    </row>
    <row r="271" spans="1:20" ht="12.75">
      <c r="A271" s="25">
        <v>929</v>
      </c>
      <c r="B271" s="26" t="s">
        <v>259</v>
      </c>
      <c r="C271" s="25">
        <v>971</v>
      </c>
      <c r="D271" s="155">
        <v>170</v>
      </c>
      <c r="E271" s="383">
        <v>216</v>
      </c>
      <c r="F271" s="284">
        <v>261</v>
      </c>
      <c r="G271" s="351">
        <v>327</v>
      </c>
      <c r="H271" s="351">
        <v>350</v>
      </c>
      <c r="I271" s="382">
        <f t="shared" si="31"/>
        <v>929</v>
      </c>
      <c r="J271" s="382">
        <v>414.7</v>
      </c>
      <c r="K271" s="351">
        <v>0</v>
      </c>
      <c r="L271" s="351">
        <v>0</v>
      </c>
      <c r="M271" s="351">
        <v>0</v>
      </c>
      <c r="N271" s="449">
        <f t="shared" si="30"/>
        <v>0</v>
      </c>
      <c r="O271" s="815">
        <f t="shared" si="28"/>
        <v>0</v>
      </c>
      <c r="P271" s="359">
        <f t="shared" si="29"/>
        <v>1298</v>
      </c>
      <c r="Q271" s="27">
        <v>150</v>
      </c>
      <c r="R271" s="25">
        <v>0</v>
      </c>
      <c r="S271" s="25">
        <v>0</v>
      </c>
      <c r="T271" s="360"/>
    </row>
    <row r="272" spans="1:20" ht="12.75">
      <c r="A272" s="25">
        <v>930</v>
      </c>
      <c r="B272" s="26" t="s">
        <v>260</v>
      </c>
      <c r="C272" s="25">
        <v>1592</v>
      </c>
      <c r="D272" s="155">
        <v>89</v>
      </c>
      <c r="E272" s="155">
        <v>89</v>
      </c>
      <c r="F272" s="284">
        <f>IF(C272&lt;972,E272+44,E272)</f>
        <v>89</v>
      </c>
      <c r="G272" s="284">
        <v>89</v>
      </c>
      <c r="H272" s="284">
        <v>89</v>
      </c>
      <c r="I272" s="382">
        <f t="shared" si="31"/>
        <v>930</v>
      </c>
      <c r="J272" s="382">
        <v>89</v>
      </c>
      <c r="K272" s="351">
        <v>0</v>
      </c>
      <c r="L272" s="351">
        <v>0</v>
      </c>
      <c r="M272" s="351">
        <v>233</v>
      </c>
      <c r="N272" s="449">
        <f>M272*1.33333</f>
        <v>310.66589</v>
      </c>
      <c r="O272" s="814">
        <f t="shared" si="27"/>
        <v>388.3323625</v>
      </c>
      <c r="P272" s="359">
        <f t="shared" si="29"/>
        <v>1914</v>
      </c>
      <c r="Q272" s="27">
        <v>0</v>
      </c>
      <c r="R272" s="25">
        <v>0</v>
      </c>
      <c r="S272" s="25">
        <v>0</v>
      </c>
      <c r="T272" s="360"/>
    </row>
    <row r="273" spans="1:20" ht="12.75">
      <c r="A273" s="25">
        <v>931</v>
      </c>
      <c r="B273" s="26" t="s">
        <v>261</v>
      </c>
      <c r="C273" s="25">
        <v>971</v>
      </c>
      <c r="D273" s="155">
        <v>170</v>
      </c>
      <c r="E273" s="383">
        <v>216</v>
      </c>
      <c r="F273" s="284">
        <v>261</v>
      </c>
      <c r="G273" s="351">
        <v>327</v>
      </c>
      <c r="H273" s="351">
        <v>350</v>
      </c>
      <c r="I273" s="382">
        <f t="shared" si="31"/>
        <v>931</v>
      </c>
      <c r="J273" s="382">
        <v>414.7</v>
      </c>
      <c r="K273" s="351">
        <v>0</v>
      </c>
      <c r="L273" s="351">
        <v>0</v>
      </c>
      <c r="M273" s="351">
        <v>0</v>
      </c>
      <c r="N273" s="449">
        <f t="shared" si="30"/>
        <v>0</v>
      </c>
      <c r="O273" s="815">
        <f t="shared" si="30"/>
        <v>0</v>
      </c>
      <c r="P273" s="359">
        <f t="shared" si="29"/>
        <v>1298</v>
      </c>
      <c r="Q273" s="27">
        <v>0</v>
      </c>
      <c r="R273" s="25">
        <v>0</v>
      </c>
      <c r="S273" s="25">
        <v>0</v>
      </c>
      <c r="T273" s="360"/>
    </row>
    <row r="274" spans="1:20" ht="14.25">
      <c r="A274" s="25">
        <v>932</v>
      </c>
      <c r="B274" s="26" t="s">
        <v>262</v>
      </c>
      <c r="C274" s="25">
        <v>2220</v>
      </c>
      <c r="D274" s="155">
        <v>7</v>
      </c>
      <c r="E274" s="155">
        <v>7</v>
      </c>
      <c r="F274" s="284">
        <f>IF(C274&lt;972,E274+44,E274)</f>
        <v>7</v>
      </c>
      <c r="G274" s="284">
        <v>7</v>
      </c>
      <c r="H274" s="284">
        <v>7</v>
      </c>
      <c r="I274" s="382">
        <f t="shared" si="31"/>
        <v>932</v>
      </c>
      <c r="J274" s="382">
        <v>7</v>
      </c>
      <c r="K274" s="351">
        <v>0</v>
      </c>
      <c r="L274" s="351">
        <v>0</v>
      </c>
      <c r="M274" s="378">
        <v>521.4</v>
      </c>
      <c r="N274" s="449">
        <f t="shared" si="30"/>
        <v>521.4</v>
      </c>
      <c r="O274" s="815">
        <f t="shared" si="30"/>
        <v>521.4</v>
      </c>
      <c r="P274" s="359">
        <f t="shared" si="29"/>
        <v>2748.4</v>
      </c>
      <c r="Q274" s="27">
        <v>0</v>
      </c>
      <c r="R274" s="25">
        <v>0</v>
      </c>
      <c r="S274" s="25">
        <v>0</v>
      </c>
      <c r="T274" s="360"/>
    </row>
    <row r="275" spans="1:20" ht="14.25">
      <c r="A275" s="32">
        <v>933</v>
      </c>
      <c r="B275" s="33" t="s">
        <v>263</v>
      </c>
      <c r="C275" s="32">
        <v>1580</v>
      </c>
      <c r="D275" s="155">
        <v>90</v>
      </c>
      <c r="E275" s="155">
        <v>90</v>
      </c>
      <c r="F275" s="284">
        <f>IF(C275&lt;972,E275+44,E275)</f>
        <v>90</v>
      </c>
      <c r="G275" s="284">
        <v>90</v>
      </c>
      <c r="H275" s="284">
        <v>90</v>
      </c>
      <c r="I275" s="382">
        <f t="shared" si="31"/>
        <v>933</v>
      </c>
      <c r="J275" s="382">
        <v>90</v>
      </c>
      <c r="K275" s="351">
        <v>0</v>
      </c>
      <c r="L275" s="351">
        <v>0</v>
      </c>
      <c r="M275" s="378">
        <v>347.6</v>
      </c>
      <c r="N275" s="449">
        <f t="shared" si="30"/>
        <v>347.6</v>
      </c>
      <c r="O275" s="815">
        <f t="shared" si="30"/>
        <v>347.6</v>
      </c>
      <c r="P275" s="359">
        <f t="shared" si="29"/>
        <v>2017.6</v>
      </c>
      <c r="Q275" s="34">
        <v>0</v>
      </c>
      <c r="R275" s="32">
        <v>0</v>
      </c>
      <c r="S275" s="32">
        <v>0</v>
      </c>
      <c r="T275" s="360"/>
    </row>
    <row r="276" spans="1:20" ht="12.75">
      <c r="A276" s="25">
        <v>934</v>
      </c>
      <c r="B276" s="26" t="s">
        <v>264</v>
      </c>
      <c r="C276" s="25">
        <v>922</v>
      </c>
      <c r="D276" s="155">
        <v>176</v>
      </c>
      <c r="E276" s="383">
        <v>216</v>
      </c>
      <c r="F276" s="284">
        <v>261</v>
      </c>
      <c r="G276" s="351">
        <v>327</v>
      </c>
      <c r="H276" s="351">
        <v>350</v>
      </c>
      <c r="I276" s="382">
        <f t="shared" si="31"/>
        <v>934</v>
      </c>
      <c r="J276" s="382">
        <v>414.7</v>
      </c>
      <c r="K276" s="351">
        <v>0</v>
      </c>
      <c r="L276" s="351">
        <v>0</v>
      </c>
      <c r="M276" s="351">
        <v>0</v>
      </c>
      <c r="N276" s="449">
        <f t="shared" si="30"/>
        <v>0</v>
      </c>
      <c r="O276" s="815">
        <f t="shared" si="30"/>
        <v>0</v>
      </c>
      <c r="P276" s="359">
        <f t="shared" si="29"/>
        <v>1249</v>
      </c>
      <c r="Q276" s="27">
        <v>0</v>
      </c>
      <c r="R276" s="25">
        <v>0</v>
      </c>
      <c r="S276" s="25">
        <v>0</v>
      </c>
      <c r="T276" s="360"/>
    </row>
    <row r="277" spans="1:20" ht="12.75">
      <c r="A277" s="25">
        <v>935</v>
      </c>
      <c r="B277" s="26" t="s">
        <v>265</v>
      </c>
      <c r="C277" s="25">
        <v>971</v>
      </c>
      <c r="D277" s="155">
        <v>170</v>
      </c>
      <c r="E277" s="383">
        <v>216</v>
      </c>
      <c r="F277" s="284">
        <v>261</v>
      </c>
      <c r="G277" s="351">
        <v>327</v>
      </c>
      <c r="H277" s="351">
        <v>350</v>
      </c>
      <c r="I277" s="382">
        <f t="shared" si="31"/>
        <v>935</v>
      </c>
      <c r="J277" s="382">
        <v>414.7</v>
      </c>
      <c r="K277" s="351">
        <v>0</v>
      </c>
      <c r="L277" s="351">
        <v>0</v>
      </c>
      <c r="M277" s="351">
        <v>0</v>
      </c>
      <c r="N277" s="449">
        <f t="shared" si="30"/>
        <v>0</v>
      </c>
      <c r="O277" s="815">
        <f t="shared" si="30"/>
        <v>0</v>
      </c>
      <c r="P277" s="359">
        <f t="shared" si="29"/>
        <v>1298</v>
      </c>
      <c r="Q277" s="27">
        <v>0</v>
      </c>
      <c r="R277" s="25">
        <v>0</v>
      </c>
      <c r="S277" s="25">
        <v>0</v>
      </c>
      <c r="T277" s="360"/>
    </row>
    <row r="278" spans="1:20" ht="12.75">
      <c r="A278" s="25">
        <v>936</v>
      </c>
      <c r="B278" s="26" t="s">
        <v>266</v>
      </c>
      <c r="C278" s="25">
        <v>1250</v>
      </c>
      <c r="D278" s="155">
        <v>134</v>
      </c>
      <c r="E278" s="155">
        <v>134</v>
      </c>
      <c r="F278" s="284">
        <f>IF(C278&lt;972,E278+44,E278)</f>
        <v>134</v>
      </c>
      <c r="G278" s="284">
        <v>134</v>
      </c>
      <c r="H278" s="284">
        <v>134</v>
      </c>
      <c r="I278" s="382">
        <f t="shared" si="31"/>
        <v>936</v>
      </c>
      <c r="J278" s="382">
        <v>134</v>
      </c>
      <c r="K278" s="351">
        <v>0</v>
      </c>
      <c r="L278" s="351">
        <v>0</v>
      </c>
      <c r="M278" s="351">
        <v>0</v>
      </c>
      <c r="N278" s="449">
        <f t="shared" si="30"/>
        <v>0</v>
      </c>
      <c r="O278" s="815">
        <f t="shared" si="30"/>
        <v>0</v>
      </c>
      <c r="P278" s="359">
        <f t="shared" si="29"/>
        <v>1384</v>
      </c>
      <c r="Q278" s="27">
        <v>0</v>
      </c>
      <c r="R278" s="25">
        <v>0</v>
      </c>
      <c r="S278" s="25">
        <v>0</v>
      </c>
      <c r="T278" s="360"/>
    </row>
    <row r="279" spans="1:20" ht="12.75">
      <c r="A279" s="29">
        <v>937</v>
      </c>
      <c r="B279" s="30" t="s">
        <v>267</v>
      </c>
      <c r="C279" s="29">
        <v>971</v>
      </c>
      <c r="D279" s="155">
        <v>170</v>
      </c>
      <c r="E279" s="383">
        <v>216</v>
      </c>
      <c r="F279" s="284">
        <v>261</v>
      </c>
      <c r="G279" s="351">
        <v>327</v>
      </c>
      <c r="H279" s="351">
        <v>350</v>
      </c>
      <c r="I279" s="382">
        <f t="shared" si="31"/>
        <v>937</v>
      </c>
      <c r="J279" s="382">
        <v>414.7</v>
      </c>
      <c r="K279" s="351">
        <v>0</v>
      </c>
      <c r="L279" s="351">
        <v>0</v>
      </c>
      <c r="M279" s="351">
        <v>0</v>
      </c>
      <c r="N279" s="449">
        <f t="shared" si="30"/>
        <v>0</v>
      </c>
      <c r="O279" s="815">
        <f t="shared" si="30"/>
        <v>0</v>
      </c>
      <c r="P279" s="359">
        <f t="shared" si="29"/>
        <v>1298</v>
      </c>
      <c r="Q279" s="31">
        <v>0</v>
      </c>
      <c r="R279" s="29">
        <v>0</v>
      </c>
      <c r="S279" s="29">
        <v>0</v>
      </c>
      <c r="T279" s="360"/>
    </row>
    <row r="280" spans="1:20" ht="12.75">
      <c r="A280" s="25">
        <v>940</v>
      </c>
      <c r="B280" s="26" t="s">
        <v>268</v>
      </c>
      <c r="C280" s="25">
        <v>1692</v>
      </c>
      <c r="D280" s="155">
        <v>76</v>
      </c>
      <c r="E280" s="155">
        <v>76</v>
      </c>
      <c r="F280" s="284">
        <f aca="true" t="shared" si="32" ref="F280:F285">IF(C280&lt;972,E280+44,E280)</f>
        <v>76</v>
      </c>
      <c r="G280" s="284">
        <v>76</v>
      </c>
      <c r="H280" s="284">
        <v>76</v>
      </c>
      <c r="I280" s="382">
        <f t="shared" si="31"/>
        <v>940</v>
      </c>
      <c r="J280" s="382">
        <v>76</v>
      </c>
      <c r="K280" s="351">
        <v>0</v>
      </c>
      <c r="L280" s="351">
        <v>0</v>
      </c>
      <c r="M280" s="351">
        <v>272</v>
      </c>
      <c r="N280" s="449">
        <f>M280*1.33333</f>
        <v>362.66576</v>
      </c>
      <c r="O280" s="815">
        <f t="shared" si="30"/>
        <v>362.66576</v>
      </c>
      <c r="P280" s="359">
        <f t="shared" si="29"/>
        <v>2040</v>
      </c>
      <c r="Q280" s="27">
        <v>0</v>
      </c>
      <c r="R280" s="25">
        <v>0</v>
      </c>
      <c r="S280" s="25">
        <v>0</v>
      </c>
      <c r="T280" s="360"/>
    </row>
    <row r="281" spans="1:20" ht="12.75">
      <c r="A281" s="25">
        <v>941</v>
      </c>
      <c r="B281" s="26" t="s">
        <v>269</v>
      </c>
      <c r="C281" s="25">
        <v>1942</v>
      </c>
      <c r="D281" s="155">
        <v>43</v>
      </c>
      <c r="E281" s="155">
        <v>43</v>
      </c>
      <c r="F281" s="284">
        <f t="shared" si="32"/>
        <v>43</v>
      </c>
      <c r="G281" s="284">
        <v>43</v>
      </c>
      <c r="H281" s="284">
        <v>43</v>
      </c>
      <c r="I281" s="382">
        <f t="shared" si="31"/>
        <v>941</v>
      </c>
      <c r="J281" s="382">
        <v>43</v>
      </c>
      <c r="K281" s="351">
        <v>0</v>
      </c>
      <c r="L281" s="351">
        <v>194</v>
      </c>
      <c r="M281" s="351">
        <v>388</v>
      </c>
      <c r="N281" s="449">
        <f>M281*1.33333</f>
        <v>517.33204</v>
      </c>
      <c r="O281" s="815">
        <f t="shared" si="30"/>
        <v>517.33204</v>
      </c>
      <c r="P281" s="359">
        <f t="shared" si="29"/>
        <v>2373</v>
      </c>
      <c r="Q281" s="27">
        <v>0</v>
      </c>
      <c r="R281" s="25">
        <v>0</v>
      </c>
      <c r="S281" s="25">
        <v>0</v>
      </c>
      <c r="T281" s="360"/>
    </row>
    <row r="282" spans="1:20" ht="12.75">
      <c r="A282" s="25">
        <v>942</v>
      </c>
      <c r="B282" s="26" t="s">
        <v>270</v>
      </c>
      <c r="C282" s="25">
        <v>1782</v>
      </c>
      <c r="D282" s="155">
        <v>64</v>
      </c>
      <c r="E282" s="155">
        <v>64</v>
      </c>
      <c r="F282" s="284">
        <f t="shared" si="32"/>
        <v>64</v>
      </c>
      <c r="G282" s="284">
        <v>64</v>
      </c>
      <c r="H282" s="284">
        <v>64</v>
      </c>
      <c r="I282" s="382">
        <f t="shared" si="31"/>
        <v>942</v>
      </c>
      <c r="J282" s="382">
        <v>64</v>
      </c>
      <c r="K282" s="351">
        <v>0</v>
      </c>
      <c r="L282" s="351">
        <v>0</v>
      </c>
      <c r="M282" s="351">
        <v>349</v>
      </c>
      <c r="N282" s="449">
        <f>M282*1.33333</f>
        <v>465.33216999999996</v>
      </c>
      <c r="O282" s="815">
        <f t="shared" si="30"/>
        <v>465.33216999999996</v>
      </c>
      <c r="P282" s="359">
        <f t="shared" si="29"/>
        <v>2195</v>
      </c>
      <c r="Q282" s="27">
        <v>0</v>
      </c>
      <c r="R282" s="25">
        <v>0</v>
      </c>
      <c r="S282" s="25">
        <v>0</v>
      </c>
      <c r="T282" s="360"/>
    </row>
    <row r="283" spans="1:20" ht="12.75">
      <c r="A283" s="25">
        <v>943</v>
      </c>
      <c r="B283" s="26" t="s">
        <v>179</v>
      </c>
      <c r="C283" s="25">
        <v>1500</v>
      </c>
      <c r="D283" s="155">
        <v>101</v>
      </c>
      <c r="E283" s="155">
        <v>101</v>
      </c>
      <c r="F283" s="284">
        <f t="shared" si="32"/>
        <v>101</v>
      </c>
      <c r="G283" s="284">
        <v>101</v>
      </c>
      <c r="H283" s="284">
        <v>101</v>
      </c>
      <c r="I283" s="382">
        <f t="shared" si="31"/>
        <v>943</v>
      </c>
      <c r="J283" s="382">
        <v>101</v>
      </c>
      <c r="K283" s="351">
        <v>0</v>
      </c>
      <c r="L283" s="351">
        <v>0</v>
      </c>
      <c r="M283" s="351">
        <v>0</v>
      </c>
      <c r="N283" s="449">
        <f t="shared" si="30"/>
        <v>0</v>
      </c>
      <c r="O283" s="815">
        <f t="shared" si="30"/>
        <v>0</v>
      </c>
      <c r="P283" s="359">
        <f t="shared" si="29"/>
        <v>1601</v>
      </c>
      <c r="Q283" s="27">
        <v>150</v>
      </c>
      <c r="R283" s="25">
        <v>0</v>
      </c>
      <c r="S283" s="25">
        <v>0</v>
      </c>
      <c r="T283" s="360"/>
    </row>
    <row r="284" spans="1:20" ht="12.75">
      <c r="A284" s="25">
        <v>944</v>
      </c>
      <c r="B284" s="26" t="s">
        <v>271</v>
      </c>
      <c r="C284" s="25">
        <v>1400</v>
      </c>
      <c r="D284" s="155">
        <v>114</v>
      </c>
      <c r="E284" s="155">
        <v>114</v>
      </c>
      <c r="F284" s="284">
        <f t="shared" si="32"/>
        <v>114</v>
      </c>
      <c r="G284" s="284">
        <v>114</v>
      </c>
      <c r="H284" s="284">
        <v>114</v>
      </c>
      <c r="I284" s="382">
        <f t="shared" si="31"/>
        <v>944</v>
      </c>
      <c r="J284" s="382">
        <v>114</v>
      </c>
      <c r="K284" s="351">
        <v>0</v>
      </c>
      <c r="L284" s="351">
        <v>116</v>
      </c>
      <c r="M284" s="351">
        <v>233</v>
      </c>
      <c r="N284" s="449">
        <f>M284*1.33333</f>
        <v>310.66589</v>
      </c>
      <c r="O284" s="814">
        <f aca="true" t="shared" si="33" ref="O284:O298">N284*1.25</f>
        <v>388.3323625</v>
      </c>
      <c r="P284" s="359">
        <f t="shared" si="29"/>
        <v>1747</v>
      </c>
      <c r="Q284" s="27">
        <v>0</v>
      </c>
      <c r="R284" s="25">
        <v>0</v>
      </c>
      <c r="S284" s="25">
        <v>0</v>
      </c>
      <c r="T284" s="360"/>
    </row>
    <row r="285" spans="1:20" ht="12.75">
      <c r="A285" s="25">
        <v>945</v>
      </c>
      <c r="B285" s="26" t="s">
        <v>272</v>
      </c>
      <c r="C285" s="25">
        <v>1782</v>
      </c>
      <c r="D285" s="155">
        <v>64</v>
      </c>
      <c r="E285" s="155">
        <v>64</v>
      </c>
      <c r="F285" s="284">
        <f t="shared" si="32"/>
        <v>64</v>
      </c>
      <c r="G285" s="284">
        <v>64</v>
      </c>
      <c r="H285" s="284">
        <v>64</v>
      </c>
      <c r="I285" s="382">
        <f t="shared" si="31"/>
        <v>945</v>
      </c>
      <c r="J285" s="382">
        <v>64</v>
      </c>
      <c r="K285" s="351">
        <v>0</v>
      </c>
      <c r="L285" s="351">
        <v>175</v>
      </c>
      <c r="M285" s="351">
        <v>233</v>
      </c>
      <c r="N285" s="449">
        <f>M285*1.33333</f>
        <v>310.66589</v>
      </c>
      <c r="O285" s="814">
        <f t="shared" si="33"/>
        <v>388.3323625</v>
      </c>
      <c r="P285" s="359">
        <f t="shared" si="29"/>
        <v>2079</v>
      </c>
      <c r="Q285" s="27">
        <v>0</v>
      </c>
      <c r="R285" s="25">
        <v>0</v>
      </c>
      <c r="S285" s="25">
        <v>669</v>
      </c>
      <c r="T285" s="360"/>
    </row>
    <row r="286" spans="1:20" ht="12.75">
      <c r="A286" s="25">
        <v>946</v>
      </c>
      <c r="B286" s="26" t="s">
        <v>209</v>
      </c>
      <c r="C286" s="25">
        <v>971</v>
      </c>
      <c r="D286" s="155">
        <v>170</v>
      </c>
      <c r="E286" s="383">
        <v>170</v>
      </c>
      <c r="F286" s="284">
        <v>170</v>
      </c>
      <c r="G286" s="351">
        <v>214</v>
      </c>
      <c r="H286" s="351">
        <v>214</v>
      </c>
      <c r="I286" s="382">
        <f t="shared" si="31"/>
        <v>946</v>
      </c>
      <c r="J286" s="382">
        <v>214</v>
      </c>
      <c r="K286" s="351">
        <v>0</v>
      </c>
      <c r="L286" s="351">
        <v>0</v>
      </c>
      <c r="M286" s="351">
        <v>0</v>
      </c>
      <c r="N286" s="449">
        <f t="shared" si="30"/>
        <v>0</v>
      </c>
      <c r="O286" s="815">
        <f t="shared" si="30"/>
        <v>0</v>
      </c>
      <c r="P286" s="359">
        <f t="shared" si="29"/>
        <v>1185</v>
      </c>
      <c r="Q286" s="27">
        <v>0</v>
      </c>
      <c r="R286" s="25">
        <v>0</v>
      </c>
      <c r="S286" s="25">
        <v>620</v>
      </c>
      <c r="T286" s="360"/>
    </row>
    <row r="287" spans="1:20" ht="12.75">
      <c r="A287" s="25">
        <v>947</v>
      </c>
      <c r="B287" s="26" t="s">
        <v>273</v>
      </c>
      <c r="C287" s="25">
        <v>971</v>
      </c>
      <c r="D287" s="155">
        <v>170</v>
      </c>
      <c r="E287" s="383">
        <v>216</v>
      </c>
      <c r="F287" s="284">
        <v>261</v>
      </c>
      <c r="G287" s="351">
        <v>327</v>
      </c>
      <c r="H287" s="351">
        <v>350</v>
      </c>
      <c r="I287" s="382">
        <f t="shared" si="31"/>
        <v>947</v>
      </c>
      <c r="J287" s="382">
        <v>414.7</v>
      </c>
      <c r="K287" s="351">
        <v>0</v>
      </c>
      <c r="L287" s="351">
        <v>0</v>
      </c>
      <c r="M287" s="351">
        <v>0</v>
      </c>
      <c r="N287" s="449">
        <f t="shared" si="30"/>
        <v>0</v>
      </c>
      <c r="O287" s="815">
        <f t="shared" si="30"/>
        <v>0</v>
      </c>
      <c r="P287" s="359">
        <f t="shared" si="29"/>
        <v>1298</v>
      </c>
      <c r="Q287" s="27">
        <v>0</v>
      </c>
      <c r="R287" s="25">
        <v>0</v>
      </c>
      <c r="S287" s="25">
        <v>155</v>
      </c>
      <c r="T287" s="360"/>
    </row>
    <row r="288" spans="1:20" ht="12.75">
      <c r="A288" s="25">
        <v>948</v>
      </c>
      <c r="B288" s="362" t="s">
        <v>440</v>
      </c>
      <c r="C288" s="25">
        <v>1300</v>
      </c>
      <c r="D288" s="155"/>
      <c r="E288" s="383"/>
      <c r="F288" s="284"/>
      <c r="G288" s="351">
        <v>127</v>
      </c>
      <c r="H288" s="351">
        <v>127</v>
      </c>
      <c r="I288" s="382">
        <f t="shared" si="31"/>
        <v>948</v>
      </c>
      <c r="J288" s="382">
        <v>127</v>
      </c>
      <c r="K288" s="351"/>
      <c r="L288" s="351"/>
      <c r="M288" s="351">
        <v>233</v>
      </c>
      <c r="N288" s="449">
        <f>M288*1.33333</f>
        <v>310.66589</v>
      </c>
      <c r="O288" s="814">
        <f t="shared" si="33"/>
        <v>388.3323625</v>
      </c>
      <c r="P288" s="359">
        <f t="shared" si="29"/>
        <v>1660</v>
      </c>
      <c r="Q288" s="27">
        <v>0</v>
      </c>
      <c r="R288" s="25">
        <v>0</v>
      </c>
      <c r="S288" s="25">
        <v>657</v>
      </c>
      <c r="T288" s="360"/>
    </row>
    <row r="289" spans="1:20" ht="12.75">
      <c r="A289" s="25">
        <v>951</v>
      </c>
      <c r="B289" s="26" t="s">
        <v>166</v>
      </c>
      <c r="C289" s="25">
        <v>1500</v>
      </c>
      <c r="D289" s="155">
        <v>101</v>
      </c>
      <c r="E289" s="155">
        <v>101</v>
      </c>
      <c r="F289" s="284">
        <f>IF(C289&lt;972,E289+44,E289)</f>
        <v>101</v>
      </c>
      <c r="G289" s="284">
        <v>101</v>
      </c>
      <c r="H289" s="284">
        <v>101</v>
      </c>
      <c r="I289" s="382">
        <f t="shared" si="31"/>
        <v>951</v>
      </c>
      <c r="J289" s="382">
        <v>101</v>
      </c>
      <c r="K289" s="351">
        <v>0</v>
      </c>
      <c r="L289" s="351">
        <v>0</v>
      </c>
      <c r="M289" s="351">
        <v>0</v>
      </c>
      <c r="N289" s="449">
        <f t="shared" si="30"/>
        <v>0</v>
      </c>
      <c r="O289" s="815">
        <f t="shared" si="30"/>
        <v>0</v>
      </c>
      <c r="P289" s="359">
        <f t="shared" si="29"/>
        <v>1601</v>
      </c>
      <c r="Q289" s="27">
        <v>150</v>
      </c>
      <c r="R289" s="25">
        <v>0</v>
      </c>
      <c r="S289" s="25">
        <v>0</v>
      </c>
      <c r="T289" s="360"/>
    </row>
    <row r="290" spans="1:20" ht="12.75">
      <c r="A290" s="25">
        <v>952</v>
      </c>
      <c r="B290" s="26" t="s">
        <v>274</v>
      </c>
      <c r="C290" s="25">
        <v>971</v>
      </c>
      <c r="D290" s="155">
        <v>170</v>
      </c>
      <c r="E290" s="383">
        <v>216</v>
      </c>
      <c r="F290" s="284">
        <v>261</v>
      </c>
      <c r="G290" s="351">
        <v>327</v>
      </c>
      <c r="H290" s="351">
        <v>350</v>
      </c>
      <c r="I290" s="382">
        <f t="shared" si="31"/>
        <v>952</v>
      </c>
      <c r="J290" s="382">
        <v>414.7</v>
      </c>
      <c r="K290" s="351">
        <v>0</v>
      </c>
      <c r="L290" s="351">
        <v>0</v>
      </c>
      <c r="M290" s="351">
        <v>0</v>
      </c>
      <c r="N290" s="449">
        <f t="shared" si="30"/>
        <v>0</v>
      </c>
      <c r="O290" s="815">
        <f t="shared" si="30"/>
        <v>0</v>
      </c>
      <c r="P290" s="359">
        <f t="shared" si="29"/>
        <v>1298</v>
      </c>
      <c r="Q290" s="27">
        <v>0</v>
      </c>
      <c r="R290" s="25">
        <v>0</v>
      </c>
      <c r="S290" s="25">
        <v>155</v>
      </c>
      <c r="T290" s="360"/>
    </row>
    <row r="291" spans="1:20" ht="12.75">
      <c r="A291" s="25">
        <v>953</v>
      </c>
      <c r="B291" s="26" t="s">
        <v>275</v>
      </c>
      <c r="C291" s="25">
        <v>971</v>
      </c>
      <c r="D291" s="155">
        <v>170</v>
      </c>
      <c r="E291" s="383">
        <v>216</v>
      </c>
      <c r="F291" s="284">
        <v>261</v>
      </c>
      <c r="G291" s="351">
        <v>327</v>
      </c>
      <c r="H291" s="351">
        <v>350</v>
      </c>
      <c r="I291" s="382">
        <f t="shared" si="31"/>
        <v>953</v>
      </c>
      <c r="J291" s="382">
        <v>414.7</v>
      </c>
      <c r="K291" s="351">
        <v>0</v>
      </c>
      <c r="L291" s="351">
        <v>0</v>
      </c>
      <c r="M291" s="351">
        <v>0</v>
      </c>
      <c r="N291" s="449">
        <f t="shared" si="30"/>
        <v>0</v>
      </c>
      <c r="O291" s="815">
        <f t="shared" si="30"/>
        <v>0</v>
      </c>
      <c r="P291" s="359">
        <f t="shared" si="29"/>
        <v>1298</v>
      </c>
      <c r="Q291" s="27">
        <v>0</v>
      </c>
      <c r="R291" s="25">
        <v>0</v>
      </c>
      <c r="S291" s="25">
        <v>155</v>
      </c>
      <c r="T291" s="360"/>
    </row>
    <row r="292" spans="1:20" ht="12.75">
      <c r="A292" s="25">
        <v>954</v>
      </c>
      <c r="B292" s="26" t="s">
        <v>276</v>
      </c>
      <c r="C292" s="25">
        <v>1600</v>
      </c>
      <c r="D292" s="155">
        <v>88</v>
      </c>
      <c r="E292" s="155">
        <v>88</v>
      </c>
      <c r="F292" s="284">
        <f>IF(C292&lt;972,E292+44,E292)</f>
        <v>88</v>
      </c>
      <c r="G292" s="284">
        <v>88</v>
      </c>
      <c r="H292" s="284">
        <v>88</v>
      </c>
      <c r="I292" s="382">
        <f t="shared" si="31"/>
        <v>954</v>
      </c>
      <c r="J292" s="382">
        <v>88</v>
      </c>
      <c r="K292" s="351">
        <v>0</v>
      </c>
      <c r="L292" s="351">
        <v>116</v>
      </c>
      <c r="M292" s="351">
        <v>233</v>
      </c>
      <c r="N292" s="449">
        <f>M292*1.33333</f>
        <v>310.66589</v>
      </c>
      <c r="O292" s="814">
        <f t="shared" si="33"/>
        <v>388.3323625</v>
      </c>
      <c r="P292" s="359">
        <f t="shared" si="29"/>
        <v>1921</v>
      </c>
      <c r="Q292" s="27">
        <v>0</v>
      </c>
      <c r="R292" s="25">
        <v>0</v>
      </c>
      <c r="S292" s="25">
        <v>657</v>
      </c>
      <c r="T292" s="360"/>
    </row>
    <row r="293" spans="1:20" ht="12.75">
      <c r="A293" s="25">
        <v>955</v>
      </c>
      <c r="B293" s="26" t="s">
        <v>195</v>
      </c>
      <c r="C293" s="25">
        <v>971</v>
      </c>
      <c r="D293" s="155">
        <v>170</v>
      </c>
      <c r="E293" s="383">
        <v>216</v>
      </c>
      <c r="F293" s="284">
        <v>261</v>
      </c>
      <c r="G293" s="351">
        <v>327</v>
      </c>
      <c r="H293" s="351">
        <v>350</v>
      </c>
      <c r="I293" s="382">
        <f t="shared" si="31"/>
        <v>955</v>
      </c>
      <c r="J293" s="382">
        <v>414.7</v>
      </c>
      <c r="K293" s="351">
        <v>0</v>
      </c>
      <c r="L293" s="351">
        <v>0</v>
      </c>
      <c r="M293" s="351">
        <v>0</v>
      </c>
      <c r="N293" s="449">
        <f t="shared" si="30"/>
        <v>0</v>
      </c>
      <c r="O293" s="815">
        <f>N293</f>
        <v>0</v>
      </c>
      <c r="P293" s="359">
        <f t="shared" si="29"/>
        <v>1298</v>
      </c>
      <c r="Q293" s="27">
        <v>0</v>
      </c>
      <c r="R293" s="25">
        <v>0</v>
      </c>
      <c r="S293" s="25">
        <v>0</v>
      </c>
      <c r="T293" s="360"/>
    </row>
    <row r="294" spans="1:20" ht="12.75">
      <c r="A294" s="25">
        <v>956</v>
      </c>
      <c r="B294" s="26" t="s">
        <v>277</v>
      </c>
      <c r="C294" s="25">
        <v>1692</v>
      </c>
      <c r="D294" s="155">
        <v>76</v>
      </c>
      <c r="E294" s="155">
        <v>76</v>
      </c>
      <c r="F294" s="284">
        <f aca="true" t="shared" si="34" ref="F294:F300">IF(C294&lt;972,E294+44,E294)</f>
        <v>76</v>
      </c>
      <c r="G294" s="284">
        <v>76</v>
      </c>
      <c r="H294" s="284">
        <v>76</v>
      </c>
      <c r="I294" s="382">
        <f t="shared" si="31"/>
        <v>956</v>
      </c>
      <c r="J294" s="382">
        <v>76</v>
      </c>
      <c r="K294" s="351">
        <v>0</v>
      </c>
      <c r="L294" s="351">
        <v>136</v>
      </c>
      <c r="M294" s="351">
        <v>272</v>
      </c>
      <c r="N294" s="449">
        <f>M294*1.33333</f>
        <v>362.66576</v>
      </c>
      <c r="O294" s="814">
        <f t="shared" si="33"/>
        <v>453.33219999999994</v>
      </c>
      <c r="P294" s="359">
        <f t="shared" si="29"/>
        <v>2040</v>
      </c>
      <c r="Q294" s="27">
        <v>0</v>
      </c>
      <c r="R294" s="25">
        <v>0</v>
      </c>
      <c r="S294" s="25">
        <v>663</v>
      </c>
      <c r="T294" s="360"/>
    </row>
    <row r="295" spans="1:20" ht="12.75">
      <c r="A295" s="25">
        <v>957</v>
      </c>
      <c r="B295" s="26" t="s">
        <v>441</v>
      </c>
      <c r="C295" s="25">
        <v>1700</v>
      </c>
      <c r="D295" s="155">
        <v>75</v>
      </c>
      <c r="E295" s="155">
        <v>75</v>
      </c>
      <c r="F295" s="284">
        <f t="shared" si="34"/>
        <v>75</v>
      </c>
      <c r="G295" s="284">
        <v>75</v>
      </c>
      <c r="H295" s="284">
        <v>75</v>
      </c>
      <c r="I295" s="382">
        <f t="shared" si="31"/>
        <v>957</v>
      </c>
      <c r="J295" s="382">
        <v>75</v>
      </c>
      <c r="K295" s="351">
        <v>0</v>
      </c>
      <c r="L295" s="351">
        <v>0</v>
      </c>
      <c r="M295" s="351">
        <v>310</v>
      </c>
      <c r="N295" s="449">
        <f>M295*1.33333</f>
        <v>413.3323</v>
      </c>
      <c r="O295" s="814">
        <f t="shared" si="33"/>
        <v>516.6653749999999</v>
      </c>
      <c r="P295" s="359">
        <f t="shared" si="29"/>
        <v>2085</v>
      </c>
      <c r="Q295" s="27">
        <v>0</v>
      </c>
      <c r="R295" s="25">
        <v>0</v>
      </c>
      <c r="S295" s="25">
        <v>0</v>
      </c>
      <c r="T295" s="360"/>
    </row>
    <row r="296" spans="1:20" ht="12.75">
      <c r="A296" s="25">
        <v>958</v>
      </c>
      <c r="B296" s="26" t="s">
        <v>278</v>
      </c>
      <c r="C296" s="25">
        <v>2913</v>
      </c>
      <c r="D296" s="155">
        <v>0</v>
      </c>
      <c r="E296" s="155">
        <v>0</v>
      </c>
      <c r="F296" s="284">
        <f t="shared" si="34"/>
        <v>0</v>
      </c>
      <c r="G296" s="284">
        <v>0</v>
      </c>
      <c r="H296" s="284">
        <v>0</v>
      </c>
      <c r="I296" s="382">
        <f t="shared" si="31"/>
        <v>958</v>
      </c>
      <c r="J296" s="382">
        <v>0</v>
      </c>
      <c r="K296" s="351">
        <v>0</v>
      </c>
      <c r="L296" s="351">
        <v>0</v>
      </c>
      <c r="M296" s="351">
        <v>0</v>
      </c>
      <c r="N296" s="449">
        <f t="shared" si="30"/>
        <v>0</v>
      </c>
      <c r="O296" s="814">
        <f t="shared" si="33"/>
        <v>0</v>
      </c>
      <c r="P296" s="359">
        <f t="shared" si="29"/>
        <v>2913</v>
      </c>
      <c r="Q296" s="27">
        <v>0</v>
      </c>
      <c r="R296" s="25">
        <v>0</v>
      </c>
      <c r="S296" s="25">
        <v>0</v>
      </c>
      <c r="T296" s="360"/>
    </row>
    <row r="297" spans="1:20" ht="12.75">
      <c r="A297" s="25">
        <v>959</v>
      </c>
      <c r="B297" s="26" t="s">
        <v>442</v>
      </c>
      <c r="C297" s="25">
        <v>1942</v>
      </c>
      <c r="D297" s="155">
        <v>7</v>
      </c>
      <c r="E297" s="155">
        <v>7</v>
      </c>
      <c r="F297" s="284">
        <f t="shared" si="34"/>
        <v>7</v>
      </c>
      <c r="G297" s="284">
        <v>43</v>
      </c>
      <c r="H297" s="284">
        <v>43</v>
      </c>
      <c r="I297" s="382">
        <f t="shared" si="31"/>
        <v>959</v>
      </c>
      <c r="J297" s="382">
        <v>43</v>
      </c>
      <c r="K297" s="351">
        <v>0</v>
      </c>
      <c r="L297" s="351">
        <v>0</v>
      </c>
      <c r="M297" s="351">
        <v>388</v>
      </c>
      <c r="N297" s="449">
        <f t="shared" si="30"/>
        <v>388</v>
      </c>
      <c r="O297" s="814">
        <f t="shared" si="33"/>
        <v>485</v>
      </c>
      <c r="P297" s="359">
        <f t="shared" si="29"/>
        <v>2373</v>
      </c>
      <c r="Q297" s="27">
        <v>0</v>
      </c>
      <c r="R297" s="25">
        <v>0</v>
      </c>
      <c r="S297" s="25">
        <v>0</v>
      </c>
      <c r="T297" s="360"/>
    </row>
    <row r="298" spans="1:20" ht="12.75">
      <c r="A298" s="25">
        <v>960</v>
      </c>
      <c r="B298" s="26" t="s">
        <v>443</v>
      </c>
      <c r="C298" s="25">
        <v>1600</v>
      </c>
      <c r="D298" s="155">
        <v>68</v>
      </c>
      <c r="E298" s="155">
        <v>68</v>
      </c>
      <c r="F298" s="284">
        <f t="shared" si="34"/>
        <v>68</v>
      </c>
      <c r="G298" s="284">
        <v>68</v>
      </c>
      <c r="H298" s="284">
        <v>68</v>
      </c>
      <c r="I298" s="382">
        <f t="shared" si="31"/>
        <v>960</v>
      </c>
      <c r="J298" s="382">
        <v>68</v>
      </c>
      <c r="K298" s="351">
        <v>0</v>
      </c>
      <c r="L298" s="351">
        <v>0</v>
      </c>
      <c r="M298" s="351">
        <v>233</v>
      </c>
      <c r="N298" s="449">
        <f t="shared" si="30"/>
        <v>233</v>
      </c>
      <c r="O298" s="814">
        <f t="shared" si="33"/>
        <v>291.25</v>
      </c>
      <c r="P298" s="359">
        <f t="shared" si="29"/>
        <v>1901</v>
      </c>
      <c r="Q298" s="27">
        <v>0</v>
      </c>
      <c r="R298" s="25">
        <v>0</v>
      </c>
      <c r="S298" s="25">
        <v>0</v>
      </c>
      <c r="T298" s="360"/>
    </row>
    <row r="299" spans="1:20" ht="14.25">
      <c r="A299" s="25">
        <v>961</v>
      </c>
      <c r="B299" s="26" t="s">
        <v>279</v>
      </c>
      <c r="C299" s="25">
        <v>1580</v>
      </c>
      <c r="D299" s="155">
        <v>90</v>
      </c>
      <c r="E299" s="155">
        <v>90</v>
      </c>
      <c r="F299" s="284">
        <f t="shared" si="34"/>
        <v>90</v>
      </c>
      <c r="G299" s="284">
        <v>90</v>
      </c>
      <c r="H299" s="284">
        <v>90</v>
      </c>
      <c r="I299" s="382">
        <f t="shared" si="31"/>
        <v>961</v>
      </c>
      <c r="J299" s="382">
        <v>90</v>
      </c>
      <c r="K299" s="351">
        <v>0</v>
      </c>
      <c r="L299" s="351">
        <v>0</v>
      </c>
      <c r="M299" s="378">
        <v>347.6</v>
      </c>
      <c r="N299" s="449">
        <f t="shared" si="30"/>
        <v>347.6</v>
      </c>
      <c r="O299" s="815">
        <f t="shared" si="30"/>
        <v>347.6</v>
      </c>
      <c r="P299" s="359">
        <f t="shared" si="29"/>
        <v>2017.6</v>
      </c>
      <c r="Q299" s="27">
        <v>0</v>
      </c>
      <c r="R299" s="25">
        <v>0</v>
      </c>
      <c r="S299" s="25">
        <v>0</v>
      </c>
      <c r="T299" s="360"/>
    </row>
    <row r="300" spans="1:20" ht="12.75">
      <c r="A300" s="25">
        <v>962</v>
      </c>
      <c r="B300" s="26" t="s">
        <v>280</v>
      </c>
      <c r="C300" s="25">
        <v>1580</v>
      </c>
      <c r="D300" s="155">
        <v>90</v>
      </c>
      <c r="E300" s="155">
        <v>90</v>
      </c>
      <c r="F300" s="284">
        <f t="shared" si="34"/>
        <v>90</v>
      </c>
      <c r="G300" s="284">
        <v>90</v>
      </c>
      <c r="H300" s="284">
        <v>90</v>
      </c>
      <c r="I300" s="382">
        <f t="shared" si="31"/>
        <v>962</v>
      </c>
      <c r="J300" s="382">
        <v>90</v>
      </c>
      <c r="K300" s="351">
        <v>0</v>
      </c>
      <c r="L300" s="351">
        <v>0</v>
      </c>
      <c r="M300" s="351">
        <v>0</v>
      </c>
      <c r="N300" s="449">
        <f t="shared" si="30"/>
        <v>0</v>
      </c>
      <c r="O300" s="815">
        <f t="shared" si="30"/>
        <v>0</v>
      </c>
      <c r="P300" s="359">
        <f t="shared" si="29"/>
        <v>1670</v>
      </c>
      <c r="Q300" s="27">
        <v>0</v>
      </c>
      <c r="R300" s="25">
        <v>0</v>
      </c>
      <c r="S300" s="25">
        <v>0</v>
      </c>
      <c r="T300" s="360"/>
    </row>
    <row r="301" spans="1:20" ht="12.75">
      <c r="A301" s="25">
        <v>963</v>
      </c>
      <c r="B301" s="26" t="s">
        <v>281</v>
      </c>
      <c r="C301" s="25">
        <v>951</v>
      </c>
      <c r="D301" s="155">
        <v>170</v>
      </c>
      <c r="E301" s="383">
        <v>216</v>
      </c>
      <c r="F301" s="284">
        <v>261</v>
      </c>
      <c r="G301" s="351">
        <v>327</v>
      </c>
      <c r="H301" s="351">
        <v>350</v>
      </c>
      <c r="I301" s="382">
        <f t="shared" si="31"/>
        <v>963</v>
      </c>
      <c r="J301" s="382">
        <v>414.7</v>
      </c>
      <c r="K301" s="351">
        <v>0</v>
      </c>
      <c r="L301" s="351">
        <v>0</v>
      </c>
      <c r="M301" s="351">
        <v>0</v>
      </c>
      <c r="N301" s="449">
        <f t="shared" si="30"/>
        <v>0</v>
      </c>
      <c r="O301" s="815">
        <f t="shared" si="30"/>
        <v>0</v>
      </c>
      <c r="P301" s="359">
        <f t="shared" si="29"/>
        <v>1278</v>
      </c>
      <c r="Q301" s="27">
        <v>0</v>
      </c>
      <c r="R301" s="25">
        <v>0</v>
      </c>
      <c r="S301" s="25">
        <v>0</v>
      </c>
      <c r="T301" s="360"/>
    </row>
    <row r="302" spans="1:20" ht="12.75">
      <c r="A302" s="25">
        <v>965</v>
      </c>
      <c r="B302" s="26" t="s">
        <v>282</v>
      </c>
      <c r="C302" s="25">
        <v>2913</v>
      </c>
      <c r="D302" s="155">
        <v>0</v>
      </c>
      <c r="E302" s="155">
        <v>0</v>
      </c>
      <c r="F302" s="284">
        <f>IF(C302&lt;972,E302+44,E302)</f>
        <v>0</v>
      </c>
      <c r="G302" s="284">
        <v>0</v>
      </c>
      <c r="H302" s="284">
        <v>0</v>
      </c>
      <c r="I302" s="382">
        <f t="shared" si="31"/>
        <v>965</v>
      </c>
      <c r="J302" s="382">
        <v>0</v>
      </c>
      <c r="K302" s="351">
        <v>0</v>
      </c>
      <c r="L302" s="351">
        <v>0</v>
      </c>
      <c r="M302" s="351">
        <v>0</v>
      </c>
      <c r="N302" s="449">
        <f t="shared" si="30"/>
        <v>0</v>
      </c>
      <c r="O302" s="815">
        <f t="shared" si="30"/>
        <v>0</v>
      </c>
      <c r="P302" s="359">
        <f t="shared" si="29"/>
        <v>2913</v>
      </c>
      <c r="Q302" s="27">
        <v>0</v>
      </c>
      <c r="R302" s="25">
        <v>0</v>
      </c>
      <c r="S302" s="25">
        <v>0</v>
      </c>
      <c r="T302" s="360"/>
    </row>
    <row r="303" spans="1:20" ht="14.25">
      <c r="A303" s="25">
        <v>966</v>
      </c>
      <c r="B303" s="26" t="s">
        <v>283</v>
      </c>
      <c r="C303" s="25">
        <v>1850</v>
      </c>
      <c r="D303" s="155">
        <v>55</v>
      </c>
      <c r="E303" s="155">
        <v>55</v>
      </c>
      <c r="F303" s="284">
        <f>IF(C303&lt;972,E303+44,E303)</f>
        <v>55</v>
      </c>
      <c r="G303" s="284">
        <v>55</v>
      </c>
      <c r="H303" s="284">
        <v>55</v>
      </c>
      <c r="I303" s="382">
        <f t="shared" si="31"/>
        <v>966</v>
      </c>
      <c r="J303" s="382">
        <v>55</v>
      </c>
      <c r="K303" s="351">
        <v>0</v>
      </c>
      <c r="L303" s="351">
        <v>0</v>
      </c>
      <c r="M303" s="378">
        <v>434.5</v>
      </c>
      <c r="N303" s="449">
        <f t="shared" si="30"/>
        <v>434.5</v>
      </c>
      <c r="O303" s="815">
        <f t="shared" si="30"/>
        <v>434.5</v>
      </c>
      <c r="P303" s="359">
        <f t="shared" si="29"/>
        <v>2339.5</v>
      </c>
      <c r="Q303" s="27">
        <v>0</v>
      </c>
      <c r="R303" s="25">
        <v>0</v>
      </c>
      <c r="S303" s="25">
        <v>0</v>
      </c>
      <c r="T303" s="360"/>
    </row>
    <row r="304" spans="1:20" ht="12.75">
      <c r="A304" s="25">
        <v>967</v>
      </c>
      <c r="B304" s="26" t="s">
        <v>284</v>
      </c>
      <c r="C304" s="25">
        <v>1564</v>
      </c>
      <c r="D304" s="155">
        <v>93</v>
      </c>
      <c r="E304" s="155">
        <v>93</v>
      </c>
      <c r="F304" s="284">
        <f>IF(C304&lt;972,E304+44,E304)</f>
        <v>93</v>
      </c>
      <c r="G304" s="284">
        <v>93</v>
      </c>
      <c r="H304" s="284">
        <v>93</v>
      </c>
      <c r="I304" s="382">
        <f t="shared" si="31"/>
        <v>967</v>
      </c>
      <c r="J304" s="382">
        <v>93</v>
      </c>
      <c r="K304" s="351">
        <v>0</v>
      </c>
      <c r="L304" s="351">
        <v>0</v>
      </c>
      <c r="M304" s="351">
        <v>0</v>
      </c>
      <c r="N304" s="449">
        <f t="shared" si="30"/>
        <v>0</v>
      </c>
      <c r="O304" s="815">
        <f t="shared" si="30"/>
        <v>0</v>
      </c>
      <c r="P304" s="359">
        <f t="shared" si="29"/>
        <v>1657</v>
      </c>
      <c r="Q304" s="27">
        <v>0</v>
      </c>
      <c r="R304" s="25">
        <v>0</v>
      </c>
      <c r="S304" s="25">
        <v>0</v>
      </c>
      <c r="T304" s="360"/>
    </row>
    <row r="305" spans="1:20" ht="12.75">
      <c r="A305" s="25">
        <v>968</v>
      </c>
      <c r="B305" s="26" t="s">
        <v>233</v>
      </c>
      <c r="C305" s="25">
        <v>1500</v>
      </c>
      <c r="D305" s="155">
        <v>101</v>
      </c>
      <c r="E305" s="155">
        <v>101</v>
      </c>
      <c r="F305" s="284">
        <f>IF(C305&lt;972,E305+44,E305)</f>
        <v>101</v>
      </c>
      <c r="G305" s="284">
        <v>101</v>
      </c>
      <c r="H305" s="284">
        <v>101</v>
      </c>
      <c r="I305" s="382">
        <f t="shared" si="31"/>
        <v>968</v>
      </c>
      <c r="J305" s="382">
        <v>101</v>
      </c>
      <c r="K305" s="351">
        <v>0</v>
      </c>
      <c r="L305" s="351">
        <v>0</v>
      </c>
      <c r="M305" s="351">
        <v>388</v>
      </c>
      <c r="N305" s="449">
        <f>M305*1.33333</f>
        <v>517.33204</v>
      </c>
      <c r="O305" s="814">
        <f>N305*1.25</f>
        <v>646.6650500000001</v>
      </c>
      <c r="P305" s="359">
        <f t="shared" si="29"/>
        <v>1989</v>
      </c>
      <c r="Q305" s="27">
        <v>0</v>
      </c>
      <c r="R305" s="25">
        <v>0</v>
      </c>
      <c r="S305" s="25">
        <v>0</v>
      </c>
      <c r="T305" s="360"/>
    </row>
    <row r="306" spans="1:20" ht="12.75">
      <c r="A306" s="25">
        <v>969</v>
      </c>
      <c r="B306" s="26" t="s">
        <v>285</v>
      </c>
      <c r="C306" s="25">
        <v>971</v>
      </c>
      <c r="D306" s="155">
        <v>170</v>
      </c>
      <c r="E306" s="383">
        <v>216</v>
      </c>
      <c r="F306" s="284">
        <v>261</v>
      </c>
      <c r="G306" s="351">
        <v>327</v>
      </c>
      <c r="H306" s="351">
        <v>350</v>
      </c>
      <c r="I306" s="382">
        <f t="shared" si="31"/>
        <v>969</v>
      </c>
      <c r="J306" s="382">
        <v>414.7</v>
      </c>
      <c r="K306" s="351">
        <v>0</v>
      </c>
      <c r="L306" s="351">
        <v>0</v>
      </c>
      <c r="M306" s="351">
        <v>0</v>
      </c>
      <c r="N306" s="449">
        <f t="shared" si="30"/>
        <v>0</v>
      </c>
      <c r="O306" s="815">
        <f t="shared" si="30"/>
        <v>0</v>
      </c>
      <c r="P306" s="359">
        <f t="shared" si="29"/>
        <v>1298</v>
      </c>
      <c r="Q306" s="27">
        <v>150</v>
      </c>
      <c r="R306" s="25">
        <v>0</v>
      </c>
      <c r="S306" s="25">
        <v>0</v>
      </c>
      <c r="T306" s="360"/>
    </row>
    <row r="307" spans="1:20" ht="12.75">
      <c r="A307" s="25">
        <v>970</v>
      </c>
      <c r="B307" s="26" t="s">
        <v>286</v>
      </c>
      <c r="C307" s="25">
        <v>1480</v>
      </c>
      <c r="D307" s="155">
        <v>104</v>
      </c>
      <c r="E307" s="155">
        <v>104</v>
      </c>
      <c r="F307" s="284">
        <f>IF(C307&lt;972,E307+44,E307)</f>
        <v>104</v>
      </c>
      <c r="G307" s="284">
        <v>104</v>
      </c>
      <c r="H307" s="284">
        <v>104</v>
      </c>
      <c r="I307" s="382">
        <f t="shared" si="31"/>
        <v>970</v>
      </c>
      <c r="J307" s="382">
        <v>104</v>
      </c>
      <c r="K307" s="351">
        <v>0</v>
      </c>
      <c r="L307" s="351">
        <v>0</v>
      </c>
      <c r="M307" s="351">
        <v>0</v>
      </c>
      <c r="N307" s="449">
        <f t="shared" si="30"/>
        <v>0</v>
      </c>
      <c r="O307" s="815">
        <f t="shared" si="30"/>
        <v>0</v>
      </c>
      <c r="P307" s="359">
        <f t="shared" si="29"/>
        <v>1584</v>
      </c>
      <c r="Q307" s="27">
        <v>0</v>
      </c>
      <c r="R307" s="25">
        <v>0</v>
      </c>
      <c r="S307" s="25">
        <v>0</v>
      </c>
      <c r="T307" s="360"/>
    </row>
    <row r="308" spans="1:20" ht="12.75">
      <c r="A308" s="25">
        <v>971</v>
      </c>
      <c r="B308" s="26" t="s">
        <v>287</v>
      </c>
      <c r="C308" s="25">
        <v>1400</v>
      </c>
      <c r="D308" s="155">
        <v>114</v>
      </c>
      <c r="E308" s="155">
        <v>114</v>
      </c>
      <c r="F308" s="284">
        <f>IF(C308&lt;972,E308+44,E308)</f>
        <v>114</v>
      </c>
      <c r="G308" s="284">
        <v>114</v>
      </c>
      <c r="H308" s="284">
        <v>114</v>
      </c>
      <c r="I308" s="382">
        <f t="shared" si="31"/>
        <v>971</v>
      </c>
      <c r="J308" s="382">
        <v>114</v>
      </c>
      <c r="K308" s="351">
        <v>0</v>
      </c>
      <c r="L308" s="351">
        <v>116</v>
      </c>
      <c r="M308" s="351">
        <v>233</v>
      </c>
      <c r="N308" s="449">
        <f>M308*1.33333</f>
        <v>310.66589</v>
      </c>
      <c r="O308" s="814">
        <f>N308*1.25</f>
        <v>388.3323625</v>
      </c>
      <c r="P308" s="359">
        <f t="shared" si="29"/>
        <v>1747</v>
      </c>
      <c r="Q308" s="27">
        <v>150</v>
      </c>
      <c r="R308" s="25">
        <v>0</v>
      </c>
      <c r="S308" s="25">
        <v>0</v>
      </c>
      <c r="T308" s="360"/>
    </row>
    <row r="309" spans="1:20" ht="12.75">
      <c r="A309" s="25">
        <v>972</v>
      </c>
      <c r="B309" s="26" t="s">
        <v>288</v>
      </c>
      <c r="C309" s="25">
        <v>1692</v>
      </c>
      <c r="D309" s="155">
        <v>76</v>
      </c>
      <c r="E309" s="155">
        <v>76</v>
      </c>
      <c r="F309" s="284">
        <f>IF(C309&lt;972,E309+44,E309)</f>
        <v>76</v>
      </c>
      <c r="G309" s="284">
        <v>76</v>
      </c>
      <c r="H309" s="284">
        <v>76</v>
      </c>
      <c r="I309" s="382">
        <f t="shared" si="31"/>
        <v>972</v>
      </c>
      <c r="J309" s="382">
        <v>76</v>
      </c>
      <c r="K309" s="351">
        <v>0</v>
      </c>
      <c r="L309" s="351">
        <v>136</v>
      </c>
      <c r="M309" s="351">
        <v>272</v>
      </c>
      <c r="N309" s="449">
        <f>M309*1.33333</f>
        <v>362.66576</v>
      </c>
      <c r="O309" s="814">
        <f>N309*1.25</f>
        <v>453.33219999999994</v>
      </c>
      <c r="P309" s="359">
        <f t="shared" si="29"/>
        <v>2040</v>
      </c>
      <c r="Q309" s="27">
        <v>17</v>
      </c>
      <c r="R309" s="25">
        <v>0</v>
      </c>
      <c r="S309" s="25">
        <v>0</v>
      </c>
      <c r="T309" s="360"/>
    </row>
    <row r="310" spans="1:20" ht="12.75">
      <c r="A310" s="25">
        <v>973</v>
      </c>
      <c r="B310" s="26" t="s">
        <v>289</v>
      </c>
      <c r="C310" s="25">
        <v>1592</v>
      </c>
      <c r="D310" s="155">
        <v>89</v>
      </c>
      <c r="E310" s="155">
        <v>89</v>
      </c>
      <c r="F310" s="284">
        <f>IF(C310&lt;972,E310+44,E310)</f>
        <v>89</v>
      </c>
      <c r="G310" s="284">
        <v>89</v>
      </c>
      <c r="H310" s="284">
        <v>89</v>
      </c>
      <c r="I310" s="382">
        <f t="shared" si="31"/>
        <v>973</v>
      </c>
      <c r="J310" s="382">
        <v>89</v>
      </c>
      <c r="K310" s="351">
        <v>0</v>
      </c>
      <c r="L310" s="351">
        <v>0</v>
      </c>
      <c r="M310" s="351">
        <v>233</v>
      </c>
      <c r="N310" s="449">
        <f>M310*1.33333</f>
        <v>310.66589</v>
      </c>
      <c r="O310" s="814">
        <f>N310*1.25</f>
        <v>388.3323625</v>
      </c>
      <c r="P310" s="359">
        <f t="shared" si="29"/>
        <v>1914</v>
      </c>
      <c r="Q310" s="27">
        <v>17</v>
      </c>
      <c r="R310" s="25">
        <v>0</v>
      </c>
      <c r="S310" s="25">
        <v>0</v>
      </c>
      <c r="T310" s="360"/>
    </row>
    <row r="311" spans="1:20" ht="12.75">
      <c r="A311" s="25">
        <v>974</v>
      </c>
      <c r="B311" s="26" t="s">
        <v>290</v>
      </c>
      <c r="C311" s="25">
        <v>1500</v>
      </c>
      <c r="D311" s="155">
        <v>101</v>
      </c>
      <c r="E311" s="155">
        <v>101</v>
      </c>
      <c r="F311" s="284">
        <f>IF(C311&lt;972,E311+44,E311)</f>
        <v>101</v>
      </c>
      <c r="G311" s="284">
        <v>101</v>
      </c>
      <c r="H311" s="284">
        <v>101</v>
      </c>
      <c r="I311" s="382">
        <f t="shared" si="31"/>
        <v>974</v>
      </c>
      <c r="J311" s="382">
        <v>101</v>
      </c>
      <c r="K311" s="351">
        <v>0</v>
      </c>
      <c r="L311" s="351">
        <v>0</v>
      </c>
      <c r="M311" s="351">
        <v>0</v>
      </c>
      <c r="N311" s="449">
        <f t="shared" si="30"/>
        <v>0</v>
      </c>
      <c r="O311" s="815">
        <f t="shared" si="30"/>
        <v>0</v>
      </c>
      <c r="P311" s="359">
        <f t="shared" si="29"/>
        <v>1601</v>
      </c>
      <c r="Q311" s="27">
        <v>150</v>
      </c>
      <c r="R311" s="25">
        <v>0</v>
      </c>
      <c r="S311" s="25">
        <v>0</v>
      </c>
      <c r="T311" s="360"/>
    </row>
    <row r="312" spans="1:20" ht="12.75">
      <c r="A312" s="25">
        <v>975</v>
      </c>
      <c r="B312" s="26" t="s">
        <v>291</v>
      </c>
      <c r="C312" s="25">
        <v>971</v>
      </c>
      <c r="D312" s="155">
        <v>170</v>
      </c>
      <c r="E312" s="383">
        <v>216</v>
      </c>
      <c r="F312" s="284">
        <v>261</v>
      </c>
      <c r="G312" s="351">
        <v>327</v>
      </c>
      <c r="H312" s="351">
        <v>350</v>
      </c>
      <c r="I312" s="382">
        <f t="shared" si="31"/>
        <v>975</v>
      </c>
      <c r="J312" s="382">
        <v>414.7</v>
      </c>
      <c r="K312" s="351">
        <v>0</v>
      </c>
      <c r="L312" s="351">
        <v>0</v>
      </c>
      <c r="M312" s="351">
        <v>0</v>
      </c>
      <c r="N312" s="449">
        <f t="shared" si="30"/>
        <v>0</v>
      </c>
      <c r="O312" s="815">
        <f t="shared" si="30"/>
        <v>0</v>
      </c>
      <c r="P312" s="359">
        <f t="shared" si="29"/>
        <v>1298</v>
      </c>
      <c r="Q312" s="27">
        <v>0</v>
      </c>
      <c r="R312" s="25">
        <v>0</v>
      </c>
      <c r="S312" s="25">
        <v>0</v>
      </c>
      <c r="T312" s="360"/>
    </row>
    <row r="313" spans="1:20" ht="12.75">
      <c r="A313" s="25">
        <v>976</v>
      </c>
      <c r="B313" s="26" t="s">
        <v>292</v>
      </c>
      <c r="C313" s="25">
        <v>971</v>
      </c>
      <c r="D313" s="155">
        <v>170</v>
      </c>
      <c r="E313" s="383">
        <v>216</v>
      </c>
      <c r="F313" s="284">
        <v>261</v>
      </c>
      <c r="G313" s="351">
        <v>327</v>
      </c>
      <c r="H313" s="351">
        <v>350</v>
      </c>
      <c r="I313" s="382">
        <f t="shared" si="31"/>
        <v>976</v>
      </c>
      <c r="J313" s="382">
        <v>414.7</v>
      </c>
      <c r="K313" s="351">
        <v>0</v>
      </c>
      <c r="L313" s="351">
        <v>0</v>
      </c>
      <c r="M313" s="351">
        <v>0</v>
      </c>
      <c r="N313" s="449">
        <f t="shared" si="30"/>
        <v>0</v>
      </c>
      <c r="O313" s="815">
        <f t="shared" si="30"/>
        <v>0</v>
      </c>
      <c r="P313" s="359">
        <f t="shared" si="29"/>
        <v>1298</v>
      </c>
      <c r="Q313" s="27">
        <v>0</v>
      </c>
      <c r="R313" s="25">
        <v>0</v>
      </c>
      <c r="S313" s="25">
        <v>0</v>
      </c>
      <c r="T313" s="360"/>
    </row>
    <row r="314" spans="1:20" ht="12.75">
      <c r="A314" s="25">
        <v>977</v>
      </c>
      <c r="B314" s="26" t="s">
        <v>293</v>
      </c>
      <c r="C314" s="25">
        <v>971</v>
      </c>
      <c r="D314" s="155">
        <v>170</v>
      </c>
      <c r="E314" s="383">
        <v>216</v>
      </c>
      <c r="F314" s="284">
        <v>261</v>
      </c>
      <c r="G314" s="351">
        <v>327</v>
      </c>
      <c r="H314" s="351">
        <v>350</v>
      </c>
      <c r="I314" s="382">
        <f t="shared" si="31"/>
        <v>977</v>
      </c>
      <c r="J314" s="382">
        <v>414.7</v>
      </c>
      <c r="K314" s="351">
        <v>0</v>
      </c>
      <c r="L314" s="351">
        <v>0</v>
      </c>
      <c r="M314" s="351">
        <v>0</v>
      </c>
      <c r="N314" s="449">
        <f t="shared" si="30"/>
        <v>0</v>
      </c>
      <c r="O314" s="815">
        <f t="shared" si="30"/>
        <v>0</v>
      </c>
      <c r="P314" s="359">
        <f t="shared" si="29"/>
        <v>1298</v>
      </c>
      <c r="Q314" s="27">
        <v>0</v>
      </c>
      <c r="R314" s="25">
        <v>0</v>
      </c>
      <c r="S314" s="25">
        <v>0</v>
      </c>
      <c r="T314" s="360"/>
    </row>
    <row r="315" spans="1:20" ht="12.75">
      <c r="A315" s="25">
        <v>978</v>
      </c>
      <c r="B315" s="26" t="s">
        <v>294</v>
      </c>
      <c r="C315" s="25">
        <v>1840</v>
      </c>
      <c r="D315" s="155">
        <v>57</v>
      </c>
      <c r="E315" s="155">
        <v>57</v>
      </c>
      <c r="F315" s="284">
        <f>IF(C315&lt;972,E315+44,E315)</f>
        <v>57</v>
      </c>
      <c r="G315" s="284">
        <v>57</v>
      </c>
      <c r="H315" s="284">
        <v>57</v>
      </c>
      <c r="I315" s="382">
        <f t="shared" si="31"/>
        <v>978</v>
      </c>
      <c r="J315" s="382">
        <v>57</v>
      </c>
      <c r="K315" s="351">
        <v>0</v>
      </c>
      <c r="L315" s="351">
        <v>194</v>
      </c>
      <c r="M315" s="351">
        <v>388</v>
      </c>
      <c r="N315" s="449">
        <f>M315*1.33333</f>
        <v>517.33204</v>
      </c>
      <c r="O315" s="814">
        <f>N315*1.25</f>
        <v>646.6650500000001</v>
      </c>
      <c r="P315" s="359">
        <f t="shared" si="29"/>
        <v>2285</v>
      </c>
      <c r="Q315" s="27">
        <v>0</v>
      </c>
      <c r="R315" s="25">
        <v>0</v>
      </c>
      <c r="S315" s="25">
        <v>0</v>
      </c>
      <c r="T315" s="360"/>
    </row>
    <row r="316" spans="1:20" ht="12.75">
      <c r="A316" s="25">
        <v>979</v>
      </c>
      <c r="B316" s="26" t="s">
        <v>444</v>
      </c>
      <c r="C316" s="25">
        <v>1400</v>
      </c>
      <c r="D316" s="155">
        <v>70</v>
      </c>
      <c r="E316" s="155">
        <v>70</v>
      </c>
      <c r="F316" s="284">
        <f>IF(C316&lt;972,E316+44,E316)</f>
        <v>70</v>
      </c>
      <c r="G316" s="284">
        <v>70</v>
      </c>
      <c r="H316" s="284">
        <v>70</v>
      </c>
      <c r="I316" s="382">
        <f t="shared" si="31"/>
        <v>979</v>
      </c>
      <c r="J316" s="382">
        <v>70</v>
      </c>
      <c r="K316" s="351">
        <v>0</v>
      </c>
      <c r="L316" s="351">
        <v>0</v>
      </c>
      <c r="M316" s="351">
        <v>233</v>
      </c>
      <c r="N316" s="449">
        <f>M316*1.33333</f>
        <v>310.66589</v>
      </c>
      <c r="O316" s="814">
        <f>N316*1.25</f>
        <v>388.3323625</v>
      </c>
      <c r="P316" s="359">
        <f t="shared" si="29"/>
        <v>1703</v>
      </c>
      <c r="Q316" s="27">
        <v>0</v>
      </c>
      <c r="R316" s="25">
        <v>0</v>
      </c>
      <c r="S316" s="25">
        <v>0</v>
      </c>
      <c r="T316" s="360"/>
    </row>
    <row r="317" spans="1:20" ht="12.75">
      <c r="A317" s="25">
        <v>980</v>
      </c>
      <c r="B317" s="26" t="s">
        <v>445</v>
      </c>
      <c r="C317" s="25">
        <v>1300</v>
      </c>
      <c r="D317" s="155">
        <v>222</v>
      </c>
      <c r="E317" s="155">
        <v>216</v>
      </c>
      <c r="F317" s="284">
        <v>261</v>
      </c>
      <c r="G317" s="284">
        <v>127</v>
      </c>
      <c r="H317" s="284">
        <v>127</v>
      </c>
      <c r="I317" s="382">
        <f t="shared" si="31"/>
        <v>980</v>
      </c>
      <c r="J317" s="382">
        <v>127</v>
      </c>
      <c r="K317" s="351">
        <v>0</v>
      </c>
      <c r="L317" s="351">
        <v>0</v>
      </c>
      <c r="M317" s="351">
        <v>233</v>
      </c>
      <c r="N317" s="449">
        <f>M317*1.33333</f>
        <v>310.66589</v>
      </c>
      <c r="O317" s="814">
        <f>N317*1.25</f>
        <v>388.3323625</v>
      </c>
      <c r="P317" s="359">
        <f t="shared" si="29"/>
        <v>1660</v>
      </c>
      <c r="Q317" s="27">
        <v>0</v>
      </c>
      <c r="R317" s="25">
        <v>0</v>
      </c>
      <c r="S317" s="25">
        <v>0</v>
      </c>
      <c r="T317" s="360"/>
    </row>
    <row r="318" spans="1:20" ht="12.75">
      <c r="A318" s="25">
        <v>981</v>
      </c>
      <c r="B318" s="26" t="s">
        <v>446</v>
      </c>
      <c r="C318" s="25">
        <v>1250</v>
      </c>
      <c r="D318" s="155">
        <v>64</v>
      </c>
      <c r="E318" s="155">
        <v>64</v>
      </c>
      <c r="F318" s="284">
        <f>IF(C318&lt;972,E318+44,E318)</f>
        <v>64</v>
      </c>
      <c r="G318" s="284">
        <v>134</v>
      </c>
      <c r="H318" s="284">
        <v>134</v>
      </c>
      <c r="I318" s="382">
        <f t="shared" si="31"/>
        <v>981</v>
      </c>
      <c r="J318" s="382">
        <v>134</v>
      </c>
      <c r="K318" s="351">
        <v>0</v>
      </c>
      <c r="L318" s="351">
        <v>194</v>
      </c>
      <c r="M318" s="351">
        <v>233</v>
      </c>
      <c r="N318" s="449">
        <f>M318*1.33333</f>
        <v>310.66589</v>
      </c>
      <c r="O318" s="814">
        <f>N318*1.25</f>
        <v>388.3323625</v>
      </c>
      <c r="P318" s="359">
        <f t="shared" si="29"/>
        <v>1617</v>
      </c>
      <c r="Q318" s="27">
        <v>0</v>
      </c>
      <c r="R318" s="25">
        <v>0</v>
      </c>
      <c r="S318" s="25">
        <v>0</v>
      </c>
      <c r="T318" s="360"/>
    </row>
    <row r="319" spans="1:20" ht="12.75">
      <c r="A319" s="25">
        <v>982</v>
      </c>
      <c r="B319" s="26" t="s">
        <v>295</v>
      </c>
      <c r="C319" s="25">
        <v>1740</v>
      </c>
      <c r="D319" s="155">
        <v>70</v>
      </c>
      <c r="E319" s="155">
        <v>70</v>
      </c>
      <c r="F319" s="284">
        <f>IF(C319&lt;972,E319+44,E319)</f>
        <v>70</v>
      </c>
      <c r="G319" s="284">
        <v>70</v>
      </c>
      <c r="H319" s="284">
        <v>70</v>
      </c>
      <c r="I319" s="382">
        <f t="shared" si="31"/>
        <v>982</v>
      </c>
      <c r="J319" s="382">
        <v>70</v>
      </c>
      <c r="K319" s="351">
        <v>0</v>
      </c>
      <c r="L319" s="351">
        <v>155</v>
      </c>
      <c r="M319" s="351">
        <v>310</v>
      </c>
      <c r="N319" s="449">
        <f>M319*1.33333</f>
        <v>413.3323</v>
      </c>
      <c r="O319" s="814">
        <f>N319*1.25</f>
        <v>516.6653749999999</v>
      </c>
      <c r="P319" s="359">
        <f t="shared" si="29"/>
        <v>2120</v>
      </c>
      <c r="Q319" s="27">
        <v>0</v>
      </c>
      <c r="R319" s="25">
        <v>0</v>
      </c>
      <c r="S319" s="25">
        <v>0</v>
      </c>
      <c r="T319" s="360"/>
    </row>
    <row r="320" spans="1:20" ht="12.75">
      <c r="A320" s="25">
        <v>983</v>
      </c>
      <c r="B320" s="26" t="s">
        <v>296</v>
      </c>
      <c r="C320" s="25">
        <v>1170</v>
      </c>
      <c r="D320" s="155">
        <v>144</v>
      </c>
      <c r="E320" s="155">
        <v>144</v>
      </c>
      <c r="F320" s="284">
        <f>IF(C320&lt;972,E320+44,E320)</f>
        <v>144</v>
      </c>
      <c r="G320" s="284">
        <v>144</v>
      </c>
      <c r="H320" s="284">
        <v>144</v>
      </c>
      <c r="I320" s="382">
        <f t="shared" si="31"/>
        <v>983</v>
      </c>
      <c r="J320" s="382">
        <v>144</v>
      </c>
      <c r="K320" s="351">
        <v>0</v>
      </c>
      <c r="L320" s="351">
        <v>0</v>
      </c>
      <c r="M320" s="351">
        <v>0</v>
      </c>
      <c r="N320" s="449">
        <f t="shared" si="30"/>
        <v>0</v>
      </c>
      <c r="O320" s="815">
        <f t="shared" si="30"/>
        <v>0</v>
      </c>
      <c r="P320" s="359">
        <f t="shared" si="29"/>
        <v>1314</v>
      </c>
      <c r="Q320" s="27">
        <v>0</v>
      </c>
      <c r="R320" s="25">
        <v>0</v>
      </c>
      <c r="S320" s="25">
        <v>0</v>
      </c>
      <c r="T320" s="360"/>
    </row>
    <row r="321" spans="1:20" ht="12.75">
      <c r="A321" s="25">
        <v>984</v>
      </c>
      <c r="B321" s="26" t="s">
        <v>297</v>
      </c>
      <c r="C321" s="25">
        <v>690</v>
      </c>
      <c r="D321" s="155">
        <v>207</v>
      </c>
      <c r="E321" s="383">
        <v>216</v>
      </c>
      <c r="F321" s="284">
        <v>261</v>
      </c>
      <c r="G321" s="351">
        <v>327</v>
      </c>
      <c r="H321" s="351">
        <v>350</v>
      </c>
      <c r="I321" s="382">
        <f t="shared" si="31"/>
        <v>984</v>
      </c>
      <c r="J321" s="382">
        <v>414.7</v>
      </c>
      <c r="K321" s="351">
        <v>0</v>
      </c>
      <c r="L321" s="351">
        <v>0</v>
      </c>
      <c r="M321" s="351">
        <v>0</v>
      </c>
      <c r="N321" s="449">
        <f t="shared" si="30"/>
        <v>0</v>
      </c>
      <c r="O321" s="815">
        <f t="shared" si="30"/>
        <v>0</v>
      </c>
      <c r="P321" s="359">
        <f t="shared" si="29"/>
        <v>1017</v>
      </c>
      <c r="Q321" s="27">
        <v>0</v>
      </c>
      <c r="R321" s="25">
        <v>0</v>
      </c>
      <c r="S321" s="25">
        <v>0</v>
      </c>
      <c r="T321" s="360"/>
    </row>
    <row r="322" spans="1:20" ht="12.75">
      <c r="A322" s="25">
        <v>985</v>
      </c>
      <c r="B322" s="26" t="s">
        <v>298</v>
      </c>
      <c r="C322" s="25">
        <v>2913</v>
      </c>
      <c r="D322" s="155">
        <v>0</v>
      </c>
      <c r="E322" s="155">
        <v>0</v>
      </c>
      <c r="F322" s="284">
        <f>IF(C322&lt;972,E322+44,E322)</f>
        <v>0</v>
      </c>
      <c r="G322" s="284">
        <v>0</v>
      </c>
      <c r="H322" s="284">
        <v>0</v>
      </c>
      <c r="I322" s="382">
        <f t="shared" si="31"/>
        <v>985</v>
      </c>
      <c r="J322" s="382">
        <v>0</v>
      </c>
      <c r="K322" s="351">
        <v>0</v>
      </c>
      <c r="L322" s="351">
        <v>0</v>
      </c>
      <c r="M322" s="351">
        <v>0</v>
      </c>
      <c r="N322" s="449">
        <f t="shared" si="30"/>
        <v>0</v>
      </c>
      <c r="O322" s="815">
        <f t="shared" si="30"/>
        <v>0</v>
      </c>
      <c r="P322" s="359">
        <f t="shared" si="29"/>
        <v>2913</v>
      </c>
      <c r="Q322" s="27">
        <v>0</v>
      </c>
      <c r="R322" s="25">
        <v>0</v>
      </c>
      <c r="S322" s="25">
        <v>0</v>
      </c>
      <c r="T322" s="360"/>
    </row>
    <row r="323" spans="1:20" ht="12.75">
      <c r="A323" s="25">
        <v>986</v>
      </c>
      <c r="B323" s="26" t="s">
        <v>299</v>
      </c>
      <c r="C323" s="25">
        <v>644</v>
      </c>
      <c r="D323" s="155">
        <v>213</v>
      </c>
      <c r="E323" s="383">
        <v>216</v>
      </c>
      <c r="F323" s="284">
        <v>261</v>
      </c>
      <c r="G323" s="351">
        <v>327</v>
      </c>
      <c r="H323" s="351">
        <v>350</v>
      </c>
      <c r="I323" s="382">
        <f t="shared" si="31"/>
        <v>986</v>
      </c>
      <c r="J323" s="382">
        <v>414.7</v>
      </c>
      <c r="K323" s="351">
        <v>0</v>
      </c>
      <c r="L323" s="351">
        <v>0</v>
      </c>
      <c r="M323" s="351">
        <v>0</v>
      </c>
      <c r="N323" s="449">
        <f t="shared" si="30"/>
        <v>0</v>
      </c>
      <c r="O323" s="815">
        <f t="shared" si="30"/>
        <v>0</v>
      </c>
      <c r="P323" s="359">
        <f t="shared" si="29"/>
        <v>971</v>
      </c>
      <c r="Q323" s="27">
        <v>0</v>
      </c>
      <c r="R323" s="25">
        <v>0</v>
      </c>
      <c r="S323" s="25">
        <v>0</v>
      </c>
      <c r="T323" s="360"/>
    </row>
    <row r="324" spans="1:20" ht="12.75">
      <c r="A324" s="25">
        <v>987</v>
      </c>
      <c r="B324" s="26" t="s">
        <v>155</v>
      </c>
      <c r="C324" s="25">
        <v>1170</v>
      </c>
      <c r="D324" s="155">
        <v>144</v>
      </c>
      <c r="E324" s="155">
        <v>144</v>
      </c>
      <c r="F324" s="284">
        <f aca="true" t="shared" si="35" ref="F324:F336">IF(C324&lt;972,E324+44,E324)</f>
        <v>144</v>
      </c>
      <c r="G324" s="284">
        <v>144</v>
      </c>
      <c r="H324" s="284">
        <v>144</v>
      </c>
      <c r="I324" s="382">
        <f t="shared" si="31"/>
        <v>987</v>
      </c>
      <c r="J324" s="382">
        <v>144</v>
      </c>
      <c r="K324" s="351">
        <v>0</v>
      </c>
      <c r="L324" s="351">
        <v>0</v>
      </c>
      <c r="M324" s="351">
        <v>0</v>
      </c>
      <c r="N324" s="449">
        <f t="shared" si="30"/>
        <v>0</v>
      </c>
      <c r="O324" s="815">
        <f t="shared" si="30"/>
        <v>0</v>
      </c>
      <c r="P324" s="359">
        <f aca="true" t="shared" si="36" ref="P324:P336">C324+G324+M324</f>
        <v>1314</v>
      </c>
      <c r="Q324" s="27">
        <v>0</v>
      </c>
      <c r="R324" s="25">
        <v>0</v>
      </c>
      <c r="S324" s="25">
        <v>0</v>
      </c>
      <c r="T324" s="360"/>
    </row>
    <row r="325" spans="1:20" ht="12.75">
      <c r="A325" s="25">
        <v>988</v>
      </c>
      <c r="B325" s="26" t="s">
        <v>300</v>
      </c>
      <c r="C325" s="25">
        <v>2600</v>
      </c>
      <c r="D325" s="155">
        <v>0</v>
      </c>
      <c r="E325" s="155">
        <v>0</v>
      </c>
      <c r="F325" s="284">
        <f t="shared" si="35"/>
        <v>0</v>
      </c>
      <c r="G325" s="284">
        <v>0</v>
      </c>
      <c r="H325" s="284">
        <v>0</v>
      </c>
      <c r="I325" s="382">
        <f t="shared" si="31"/>
        <v>988</v>
      </c>
      <c r="J325" s="382">
        <v>0</v>
      </c>
      <c r="K325" s="351">
        <v>0</v>
      </c>
      <c r="L325" s="351">
        <v>0</v>
      </c>
      <c r="M325" s="351">
        <v>0</v>
      </c>
      <c r="N325" s="449">
        <f aca="true" t="shared" si="37" ref="N325:O335">M325</f>
        <v>0</v>
      </c>
      <c r="O325" s="815">
        <f t="shared" si="37"/>
        <v>0</v>
      </c>
      <c r="P325" s="359">
        <f t="shared" si="36"/>
        <v>2600</v>
      </c>
      <c r="Q325" s="27">
        <v>0</v>
      </c>
      <c r="R325" s="25">
        <v>0</v>
      </c>
      <c r="S325" s="25">
        <v>0</v>
      </c>
      <c r="T325" s="360"/>
    </row>
    <row r="326" spans="1:20" ht="12.75">
      <c r="A326" s="25">
        <v>989</v>
      </c>
      <c r="B326" s="26" t="s">
        <v>301</v>
      </c>
      <c r="C326" s="25">
        <v>2840</v>
      </c>
      <c r="D326" s="155">
        <v>0</v>
      </c>
      <c r="E326" s="155">
        <v>0</v>
      </c>
      <c r="F326" s="284">
        <f t="shared" si="35"/>
        <v>0</v>
      </c>
      <c r="G326" s="284">
        <v>0</v>
      </c>
      <c r="H326" s="284">
        <v>0</v>
      </c>
      <c r="I326" s="382">
        <f t="shared" si="31"/>
        <v>989</v>
      </c>
      <c r="J326" s="382">
        <v>0</v>
      </c>
      <c r="K326" s="351">
        <v>0</v>
      </c>
      <c r="L326" s="351">
        <v>0</v>
      </c>
      <c r="M326" s="351">
        <v>0</v>
      </c>
      <c r="N326" s="449">
        <f t="shared" si="37"/>
        <v>0</v>
      </c>
      <c r="O326" s="815">
        <f t="shared" si="37"/>
        <v>0</v>
      </c>
      <c r="P326" s="359">
        <f t="shared" si="36"/>
        <v>2840</v>
      </c>
      <c r="Q326" s="27">
        <v>0</v>
      </c>
      <c r="R326" s="25">
        <v>0</v>
      </c>
      <c r="S326" s="25">
        <v>0</v>
      </c>
      <c r="T326" s="360"/>
    </row>
    <row r="327" spans="1:20" ht="12.75">
      <c r="A327" s="25">
        <v>990</v>
      </c>
      <c r="B327" s="26" t="s">
        <v>302</v>
      </c>
      <c r="C327" s="25">
        <v>2100</v>
      </c>
      <c r="D327" s="155">
        <v>23</v>
      </c>
      <c r="E327" s="155">
        <v>23</v>
      </c>
      <c r="F327" s="284">
        <f t="shared" si="35"/>
        <v>23</v>
      </c>
      <c r="G327" s="284">
        <v>23</v>
      </c>
      <c r="H327" s="284">
        <v>23</v>
      </c>
      <c r="I327" s="382">
        <f aca="true" t="shared" si="38" ref="I327:I336">A327</f>
        <v>990</v>
      </c>
      <c r="J327" s="382">
        <v>23</v>
      </c>
      <c r="K327" s="351">
        <v>0</v>
      </c>
      <c r="L327" s="351">
        <v>0</v>
      </c>
      <c r="M327" s="351">
        <v>0</v>
      </c>
      <c r="N327" s="449">
        <f t="shared" si="37"/>
        <v>0</v>
      </c>
      <c r="O327" s="815">
        <f t="shared" si="37"/>
        <v>0</v>
      </c>
      <c r="P327" s="359">
        <f t="shared" si="36"/>
        <v>2123</v>
      </c>
      <c r="Q327" s="27">
        <v>0</v>
      </c>
      <c r="R327" s="25">
        <v>0</v>
      </c>
      <c r="S327" s="25">
        <v>0</v>
      </c>
      <c r="T327" s="360"/>
    </row>
    <row r="328" spans="1:20" ht="12.75">
      <c r="A328" s="25">
        <v>991</v>
      </c>
      <c r="B328" s="26" t="s">
        <v>303</v>
      </c>
      <c r="C328" s="25">
        <v>1850</v>
      </c>
      <c r="D328" s="155">
        <v>55</v>
      </c>
      <c r="E328" s="155">
        <v>55</v>
      </c>
      <c r="F328" s="284">
        <f t="shared" si="35"/>
        <v>55</v>
      </c>
      <c r="G328" s="284">
        <v>55</v>
      </c>
      <c r="H328" s="284">
        <v>55</v>
      </c>
      <c r="I328" s="382">
        <f t="shared" si="38"/>
        <v>991</v>
      </c>
      <c r="J328" s="382">
        <v>55</v>
      </c>
      <c r="K328" s="351">
        <v>0</v>
      </c>
      <c r="L328" s="351">
        <v>0</v>
      </c>
      <c r="M328" s="351">
        <v>0</v>
      </c>
      <c r="N328" s="449">
        <f t="shared" si="37"/>
        <v>0</v>
      </c>
      <c r="O328" s="815">
        <f t="shared" si="37"/>
        <v>0</v>
      </c>
      <c r="P328" s="359">
        <f t="shared" si="36"/>
        <v>1905</v>
      </c>
      <c r="Q328" s="27">
        <v>0</v>
      </c>
      <c r="R328" s="25">
        <v>0</v>
      </c>
      <c r="S328" s="25">
        <v>0</v>
      </c>
      <c r="T328" s="360"/>
    </row>
    <row r="329" spans="1:20" ht="12.75">
      <c r="A329" s="25">
        <v>992</v>
      </c>
      <c r="B329" s="26" t="s">
        <v>447</v>
      </c>
      <c r="C329" s="25">
        <v>1500</v>
      </c>
      <c r="D329" s="155">
        <v>0</v>
      </c>
      <c r="E329" s="155">
        <v>0</v>
      </c>
      <c r="F329" s="284">
        <f t="shared" si="35"/>
        <v>0</v>
      </c>
      <c r="G329" s="284">
        <v>0</v>
      </c>
      <c r="H329" s="284">
        <v>0</v>
      </c>
      <c r="I329" s="382">
        <f t="shared" si="38"/>
        <v>992</v>
      </c>
      <c r="J329" s="382">
        <v>0</v>
      </c>
      <c r="K329" s="351">
        <v>0</v>
      </c>
      <c r="L329" s="351">
        <v>0</v>
      </c>
      <c r="M329" s="351">
        <v>233</v>
      </c>
      <c r="N329" s="449">
        <f>M329*1.33333</f>
        <v>310.66589</v>
      </c>
      <c r="O329" s="814">
        <f>N329*1.25</f>
        <v>388.3323625</v>
      </c>
      <c r="P329" s="359">
        <f t="shared" si="36"/>
        <v>1733</v>
      </c>
      <c r="Q329" s="27">
        <v>0</v>
      </c>
      <c r="R329" s="25">
        <v>0</v>
      </c>
      <c r="S329" s="25">
        <v>0</v>
      </c>
      <c r="T329" s="360"/>
    </row>
    <row r="330" spans="1:20" ht="12.75">
      <c r="A330" s="25">
        <v>993</v>
      </c>
      <c r="B330" s="26" t="s">
        <v>304</v>
      </c>
      <c r="C330" s="25">
        <v>2913</v>
      </c>
      <c r="D330" s="155">
        <v>0</v>
      </c>
      <c r="E330" s="155">
        <v>0</v>
      </c>
      <c r="F330" s="284">
        <f t="shared" si="35"/>
        <v>0</v>
      </c>
      <c r="G330" s="284">
        <v>0</v>
      </c>
      <c r="H330" s="284">
        <v>0</v>
      </c>
      <c r="I330" s="382">
        <f t="shared" si="38"/>
        <v>993</v>
      </c>
      <c r="J330" s="382">
        <v>0</v>
      </c>
      <c r="K330" s="351">
        <v>0</v>
      </c>
      <c r="L330" s="351">
        <v>0</v>
      </c>
      <c r="M330" s="351">
        <v>0</v>
      </c>
      <c r="N330" s="449">
        <f t="shared" si="37"/>
        <v>0</v>
      </c>
      <c r="O330" s="815">
        <f>N330</f>
        <v>0</v>
      </c>
      <c r="P330" s="359">
        <f t="shared" si="36"/>
        <v>2913</v>
      </c>
      <c r="Q330" s="27">
        <v>0</v>
      </c>
      <c r="R330" s="25">
        <v>0</v>
      </c>
      <c r="S330" s="25">
        <v>0</v>
      </c>
      <c r="T330" s="360"/>
    </row>
    <row r="331" spans="1:20" ht="14.25">
      <c r="A331" s="25">
        <v>994</v>
      </c>
      <c r="B331" s="26" t="s">
        <v>305</v>
      </c>
      <c r="C331" s="25">
        <v>1580</v>
      </c>
      <c r="D331" s="155">
        <v>90</v>
      </c>
      <c r="E331" s="155">
        <v>90</v>
      </c>
      <c r="F331" s="284">
        <f t="shared" si="35"/>
        <v>90</v>
      </c>
      <c r="G331" s="284">
        <v>90</v>
      </c>
      <c r="H331" s="284">
        <v>90</v>
      </c>
      <c r="I331" s="382">
        <f t="shared" si="38"/>
        <v>994</v>
      </c>
      <c r="J331" s="382">
        <v>90</v>
      </c>
      <c r="K331" s="351">
        <v>0</v>
      </c>
      <c r="L331" s="351">
        <v>0</v>
      </c>
      <c r="M331" s="378">
        <v>347.6</v>
      </c>
      <c r="N331" s="449">
        <f t="shared" si="37"/>
        <v>347.6</v>
      </c>
      <c r="O331" s="815">
        <f t="shared" si="37"/>
        <v>347.6</v>
      </c>
      <c r="P331" s="359">
        <f t="shared" si="36"/>
        <v>2017.6</v>
      </c>
      <c r="Q331" s="27">
        <v>0</v>
      </c>
      <c r="R331" s="25">
        <v>0</v>
      </c>
      <c r="S331" s="25">
        <v>0</v>
      </c>
      <c r="T331" s="360"/>
    </row>
    <row r="332" spans="1:20" ht="12.75">
      <c r="A332" s="25">
        <v>995</v>
      </c>
      <c r="B332" s="26" t="s">
        <v>306</v>
      </c>
      <c r="C332" s="25">
        <v>1564</v>
      </c>
      <c r="D332" s="155">
        <v>93</v>
      </c>
      <c r="E332" s="155">
        <v>93</v>
      </c>
      <c r="F332" s="284">
        <f t="shared" si="35"/>
        <v>93</v>
      </c>
      <c r="G332" s="284">
        <v>93</v>
      </c>
      <c r="H332" s="284">
        <v>93</v>
      </c>
      <c r="I332" s="382">
        <f t="shared" si="38"/>
        <v>995</v>
      </c>
      <c r="J332" s="382">
        <v>93</v>
      </c>
      <c r="K332" s="351">
        <v>0</v>
      </c>
      <c r="L332" s="351">
        <v>0</v>
      </c>
      <c r="M332" s="351">
        <v>0</v>
      </c>
      <c r="N332" s="449">
        <f t="shared" si="37"/>
        <v>0</v>
      </c>
      <c r="O332" s="815">
        <f t="shared" si="37"/>
        <v>0</v>
      </c>
      <c r="P332" s="359">
        <f t="shared" si="36"/>
        <v>1657</v>
      </c>
      <c r="Q332" s="27">
        <v>0</v>
      </c>
      <c r="R332" s="25">
        <v>0</v>
      </c>
      <c r="S332" s="25">
        <v>0</v>
      </c>
      <c r="T332" s="360"/>
    </row>
    <row r="333" spans="1:20" ht="12.75">
      <c r="A333" s="25">
        <v>996</v>
      </c>
      <c r="B333" s="26" t="s">
        <v>64</v>
      </c>
      <c r="C333" s="25">
        <v>1480</v>
      </c>
      <c r="D333" s="155">
        <v>104</v>
      </c>
      <c r="E333" s="155">
        <v>104</v>
      </c>
      <c r="F333" s="284">
        <f t="shared" si="35"/>
        <v>104</v>
      </c>
      <c r="G333" s="284">
        <v>104</v>
      </c>
      <c r="H333" s="284">
        <v>104</v>
      </c>
      <c r="I333" s="382">
        <f t="shared" si="38"/>
        <v>996</v>
      </c>
      <c r="J333" s="382">
        <v>104</v>
      </c>
      <c r="K333" s="351">
        <v>0</v>
      </c>
      <c r="L333" s="351">
        <v>0</v>
      </c>
      <c r="M333" s="351">
        <v>0</v>
      </c>
      <c r="N333" s="449">
        <f t="shared" si="37"/>
        <v>0</v>
      </c>
      <c r="O333" s="815">
        <f t="shared" si="37"/>
        <v>0</v>
      </c>
      <c r="P333" s="359">
        <f t="shared" si="36"/>
        <v>1584</v>
      </c>
      <c r="Q333" s="27">
        <v>0</v>
      </c>
      <c r="R333" s="25">
        <v>0</v>
      </c>
      <c r="S333" s="25">
        <v>0</v>
      </c>
      <c r="T333" s="360"/>
    </row>
    <row r="334" spans="1:20" ht="12.75">
      <c r="A334" s="25">
        <v>997</v>
      </c>
      <c r="B334" s="26" t="s">
        <v>307</v>
      </c>
      <c r="C334" s="25">
        <v>1564</v>
      </c>
      <c r="D334" s="155">
        <v>93</v>
      </c>
      <c r="E334" s="155">
        <v>93</v>
      </c>
      <c r="F334" s="284">
        <f t="shared" si="35"/>
        <v>93</v>
      </c>
      <c r="G334" s="284">
        <v>93</v>
      </c>
      <c r="H334" s="284">
        <v>93</v>
      </c>
      <c r="I334" s="382">
        <f t="shared" si="38"/>
        <v>997</v>
      </c>
      <c r="J334" s="382">
        <v>93</v>
      </c>
      <c r="K334" s="351">
        <v>0</v>
      </c>
      <c r="L334" s="351">
        <v>0</v>
      </c>
      <c r="M334" s="351">
        <v>0</v>
      </c>
      <c r="N334" s="449">
        <f t="shared" si="37"/>
        <v>0</v>
      </c>
      <c r="O334" s="815">
        <f t="shared" si="37"/>
        <v>0</v>
      </c>
      <c r="P334" s="359">
        <f t="shared" si="36"/>
        <v>1657</v>
      </c>
      <c r="Q334" s="27">
        <v>0</v>
      </c>
      <c r="R334" s="25">
        <v>0</v>
      </c>
      <c r="S334" s="25">
        <v>0</v>
      </c>
      <c r="T334" s="360"/>
    </row>
    <row r="335" spans="1:20" ht="12.75">
      <c r="A335" s="25">
        <v>998</v>
      </c>
      <c r="B335" s="26" t="s">
        <v>308</v>
      </c>
      <c r="C335" s="25">
        <v>2220</v>
      </c>
      <c r="D335" s="155">
        <v>7</v>
      </c>
      <c r="E335" s="155">
        <v>7</v>
      </c>
      <c r="F335" s="284">
        <f t="shared" si="35"/>
        <v>7</v>
      </c>
      <c r="G335" s="284">
        <v>7</v>
      </c>
      <c r="H335" s="284">
        <v>7</v>
      </c>
      <c r="I335" s="382">
        <f t="shared" si="38"/>
        <v>998</v>
      </c>
      <c r="J335" s="382">
        <v>7</v>
      </c>
      <c r="K335" s="351">
        <v>0</v>
      </c>
      <c r="L335" s="351">
        <v>0</v>
      </c>
      <c r="M335" s="351">
        <v>0</v>
      </c>
      <c r="N335" s="449">
        <f t="shared" si="37"/>
        <v>0</v>
      </c>
      <c r="O335" s="815">
        <f t="shared" si="37"/>
        <v>0</v>
      </c>
      <c r="P335" s="359">
        <f t="shared" si="36"/>
        <v>2227</v>
      </c>
      <c r="Q335" s="27">
        <v>0</v>
      </c>
      <c r="R335" s="25">
        <v>0</v>
      </c>
      <c r="S335" s="25">
        <v>0</v>
      </c>
      <c r="T335" s="360"/>
    </row>
    <row r="336" spans="1:20" s="401" customFormat="1" ht="12.75">
      <c r="A336" s="25">
        <v>999</v>
      </c>
      <c r="B336" s="26" t="s">
        <v>448</v>
      </c>
      <c r="C336" s="25">
        <v>1250</v>
      </c>
      <c r="D336" s="155">
        <v>0</v>
      </c>
      <c r="E336" s="155">
        <v>0</v>
      </c>
      <c r="F336" s="359">
        <f t="shared" si="35"/>
        <v>0</v>
      </c>
      <c r="G336" s="359">
        <v>134</v>
      </c>
      <c r="H336" s="359">
        <v>134</v>
      </c>
      <c r="I336" s="399">
        <f t="shared" si="38"/>
        <v>999</v>
      </c>
      <c r="J336" s="399">
        <v>134</v>
      </c>
      <c r="K336" s="400">
        <v>0</v>
      </c>
      <c r="L336" s="400">
        <v>0</v>
      </c>
      <c r="M336" s="400">
        <v>233</v>
      </c>
      <c r="N336" s="449">
        <f>M336*1.33333</f>
        <v>310.66589</v>
      </c>
      <c r="O336" s="814">
        <f>N336*1.25</f>
        <v>388.3323625</v>
      </c>
      <c r="P336" s="359">
        <f t="shared" si="36"/>
        <v>1617</v>
      </c>
      <c r="Q336" s="27">
        <v>0</v>
      </c>
      <c r="R336" s="25">
        <v>0</v>
      </c>
      <c r="S336" s="25">
        <v>0</v>
      </c>
      <c r="T336" s="360"/>
    </row>
    <row r="337" spans="1:19" s="168" customFormat="1" ht="12.75">
      <c r="A337" s="395"/>
      <c r="B337" s="396"/>
      <c r="C337" s="395"/>
      <c r="D337" s="397"/>
      <c r="E337" s="397"/>
      <c r="F337" s="397"/>
      <c r="G337" s="397"/>
      <c r="H337" s="397"/>
      <c r="I337" s="397"/>
      <c r="J337" s="397"/>
      <c r="K337" s="398"/>
      <c r="L337" s="398"/>
      <c r="M337" s="398"/>
      <c r="N337" s="398"/>
      <c r="O337" s="398"/>
      <c r="P337" s="397"/>
      <c r="Q337" s="395"/>
      <c r="R337" s="395"/>
      <c r="S337" s="395"/>
    </row>
    <row r="338" spans="1:19" s="168" customFormat="1" ht="12.75">
      <c r="A338" s="395"/>
      <c r="B338" s="396"/>
      <c r="C338" s="395"/>
      <c r="D338" s="397"/>
      <c r="E338" s="397"/>
      <c r="F338" s="397"/>
      <c r="G338" s="397"/>
      <c r="H338" s="397"/>
      <c r="I338" s="397"/>
      <c r="J338" s="397"/>
      <c r="K338" s="398"/>
      <c r="L338" s="398"/>
      <c r="M338" s="398"/>
      <c r="N338" s="398"/>
      <c r="O338" s="398"/>
      <c r="P338" s="397"/>
      <c r="Q338" s="395"/>
      <c r="R338" s="395"/>
      <c r="S338" s="395"/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360"/>
  <sheetViews>
    <sheetView showGridLines="0" zoomScale="85" zoomScaleNormal="85" zoomScalePageLayoutView="0" workbookViewId="0" topLeftCell="A1">
      <pane ySplit="1" topLeftCell="A202" activePane="bottomLeft" state="frozen"/>
      <selection pane="topLeft" activeCell="C1" sqref="C1"/>
      <selection pane="bottomLeft" activeCell="I54" sqref="I54"/>
    </sheetView>
  </sheetViews>
  <sheetFormatPr defaultColWidth="11.421875" defaultRowHeight="12.75"/>
  <cols>
    <col min="1" max="2" width="3.28125" style="0" customWidth="1"/>
    <col min="3" max="3" width="4.28125" style="0" customWidth="1"/>
    <col min="4" max="4" width="13.00390625" style="0" customWidth="1"/>
    <col min="5" max="5" width="23.7109375" style="0" customWidth="1"/>
    <col min="6" max="6" width="25.57421875" style="0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9.28125" style="0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1:8" s="146" customFormat="1" ht="18.75" thickBot="1">
      <c r="A1" s="319"/>
      <c r="B1" s="319"/>
      <c r="C1" s="320"/>
      <c r="D1" s="147" t="s">
        <v>341</v>
      </c>
      <c r="E1" s="148" t="s">
        <v>342</v>
      </c>
      <c r="F1" s="149" t="s">
        <v>343</v>
      </c>
      <c r="G1" s="150" t="s">
        <v>344</v>
      </c>
      <c r="H1" s="151" t="s">
        <v>345</v>
      </c>
    </row>
    <row r="2" spans="1:15" ht="18.75" thickTop="1">
      <c r="A2" s="101"/>
      <c r="B2" s="101"/>
      <c r="C2" s="210"/>
      <c r="D2" s="21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8">
      <c r="A3" s="101"/>
      <c r="B3" s="101"/>
      <c r="C3" s="211" t="s">
        <v>364</v>
      </c>
      <c r="D3" s="21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3:4" s="161" customFormat="1" ht="18.75" hidden="1" thickBot="1">
      <c r="C4" s="260"/>
      <c r="D4" s="261"/>
    </row>
    <row r="5" spans="3:4" s="101" customFormat="1" ht="21" thickBot="1">
      <c r="C5" s="211"/>
      <c r="D5" s="318" t="s">
        <v>384</v>
      </c>
    </row>
    <row r="6" spans="3:7" s="270" customFormat="1" ht="21" thickBot="1">
      <c r="C6" s="269"/>
      <c r="D6" s="271" t="s">
        <v>361</v>
      </c>
      <c r="E6" s="272"/>
      <c r="F6" s="281">
        <v>0.82</v>
      </c>
      <c r="G6" s="280" t="s">
        <v>366</v>
      </c>
    </row>
    <row r="7" spans="3:4" s="161" customFormat="1" ht="18" hidden="1">
      <c r="C7" s="260"/>
      <c r="D7" s="261"/>
    </row>
    <row r="8" spans="3:4" s="161" customFormat="1" ht="18" hidden="1">
      <c r="C8" s="260"/>
      <c r="D8" s="261"/>
    </row>
    <row r="9" spans="1:15" ht="18">
      <c r="A9" s="101"/>
      <c r="B9" s="101"/>
      <c r="C9" s="211"/>
      <c r="D9" s="21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6:20" ht="16.5" hidden="1" thickBot="1">
      <c r="F10" t="s">
        <v>345</v>
      </c>
      <c r="G10" s="10" t="s">
        <v>347</v>
      </c>
      <c r="H10" s="10" t="s">
        <v>348</v>
      </c>
      <c r="I10" s="94" t="s">
        <v>349</v>
      </c>
      <c r="J10" s="94" t="s">
        <v>350</v>
      </c>
      <c r="K10" s="94" t="s">
        <v>351</v>
      </c>
      <c r="L10" s="94" t="s">
        <v>352</v>
      </c>
      <c r="M10" s="94" t="s">
        <v>353</v>
      </c>
      <c r="N10" s="94" t="s">
        <v>354</v>
      </c>
      <c r="O10" s="96" t="s">
        <v>355</v>
      </c>
      <c r="P10" s="96">
        <v>1</v>
      </c>
      <c r="Q10" s="96">
        <v>2</v>
      </c>
      <c r="R10" s="96">
        <v>3</v>
      </c>
      <c r="S10" s="96">
        <v>4</v>
      </c>
      <c r="T10" s="96">
        <v>5</v>
      </c>
    </row>
    <row r="11" spans="1:20" ht="15.75" hidden="1">
      <c r="A11">
        <v>1</v>
      </c>
      <c r="E11" s="87">
        <v>0</v>
      </c>
      <c r="F11" s="262" t="e">
        <f aca="true" t="shared" si="0" ref="F11:F22">IF(puntosproljorvarios1&lt;620,T11,O11)</f>
        <v>#NAME?</v>
      </c>
      <c r="G11" s="258">
        <v>409</v>
      </c>
      <c r="H11" s="258">
        <v>99</v>
      </c>
      <c r="I11" s="258">
        <v>0</v>
      </c>
      <c r="J11" s="258">
        <v>0</v>
      </c>
      <c r="K11" s="258">
        <v>0</v>
      </c>
      <c r="L11" s="258">
        <v>0</v>
      </c>
      <c r="M11" s="258">
        <v>99</v>
      </c>
      <c r="N11" s="258">
        <v>99</v>
      </c>
      <c r="O11" s="97">
        <f>IF(punbasjubvarios1&gt;971,N11,M11)</f>
        <v>99</v>
      </c>
      <c r="P11" s="97">
        <f aca="true" t="shared" si="1" ref="P11:P22">IF(punbasjubvarios1&lt;972,G11,H11)</f>
        <v>99</v>
      </c>
      <c r="Q11" s="97">
        <f aca="true" t="shared" si="2" ref="Q11:Q22">IF(punbasjubvarios1&lt;1170,P11,I11)</f>
        <v>0</v>
      </c>
      <c r="R11" s="97">
        <f aca="true" t="shared" si="3" ref="R11:R22">IF(punbasjubvarios1&lt;1401,Q11,J11)</f>
        <v>0</v>
      </c>
      <c r="S11" s="97">
        <f aca="true" t="shared" si="4" ref="S11:S22">IF(punbasjubvarios1&lt;1943,R11,K11)</f>
        <v>0</v>
      </c>
      <c r="T11" s="97">
        <f aca="true" t="shared" si="5" ref="T11:T22">IF(punbasjubvarios1&lt;=2220,S11,L11)</f>
        <v>0</v>
      </c>
    </row>
    <row r="12" spans="1:20" ht="15.75" hidden="1">
      <c r="A12">
        <v>1</v>
      </c>
      <c r="E12" s="88">
        <v>0.1</v>
      </c>
      <c r="F12" s="262" t="e">
        <f t="shared" si="0"/>
        <v>#NAME?</v>
      </c>
      <c r="G12" s="258">
        <v>581</v>
      </c>
      <c r="H12" s="258">
        <v>112</v>
      </c>
      <c r="I12" s="258">
        <v>0</v>
      </c>
      <c r="J12" s="258">
        <v>0</v>
      </c>
      <c r="K12" s="258">
        <v>0</v>
      </c>
      <c r="L12" s="258">
        <v>0</v>
      </c>
      <c r="M12" s="258">
        <v>112</v>
      </c>
      <c r="N12" s="258">
        <v>112</v>
      </c>
      <c r="O12" s="97">
        <f aca="true" t="shared" si="6" ref="O12:O22">IF(punbasjubvarios1&gt;971,N12,M12)</f>
        <v>112</v>
      </c>
      <c r="P12" s="97">
        <f t="shared" si="1"/>
        <v>112</v>
      </c>
      <c r="Q12" s="97">
        <f t="shared" si="2"/>
        <v>0</v>
      </c>
      <c r="R12" s="97">
        <f t="shared" si="3"/>
        <v>0</v>
      </c>
      <c r="S12" s="97">
        <f t="shared" si="4"/>
        <v>0</v>
      </c>
      <c r="T12" s="97">
        <f t="shared" si="5"/>
        <v>0</v>
      </c>
    </row>
    <row r="13" spans="1:20" ht="15.75" hidden="1">
      <c r="A13">
        <v>1</v>
      </c>
      <c r="E13" s="89">
        <v>0.15</v>
      </c>
      <c r="F13" s="262" t="e">
        <f t="shared" si="0"/>
        <v>#NAME?</v>
      </c>
      <c r="G13" s="258">
        <v>705</v>
      </c>
      <c r="H13" s="258">
        <v>224</v>
      </c>
      <c r="I13" s="258">
        <v>298</v>
      </c>
      <c r="J13" s="258">
        <v>240</v>
      </c>
      <c r="K13" s="258">
        <v>224</v>
      </c>
      <c r="L13" s="258">
        <v>0</v>
      </c>
      <c r="M13" s="258">
        <v>273</v>
      </c>
      <c r="N13" s="258">
        <v>273</v>
      </c>
      <c r="O13" s="97">
        <f t="shared" si="6"/>
        <v>273</v>
      </c>
      <c r="P13" s="97">
        <f t="shared" si="1"/>
        <v>224</v>
      </c>
      <c r="Q13" s="97">
        <f t="shared" si="2"/>
        <v>298</v>
      </c>
      <c r="R13" s="97">
        <f t="shared" si="3"/>
        <v>298</v>
      </c>
      <c r="S13" s="97">
        <f t="shared" si="4"/>
        <v>298</v>
      </c>
      <c r="T13" s="97">
        <f t="shared" si="5"/>
        <v>298</v>
      </c>
    </row>
    <row r="14" spans="1:20" ht="15.75" hidden="1">
      <c r="A14">
        <v>1</v>
      </c>
      <c r="E14" s="89">
        <v>0.3</v>
      </c>
      <c r="F14" s="262" t="e">
        <f t="shared" si="0"/>
        <v>#NAME?</v>
      </c>
      <c r="G14" s="258">
        <v>733</v>
      </c>
      <c r="H14" s="258">
        <v>242</v>
      </c>
      <c r="I14" s="258">
        <v>298</v>
      </c>
      <c r="J14" s="258">
        <v>240</v>
      </c>
      <c r="K14" s="258">
        <v>224</v>
      </c>
      <c r="L14" s="258">
        <v>0</v>
      </c>
      <c r="M14" s="258">
        <v>472</v>
      </c>
      <c r="N14" s="258">
        <v>435</v>
      </c>
      <c r="O14" s="97">
        <f t="shared" si="6"/>
        <v>435</v>
      </c>
      <c r="P14" s="97">
        <f t="shared" si="1"/>
        <v>242</v>
      </c>
      <c r="Q14" s="97">
        <f t="shared" si="2"/>
        <v>298</v>
      </c>
      <c r="R14" s="97">
        <f t="shared" si="3"/>
        <v>298</v>
      </c>
      <c r="S14" s="97">
        <f t="shared" si="4"/>
        <v>298</v>
      </c>
      <c r="T14" s="97">
        <f t="shared" si="5"/>
        <v>298</v>
      </c>
    </row>
    <row r="15" spans="1:20" ht="15.75" hidden="1">
      <c r="A15">
        <v>1</v>
      </c>
      <c r="E15" s="89">
        <v>0.4</v>
      </c>
      <c r="F15" s="262" t="e">
        <f t="shared" si="0"/>
        <v>#NAME?</v>
      </c>
      <c r="G15" s="258">
        <v>796</v>
      </c>
      <c r="H15" s="258">
        <v>261</v>
      </c>
      <c r="I15" s="258">
        <v>311</v>
      </c>
      <c r="J15" s="258">
        <v>248</v>
      </c>
      <c r="K15" s="258">
        <v>224</v>
      </c>
      <c r="L15" s="258">
        <v>174</v>
      </c>
      <c r="M15" s="258">
        <v>546</v>
      </c>
      <c r="N15" s="258">
        <v>497</v>
      </c>
      <c r="O15" s="97">
        <f t="shared" si="6"/>
        <v>497</v>
      </c>
      <c r="P15" s="97">
        <f t="shared" si="1"/>
        <v>261</v>
      </c>
      <c r="Q15" s="97">
        <f t="shared" si="2"/>
        <v>311</v>
      </c>
      <c r="R15" s="97">
        <f t="shared" si="3"/>
        <v>311</v>
      </c>
      <c r="S15" s="97">
        <f t="shared" si="4"/>
        <v>311</v>
      </c>
      <c r="T15" s="97">
        <f t="shared" si="5"/>
        <v>311</v>
      </c>
    </row>
    <row r="16" spans="1:20" ht="15.75" hidden="1">
      <c r="A16">
        <v>1</v>
      </c>
      <c r="E16" s="89">
        <v>0.5</v>
      </c>
      <c r="F16" s="262" t="e">
        <f t="shared" si="0"/>
        <v>#NAME?</v>
      </c>
      <c r="G16" s="258">
        <v>575</v>
      </c>
      <c r="H16" s="258">
        <v>286</v>
      </c>
      <c r="I16" s="258">
        <v>311</v>
      </c>
      <c r="J16" s="258">
        <v>248</v>
      </c>
      <c r="K16" s="258">
        <v>224</v>
      </c>
      <c r="L16" s="258">
        <v>174</v>
      </c>
      <c r="M16" s="258">
        <v>590</v>
      </c>
      <c r="N16" s="258">
        <v>540</v>
      </c>
      <c r="O16" s="97">
        <f t="shared" si="6"/>
        <v>540</v>
      </c>
      <c r="P16" s="97">
        <f t="shared" si="1"/>
        <v>286</v>
      </c>
      <c r="Q16" s="97">
        <f t="shared" si="2"/>
        <v>311</v>
      </c>
      <c r="R16" s="97">
        <f t="shared" si="3"/>
        <v>311</v>
      </c>
      <c r="S16" s="97">
        <f t="shared" si="4"/>
        <v>311</v>
      </c>
      <c r="T16" s="97">
        <f t="shared" si="5"/>
        <v>311</v>
      </c>
    </row>
    <row r="17" spans="1:20" ht="15.75" hidden="1">
      <c r="A17">
        <v>1</v>
      </c>
      <c r="E17" s="89">
        <v>0.6</v>
      </c>
      <c r="F17" s="262" t="e">
        <f t="shared" si="0"/>
        <v>#NAME?</v>
      </c>
      <c r="G17" s="258">
        <v>578</v>
      </c>
      <c r="H17" s="258">
        <v>323</v>
      </c>
      <c r="I17" s="258">
        <v>323</v>
      </c>
      <c r="J17" s="258">
        <v>252</v>
      </c>
      <c r="K17" s="258">
        <v>236</v>
      </c>
      <c r="L17" s="258">
        <v>199</v>
      </c>
      <c r="M17" s="258">
        <v>633</v>
      </c>
      <c r="N17" s="258">
        <v>559</v>
      </c>
      <c r="O17" s="97">
        <f t="shared" si="6"/>
        <v>559</v>
      </c>
      <c r="P17" s="97">
        <f t="shared" si="1"/>
        <v>323</v>
      </c>
      <c r="Q17" s="97">
        <f t="shared" si="2"/>
        <v>323</v>
      </c>
      <c r="R17" s="97">
        <f t="shared" si="3"/>
        <v>323</v>
      </c>
      <c r="S17" s="97">
        <f t="shared" si="4"/>
        <v>323</v>
      </c>
      <c r="T17" s="97">
        <f t="shared" si="5"/>
        <v>323</v>
      </c>
    </row>
    <row r="18" spans="1:20" ht="15.75" hidden="1">
      <c r="A18">
        <v>1</v>
      </c>
      <c r="E18" s="89">
        <v>0.7</v>
      </c>
      <c r="F18" s="262" t="e">
        <f t="shared" si="0"/>
        <v>#NAME?</v>
      </c>
      <c r="G18" s="258">
        <v>553</v>
      </c>
      <c r="H18" s="258">
        <v>354</v>
      </c>
      <c r="I18" s="258">
        <v>453</v>
      </c>
      <c r="J18" s="258">
        <v>286</v>
      </c>
      <c r="K18" s="258">
        <v>236</v>
      </c>
      <c r="L18" s="258">
        <v>199</v>
      </c>
      <c r="M18" s="258">
        <v>652</v>
      </c>
      <c r="N18" s="258">
        <v>578</v>
      </c>
      <c r="O18" s="97">
        <f t="shared" si="6"/>
        <v>578</v>
      </c>
      <c r="P18" s="97">
        <f t="shared" si="1"/>
        <v>354</v>
      </c>
      <c r="Q18" s="97">
        <f t="shared" si="2"/>
        <v>453</v>
      </c>
      <c r="R18" s="97">
        <f t="shared" si="3"/>
        <v>453</v>
      </c>
      <c r="S18" s="97">
        <f t="shared" si="4"/>
        <v>453</v>
      </c>
      <c r="T18" s="97">
        <f t="shared" si="5"/>
        <v>453</v>
      </c>
    </row>
    <row r="19" spans="1:20" ht="15.75" hidden="1">
      <c r="A19">
        <v>1</v>
      </c>
      <c r="E19" s="89">
        <v>0.8</v>
      </c>
      <c r="F19" s="262" t="e">
        <f t="shared" si="0"/>
        <v>#NAME?</v>
      </c>
      <c r="G19" s="258">
        <v>664</v>
      </c>
      <c r="H19" s="258">
        <v>428</v>
      </c>
      <c r="I19" s="258">
        <v>491</v>
      </c>
      <c r="J19" s="258">
        <v>422</v>
      </c>
      <c r="K19" s="258">
        <v>348</v>
      </c>
      <c r="L19" s="258">
        <v>224</v>
      </c>
      <c r="M19" s="258">
        <v>689</v>
      </c>
      <c r="N19" s="258">
        <v>590</v>
      </c>
      <c r="O19" s="97">
        <f t="shared" si="6"/>
        <v>590</v>
      </c>
      <c r="P19" s="97">
        <f t="shared" si="1"/>
        <v>428</v>
      </c>
      <c r="Q19" s="97">
        <f t="shared" si="2"/>
        <v>491</v>
      </c>
      <c r="R19" s="97">
        <f t="shared" si="3"/>
        <v>491</v>
      </c>
      <c r="S19" s="97">
        <f t="shared" si="4"/>
        <v>491</v>
      </c>
      <c r="T19" s="97">
        <f t="shared" si="5"/>
        <v>491</v>
      </c>
    </row>
    <row r="20" spans="1:20" ht="15.75" hidden="1">
      <c r="A20">
        <v>1</v>
      </c>
      <c r="E20" s="89">
        <v>1</v>
      </c>
      <c r="F20" s="262" t="e">
        <f t="shared" si="0"/>
        <v>#NAME?</v>
      </c>
      <c r="G20" s="258">
        <v>826</v>
      </c>
      <c r="H20" s="258">
        <v>540</v>
      </c>
      <c r="I20" s="258">
        <v>509</v>
      </c>
      <c r="J20" s="258">
        <v>410</v>
      </c>
      <c r="K20" s="258">
        <v>385</v>
      </c>
      <c r="L20" s="258">
        <v>224</v>
      </c>
      <c r="M20" s="258">
        <v>733</v>
      </c>
      <c r="N20" s="258">
        <v>609</v>
      </c>
      <c r="O20" s="97">
        <f t="shared" si="6"/>
        <v>609</v>
      </c>
      <c r="P20" s="97">
        <f t="shared" si="1"/>
        <v>540</v>
      </c>
      <c r="Q20" s="97">
        <f t="shared" si="2"/>
        <v>509</v>
      </c>
      <c r="R20" s="97">
        <f t="shared" si="3"/>
        <v>509</v>
      </c>
      <c r="S20" s="97">
        <f t="shared" si="4"/>
        <v>509</v>
      </c>
      <c r="T20" s="97">
        <f t="shared" si="5"/>
        <v>509</v>
      </c>
    </row>
    <row r="21" spans="1:20" ht="15.75" hidden="1">
      <c r="A21">
        <v>1</v>
      </c>
      <c r="E21" s="89">
        <v>1.1</v>
      </c>
      <c r="F21" s="262" t="e">
        <f t="shared" si="0"/>
        <v>#NAME?</v>
      </c>
      <c r="G21" s="258">
        <v>925</v>
      </c>
      <c r="H21" s="258">
        <v>615</v>
      </c>
      <c r="I21" s="258">
        <v>534</v>
      </c>
      <c r="J21" s="258">
        <v>410</v>
      </c>
      <c r="K21" s="258">
        <v>397</v>
      </c>
      <c r="L21" s="258">
        <v>236</v>
      </c>
      <c r="M21" s="258">
        <v>764</v>
      </c>
      <c r="N21" s="258">
        <v>627</v>
      </c>
      <c r="O21" s="97">
        <f t="shared" si="6"/>
        <v>627</v>
      </c>
      <c r="P21" s="97">
        <f t="shared" si="1"/>
        <v>615</v>
      </c>
      <c r="Q21" s="97">
        <f t="shared" si="2"/>
        <v>534</v>
      </c>
      <c r="R21" s="97">
        <f t="shared" si="3"/>
        <v>534</v>
      </c>
      <c r="S21" s="97">
        <f t="shared" si="4"/>
        <v>534</v>
      </c>
      <c r="T21" s="97">
        <f t="shared" si="5"/>
        <v>534</v>
      </c>
    </row>
    <row r="22" spans="1:20" ht="16.5" hidden="1" thickBot="1">
      <c r="A22">
        <v>1</v>
      </c>
      <c r="E22" s="90">
        <v>1.2</v>
      </c>
      <c r="F22" s="262" t="e">
        <f t="shared" si="0"/>
        <v>#NAME?</v>
      </c>
      <c r="G22" s="258">
        <v>956</v>
      </c>
      <c r="H22" s="258">
        <v>633</v>
      </c>
      <c r="I22" s="258">
        <v>596</v>
      </c>
      <c r="J22" s="258">
        <v>416</v>
      </c>
      <c r="K22" s="258">
        <v>410</v>
      </c>
      <c r="L22" s="258">
        <v>236</v>
      </c>
      <c r="M22" s="258">
        <v>770</v>
      </c>
      <c r="N22" s="258">
        <v>633</v>
      </c>
      <c r="O22" s="97">
        <f t="shared" si="6"/>
        <v>633</v>
      </c>
      <c r="P22" s="97">
        <f t="shared" si="1"/>
        <v>633</v>
      </c>
      <c r="Q22" s="97">
        <f t="shared" si="2"/>
        <v>596</v>
      </c>
      <c r="R22" s="97">
        <f t="shared" si="3"/>
        <v>596</v>
      </c>
      <c r="S22" s="97">
        <f t="shared" si="4"/>
        <v>596</v>
      </c>
      <c r="T22" s="97">
        <f t="shared" si="5"/>
        <v>596</v>
      </c>
    </row>
    <row r="23" spans="5:20" s="161" customFormat="1" ht="15.75" hidden="1">
      <c r="E23" s="162"/>
      <c r="F23" s="104"/>
      <c r="G23" s="104"/>
      <c r="H23" s="163"/>
      <c r="I23" s="164"/>
      <c r="J23" s="164"/>
      <c r="K23" s="104"/>
      <c r="L23" s="11"/>
      <c r="M23" s="95"/>
      <c r="N23" s="95"/>
      <c r="O23" s="95"/>
      <c r="P23" s="95"/>
      <c r="Q23" s="95"/>
      <c r="R23" s="95"/>
      <c r="S23" s="95"/>
      <c r="T23" s="95"/>
    </row>
    <row r="24" spans="5:20" s="161" customFormat="1" ht="15.75" hidden="1">
      <c r="E24" s="162"/>
      <c r="F24" s="104" t="s">
        <v>375</v>
      </c>
      <c r="G24" s="104" t="e">
        <f>LOOKUP(F56,porantvar1,cod06cargosvar1feb11)</f>
        <v>#NAME?</v>
      </c>
      <c r="H24" s="163"/>
      <c r="I24" s="164"/>
      <c r="J24" s="164"/>
      <c r="K24" s="104"/>
      <c r="L24" s="11"/>
      <c r="M24" s="95"/>
      <c r="N24" s="95"/>
      <c r="O24" s="95"/>
      <c r="P24" s="95"/>
      <c r="Q24" s="95"/>
      <c r="R24" s="95"/>
      <c r="S24" s="95"/>
      <c r="T24" s="95"/>
    </row>
    <row r="25" spans="5:20" s="161" customFormat="1" ht="15.75" hidden="1">
      <c r="E25" s="162"/>
      <c r="F25" s="104"/>
      <c r="G25" s="104"/>
      <c r="H25" s="163"/>
      <c r="I25" s="164"/>
      <c r="J25" s="164"/>
      <c r="K25" s="104"/>
      <c r="L25" s="11"/>
      <c r="M25" s="95"/>
      <c r="N25" s="95"/>
      <c r="O25" s="95"/>
      <c r="P25" s="95"/>
      <c r="Q25" s="95"/>
      <c r="R25" s="95"/>
      <c r="S25" s="95"/>
      <c r="T25" s="95"/>
    </row>
    <row r="26" spans="5:20" s="161" customFormat="1" ht="16.5" hidden="1" thickBot="1">
      <c r="E26"/>
      <c r="F26" t="s">
        <v>345</v>
      </c>
      <c r="G26" s="10" t="s">
        <v>347</v>
      </c>
      <c r="H26" s="10" t="s">
        <v>348</v>
      </c>
      <c r="I26" s="94" t="s">
        <v>349</v>
      </c>
      <c r="J26" s="94" t="s">
        <v>350</v>
      </c>
      <c r="K26" s="94" t="s">
        <v>351</v>
      </c>
      <c r="L26" s="94" t="s">
        <v>352</v>
      </c>
      <c r="M26" s="94" t="s">
        <v>353</v>
      </c>
      <c r="N26" s="94" t="s">
        <v>354</v>
      </c>
      <c r="O26" s="96" t="s">
        <v>355</v>
      </c>
      <c r="P26" s="96">
        <v>1</v>
      </c>
      <c r="Q26" s="96">
        <v>2</v>
      </c>
      <c r="R26" s="96">
        <v>3</v>
      </c>
      <c r="S26" s="96">
        <v>4</v>
      </c>
      <c r="T26" s="96">
        <v>5</v>
      </c>
    </row>
    <row r="27" spans="1:20" s="161" customFormat="1" ht="15.75" hidden="1">
      <c r="A27" s="161">
        <v>1</v>
      </c>
      <c r="E27" s="87">
        <v>0</v>
      </c>
      <c r="F27" s="262" t="e">
        <f aca="true" t="shared" si="7" ref="F27:F38">IF(puntosproljorvarios1&lt;620,T27,O27)</f>
        <v>#NAME?</v>
      </c>
      <c r="G27" s="10">
        <v>499</v>
      </c>
      <c r="H27" s="10">
        <v>121</v>
      </c>
      <c r="I27" s="10">
        <v>0</v>
      </c>
      <c r="J27" s="10">
        <v>0</v>
      </c>
      <c r="K27" s="10">
        <v>0</v>
      </c>
      <c r="L27" s="10">
        <v>0</v>
      </c>
      <c r="M27" s="10">
        <v>121</v>
      </c>
      <c r="N27" s="10">
        <v>121</v>
      </c>
      <c r="O27" s="97">
        <f>IF(punbasjubvarios1&gt;971,N27,M27)</f>
        <v>121</v>
      </c>
      <c r="P27" s="97">
        <f aca="true" t="shared" si="8" ref="P27:P38">IF(punbasjubvarios1&lt;972,G27,H27)</f>
        <v>121</v>
      </c>
      <c r="Q27" s="97">
        <f aca="true" t="shared" si="9" ref="Q27:Q38">IF(punbasjubvarios1&lt;1170,P27,I27)</f>
        <v>0</v>
      </c>
      <c r="R27" s="97">
        <f aca="true" t="shared" si="10" ref="R27:R38">IF(punbasjubvarios1&lt;1401,Q27,J27)</f>
        <v>0</v>
      </c>
      <c r="S27" s="97">
        <f aca="true" t="shared" si="11" ref="S27:S38">IF(punbasjubvarios1&lt;1943,R27,K27)</f>
        <v>0</v>
      </c>
      <c r="T27" s="97">
        <f aca="true" t="shared" si="12" ref="T27:T38">IF(punbasjubvarios1&lt;=2220,S27,L27)</f>
        <v>0</v>
      </c>
    </row>
    <row r="28" spans="1:20" s="161" customFormat="1" ht="15.75" hidden="1">
      <c r="A28" s="161">
        <v>1</v>
      </c>
      <c r="E28" s="88">
        <v>0.1</v>
      </c>
      <c r="F28" s="262" t="e">
        <f t="shared" si="7"/>
        <v>#NAME?</v>
      </c>
      <c r="G28" s="10">
        <v>709</v>
      </c>
      <c r="H28" s="10">
        <v>137</v>
      </c>
      <c r="I28" s="10">
        <v>0</v>
      </c>
      <c r="J28" s="10">
        <v>0</v>
      </c>
      <c r="K28" s="10">
        <v>0</v>
      </c>
      <c r="L28" s="10">
        <v>0</v>
      </c>
      <c r="M28" s="10">
        <v>137</v>
      </c>
      <c r="N28" s="10">
        <v>137</v>
      </c>
      <c r="O28" s="97">
        <f aca="true" t="shared" si="13" ref="O28:O38">IF(punbasjubvarios1&gt;971,N28,M28)</f>
        <v>137</v>
      </c>
      <c r="P28" s="97">
        <f t="shared" si="8"/>
        <v>137</v>
      </c>
      <c r="Q28" s="97">
        <f t="shared" si="9"/>
        <v>0</v>
      </c>
      <c r="R28" s="97">
        <f t="shared" si="10"/>
        <v>0</v>
      </c>
      <c r="S28" s="97">
        <f t="shared" si="11"/>
        <v>0</v>
      </c>
      <c r="T28" s="97">
        <f t="shared" si="12"/>
        <v>0</v>
      </c>
    </row>
    <row r="29" spans="1:20" s="161" customFormat="1" ht="15.75" hidden="1">
      <c r="A29" s="161">
        <v>1</v>
      </c>
      <c r="E29" s="89">
        <v>0.15</v>
      </c>
      <c r="F29" s="262" t="e">
        <f t="shared" si="7"/>
        <v>#NAME?</v>
      </c>
      <c r="G29" s="10">
        <v>860</v>
      </c>
      <c r="H29" s="10">
        <v>273</v>
      </c>
      <c r="I29" s="10">
        <v>364</v>
      </c>
      <c r="J29" s="10">
        <v>293</v>
      </c>
      <c r="K29" s="10">
        <v>273</v>
      </c>
      <c r="L29" s="10">
        <v>0</v>
      </c>
      <c r="M29" s="10">
        <v>333</v>
      </c>
      <c r="N29" s="10">
        <v>333</v>
      </c>
      <c r="O29" s="97">
        <f t="shared" si="13"/>
        <v>333</v>
      </c>
      <c r="P29" s="97">
        <f t="shared" si="8"/>
        <v>273</v>
      </c>
      <c r="Q29" s="97">
        <f t="shared" si="9"/>
        <v>364</v>
      </c>
      <c r="R29" s="97">
        <f t="shared" si="10"/>
        <v>364</v>
      </c>
      <c r="S29" s="97">
        <f t="shared" si="11"/>
        <v>364</v>
      </c>
      <c r="T29" s="97">
        <f t="shared" si="12"/>
        <v>364</v>
      </c>
    </row>
    <row r="30" spans="1:20" s="161" customFormat="1" ht="15.75" hidden="1">
      <c r="A30" s="161">
        <v>1</v>
      </c>
      <c r="E30" s="89">
        <v>0.3</v>
      </c>
      <c r="F30" s="262" t="e">
        <f t="shared" si="7"/>
        <v>#NAME?</v>
      </c>
      <c r="G30" s="10">
        <v>894</v>
      </c>
      <c r="H30" s="10">
        <v>295</v>
      </c>
      <c r="I30" s="10">
        <v>364</v>
      </c>
      <c r="J30" s="10">
        <v>293</v>
      </c>
      <c r="K30" s="10">
        <v>273</v>
      </c>
      <c r="L30" s="10">
        <v>0</v>
      </c>
      <c r="M30" s="10">
        <v>576</v>
      </c>
      <c r="N30" s="10">
        <v>531</v>
      </c>
      <c r="O30" s="97">
        <f t="shared" si="13"/>
        <v>531</v>
      </c>
      <c r="P30" s="97">
        <f t="shared" si="8"/>
        <v>295</v>
      </c>
      <c r="Q30" s="97">
        <f t="shared" si="9"/>
        <v>364</v>
      </c>
      <c r="R30" s="97">
        <f t="shared" si="10"/>
        <v>364</v>
      </c>
      <c r="S30" s="97">
        <f t="shared" si="11"/>
        <v>364</v>
      </c>
      <c r="T30" s="97">
        <f t="shared" si="12"/>
        <v>364</v>
      </c>
    </row>
    <row r="31" spans="1:20" s="161" customFormat="1" ht="15.75" hidden="1">
      <c r="A31" s="161">
        <v>1</v>
      </c>
      <c r="E31" s="89">
        <v>0.4</v>
      </c>
      <c r="F31" s="262" t="e">
        <f t="shared" si="7"/>
        <v>#NAME?</v>
      </c>
      <c r="G31" s="10">
        <v>806</v>
      </c>
      <c r="H31" s="10">
        <v>318</v>
      </c>
      <c r="I31" s="10">
        <v>379</v>
      </c>
      <c r="J31" s="10">
        <v>303</v>
      </c>
      <c r="K31" s="10">
        <v>273</v>
      </c>
      <c r="L31" s="10">
        <v>212</v>
      </c>
      <c r="M31" s="10">
        <v>666</v>
      </c>
      <c r="N31" s="10">
        <v>606</v>
      </c>
      <c r="O31" s="97">
        <f t="shared" si="13"/>
        <v>606</v>
      </c>
      <c r="P31" s="97">
        <f t="shared" si="8"/>
        <v>318</v>
      </c>
      <c r="Q31" s="97">
        <f t="shared" si="9"/>
        <v>379</v>
      </c>
      <c r="R31" s="97">
        <f t="shared" si="10"/>
        <v>379</v>
      </c>
      <c r="S31" s="97">
        <f t="shared" si="11"/>
        <v>379</v>
      </c>
      <c r="T31" s="97">
        <f t="shared" si="12"/>
        <v>379</v>
      </c>
    </row>
    <row r="32" spans="1:20" s="161" customFormat="1" ht="15.75" hidden="1">
      <c r="A32" s="161">
        <v>1</v>
      </c>
      <c r="E32" s="89">
        <v>0.5</v>
      </c>
      <c r="F32" s="262" t="e">
        <f t="shared" si="7"/>
        <v>#NAME?</v>
      </c>
      <c r="G32" s="10">
        <v>702</v>
      </c>
      <c r="H32" s="10">
        <v>349</v>
      </c>
      <c r="I32" s="10">
        <v>379</v>
      </c>
      <c r="J32" s="10">
        <v>303</v>
      </c>
      <c r="K32" s="10">
        <v>273</v>
      </c>
      <c r="L32" s="10">
        <v>212</v>
      </c>
      <c r="M32" s="10">
        <v>720</v>
      </c>
      <c r="N32" s="10">
        <v>659</v>
      </c>
      <c r="O32" s="97">
        <f t="shared" si="13"/>
        <v>659</v>
      </c>
      <c r="P32" s="97">
        <f t="shared" si="8"/>
        <v>349</v>
      </c>
      <c r="Q32" s="97">
        <f t="shared" si="9"/>
        <v>379</v>
      </c>
      <c r="R32" s="97">
        <f t="shared" si="10"/>
        <v>379</v>
      </c>
      <c r="S32" s="97">
        <f t="shared" si="11"/>
        <v>379</v>
      </c>
      <c r="T32" s="97">
        <f t="shared" si="12"/>
        <v>379</v>
      </c>
    </row>
    <row r="33" spans="1:20" s="161" customFormat="1" ht="15.75" hidden="1">
      <c r="A33" s="161">
        <v>1</v>
      </c>
      <c r="E33" s="89">
        <v>0.6</v>
      </c>
      <c r="F33" s="262" t="e">
        <f t="shared" si="7"/>
        <v>#NAME?</v>
      </c>
      <c r="G33" s="10">
        <v>705</v>
      </c>
      <c r="H33" s="10">
        <v>394</v>
      </c>
      <c r="I33" s="10">
        <v>394</v>
      </c>
      <c r="J33" s="10">
        <v>307</v>
      </c>
      <c r="K33" s="10">
        <v>288</v>
      </c>
      <c r="L33" s="10">
        <v>243</v>
      </c>
      <c r="M33" s="10">
        <v>772</v>
      </c>
      <c r="N33" s="10">
        <v>682</v>
      </c>
      <c r="O33" s="97">
        <f t="shared" si="13"/>
        <v>682</v>
      </c>
      <c r="P33" s="97">
        <f t="shared" si="8"/>
        <v>394</v>
      </c>
      <c r="Q33" s="97">
        <f t="shared" si="9"/>
        <v>394</v>
      </c>
      <c r="R33" s="97">
        <f t="shared" si="10"/>
        <v>394</v>
      </c>
      <c r="S33" s="97">
        <f t="shared" si="11"/>
        <v>394</v>
      </c>
      <c r="T33" s="97">
        <f t="shared" si="12"/>
        <v>394</v>
      </c>
    </row>
    <row r="34" spans="1:20" s="161" customFormat="1" ht="15.75" hidden="1">
      <c r="A34" s="161">
        <v>1</v>
      </c>
      <c r="E34" s="89">
        <v>0.7</v>
      </c>
      <c r="F34" s="262" t="e">
        <f t="shared" si="7"/>
        <v>#NAME?</v>
      </c>
      <c r="G34" s="10">
        <v>675</v>
      </c>
      <c r="H34" s="10">
        <v>432</v>
      </c>
      <c r="I34" s="10">
        <v>553</v>
      </c>
      <c r="J34" s="10">
        <v>349</v>
      </c>
      <c r="K34" s="10">
        <v>288</v>
      </c>
      <c r="L34" s="10">
        <v>243</v>
      </c>
      <c r="M34" s="10">
        <v>795</v>
      </c>
      <c r="N34" s="10">
        <v>705</v>
      </c>
      <c r="O34" s="97">
        <f t="shared" si="13"/>
        <v>705</v>
      </c>
      <c r="P34" s="97">
        <f t="shared" si="8"/>
        <v>432</v>
      </c>
      <c r="Q34" s="97">
        <f t="shared" si="9"/>
        <v>553</v>
      </c>
      <c r="R34" s="97">
        <f t="shared" si="10"/>
        <v>553</v>
      </c>
      <c r="S34" s="97">
        <f t="shared" si="11"/>
        <v>553</v>
      </c>
      <c r="T34" s="97">
        <f t="shared" si="12"/>
        <v>553</v>
      </c>
    </row>
    <row r="35" spans="1:20" s="161" customFormat="1" ht="15.75" hidden="1">
      <c r="A35" s="161">
        <v>1</v>
      </c>
      <c r="E35" s="89">
        <v>0.8</v>
      </c>
      <c r="F35" s="262" t="e">
        <f t="shared" si="7"/>
        <v>#NAME?</v>
      </c>
      <c r="G35" s="10">
        <v>810</v>
      </c>
      <c r="H35" s="10">
        <v>522</v>
      </c>
      <c r="I35" s="10">
        <v>599</v>
      </c>
      <c r="J35" s="10">
        <v>515</v>
      </c>
      <c r="K35" s="10">
        <v>425</v>
      </c>
      <c r="L35" s="10">
        <v>273</v>
      </c>
      <c r="M35" s="10">
        <v>841</v>
      </c>
      <c r="N35" s="10">
        <v>720</v>
      </c>
      <c r="O35" s="97">
        <f t="shared" si="13"/>
        <v>720</v>
      </c>
      <c r="P35" s="97">
        <f t="shared" si="8"/>
        <v>522</v>
      </c>
      <c r="Q35" s="97">
        <f t="shared" si="9"/>
        <v>599</v>
      </c>
      <c r="R35" s="97">
        <f t="shared" si="10"/>
        <v>599</v>
      </c>
      <c r="S35" s="97">
        <f t="shared" si="11"/>
        <v>599</v>
      </c>
      <c r="T35" s="97">
        <f t="shared" si="12"/>
        <v>599</v>
      </c>
    </row>
    <row r="36" spans="1:20" s="161" customFormat="1" ht="15.75" hidden="1">
      <c r="A36" s="161">
        <v>1</v>
      </c>
      <c r="E36" s="89">
        <v>1</v>
      </c>
      <c r="F36" s="262" t="e">
        <f t="shared" si="7"/>
        <v>#NAME?</v>
      </c>
      <c r="G36" s="10">
        <v>1008</v>
      </c>
      <c r="H36" s="10">
        <v>659</v>
      </c>
      <c r="I36" s="10">
        <v>621</v>
      </c>
      <c r="J36" s="10">
        <v>500</v>
      </c>
      <c r="K36" s="10">
        <v>470</v>
      </c>
      <c r="L36" s="10">
        <v>273</v>
      </c>
      <c r="M36" s="10">
        <v>894</v>
      </c>
      <c r="N36" s="10">
        <v>743</v>
      </c>
      <c r="O36" s="97">
        <f t="shared" si="13"/>
        <v>743</v>
      </c>
      <c r="P36" s="97">
        <f t="shared" si="8"/>
        <v>659</v>
      </c>
      <c r="Q36" s="97">
        <f t="shared" si="9"/>
        <v>621</v>
      </c>
      <c r="R36" s="97">
        <f t="shared" si="10"/>
        <v>621</v>
      </c>
      <c r="S36" s="97">
        <f t="shared" si="11"/>
        <v>621</v>
      </c>
      <c r="T36" s="97">
        <f t="shared" si="12"/>
        <v>621</v>
      </c>
    </row>
    <row r="37" spans="1:20" s="161" customFormat="1" ht="15.75" hidden="1">
      <c r="A37" s="161">
        <v>1</v>
      </c>
      <c r="E37" s="89">
        <v>1.1</v>
      </c>
      <c r="F37" s="262" t="e">
        <f t="shared" si="7"/>
        <v>#NAME?</v>
      </c>
      <c r="G37" s="285">
        <v>1129</v>
      </c>
      <c r="H37" s="286">
        <v>750</v>
      </c>
      <c r="I37" s="10">
        <v>651</v>
      </c>
      <c r="J37" s="10">
        <v>500</v>
      </c>
      <c r="K37" s="10">
        <v>484</v>
      </c>
      <c r="L37" s="10">
        <v>288</v>
      </c>
      <c r="M37" s="10">
        <v>932</v>
      </c>
      <c r="N37" s="10">
        <v>765</v>
      </c>
      <c r="O37" s="97">
        <f t="shared" si="13"/>
        <v>765</v>
      </c>
      <c r="P37" s="97">
        <f t="shared" si="8"/>
        <v>750</v>
      </c>
      <c r="Q37" s="97">
        <f t="shared" si="9"/>
        <v>651</v>
      </c>
      <c r="R37" s="97">
        <f t="shared" si="10"/>
        <v>651</v>
      </c>
      <c r="S37" s="97">
        <f t="shared" si="11"/>
        <v>651</v>
      </c>
      <c r="T37" s="97">
        <f t="shared" si="12"/>
        <v>651</v>
      </c>
    </row>
    <row r="38" spans="1:20" s="161" customFormat="1" ht="16.5" hidden="1" thickBot="1">
      <c r="A38" s="161">
        <v>1</v>
      </c>
      <c r="E38" s="90">
        <v>1.2</v>
      </c>
      <c r="F38" s="262" t="e">
        <f t="shared" si="7"/>
        <v>#NAME?</v>
      </c>
      <c r="G38" s="10">
        <v>1166</v>
      </c>
      <c r="H38" s="10">
        <v>772</v>
      </c>
      <c r="I38" s="10">
        <v>727</v>
      </c>
      <c r="J38" s="10">
        <v>508</v>
      </c>
      <c r="K38" s="10">
        <v>500</v>
      </c>
      <c r="L38" s="10">
        <v>288</v>
      </c>
      <c r="M38" s="10">
        <v>939</v>
      </c>
      <c r="N38" s="10">
        <v>772</v>
      </c>
      <c r="O38" s="97">
        <f t="shared" si="13"/>
        <v>772</v>
      </c>
      <c r="P38" s="97">
        <f t="shared" si="8"/>
        <v>772</v>
      </c>
      <c r="Q38" s="97">
        <f t="shared" si="9"/>
        <v>727</v>
      </c>
      <c r="R38" s="97">
        <f t="shared" si="10"/>
        <v>727</v>
      </c>
      <c r="S38" s="97">
        <f t="shared" si="11"/>
        <v>727</v>
      </c>
      <c r="T38" s="97">
        <f t="shared" si="12"/>
        <v>727</v>
      </c>
    </row>
    <row r="39" spans="1:20" s="161" customFormat="1" ht="15.75" hidden="1">
      <c r="A39" s="161">
        <v>1</v>
      </c>
      <c r="E39" s="162"/>
      <c r="F39" s="104" t="s">
        <v>376</v>
      </c>
      <c r="G39" s="104" t="e">
        <f>LOOKUP(F56,porantvar1,cod06cargosvar1mar11)</f>
        <v>#NAME?</v>
      </c>
      <c r="H39" s="163"/>
      <c r="I39" s="164"/>
      <c r="J39" s="164"/>
      <c r="K39" s="104"/>
      <c r="L39" s="11"/>
      <c r="M39" s="95"/>
      <c r="N39" s="95"/>
      <c r="O39" s="95"/>
      <c r="P39" s="95"/>
      <c r="Q39" s="95"/>
      <c r="R39" s="95"/>
      <c r="S39" s="95"/>
      <c r="T39" s="95"/>
    </row>
    <row r="40" spans="5:20" s="161" customFormat="1" ht="15.75" hidden="1">
      <c r="E40" s="162"/>
      <c r="F40" s="104"/>
      <c r="G40" s="104"/>
      <c r="H40" s="163"/>
      <c r="I40" s="164"/>
      <c r="J40" s="164"/>
      <c r="K40" s="104"/>
      <c r="L40" s="11"/>
      <c r="M40" s="95"/>
      <c r="N40" s="95"/>
      <c r="O40" s="95"/>
      <c r="P40" s="95"/>
      <c r="Q40" s="95"/>
      <c r="R40" s="95"/>
      <c r="S40" s="95"/>
      <c r="T40" s="95"/>
    </row>
    <row r="41" spans="5:20" s="161" customFormat="1" ht="15.75" hidden="1">
      <c r="E41" s="162"/>
      <c r="F41" s="104"/>
      <c r="G41" s="104"/>
      <c r="H41" s="163"/>
      <c r="I41" s="164"/>
      <c r="J41" s="164"/>
      <c r="K41" s="104"/>
      <c r="L41" s="11"/>
      <c r="M41" s="95"/>
      <c r="N41" s="95"/>
      <c r="O41" s="95"/>
      <c r="P41" s="95"/>
      <c r="Q41" s="95"/>
      <c r="R41" s="95"/>
      <c r="S41" s="95"/>
      <c r="T41" s="95"/>
    </row>
    <row r="42" spans="5:20" s="161" customFormat="1" ht="15.75" hidden="1">
      <c r="E42" s="162"/>
      <c r="F42" s="104"/>
      <c r="G42" s="104"/>
      <c r="H42" s="163"/>
      <c r="I42" s="164"/>
      <c r="J42" s="164"/>
      <c r="K42" s="104"/>
      <c r="L42" s="11"/>
      <c r="M42" s="95"/>
      <c r="N42" s="95"/>
      <c r="O42" s="95"/>
      <c r="P42" s="95"/>
      <c r="Q42" s="95"/>
      <c r="R42" s="95"/>
      <c r="S42" s="95"/>
      <c r="T42" s="95"/>
    </row>
    <row r="43" spans="4:20" s="101" customFormat="1" ht="15.75">
      <c r="D43" s="273" t="s">
        <v>365</v>
      </c>
      <c r="E43" s="274"/>
      <c r="F43" s="275"/>
      <c r="G43" s="275"/>
      <c r="H43" s="276"/>
      <c r="I43" s="277"/>
      <c r="J43" s="277"/>
      <c r="K43" s="275"/>
      <c r="L43" s="278"/>
      <c r="M43" s="279"/>
      <c r="N43" s="279"/>
      <c r="O43" s="279"/>
      <c r="P43" s="279"/>
      <c r="Q43" s="279"/>
      <c r="R43" s="279"/>
      <c r="S43" s="279"/>
      <c r="T43" s="279"/>
    </row>
    <row r="44" spans="1:15" ht="12.75">
      <c r="A44" s="102">
        <v>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7" ht="20.25">
      <c r="A45" s="102">
        <v>1</v>
      </c>
      <c r="B45" s="40"/>
      <c r="C45" s="79"/>
      <c r="D45" s="79"/>
      <c r="E45" s="53" t="s">
        <v>337</v>
      </c>
      <c r="F45" s="10"/>
      <c r="G45" s="10"/>
      <c r="H45" s="79"/>
      <c r="I45" s="79"/>
      <c r="J45" s="79"/>
      <c r="K45" s="79"/>
      <c r="L45" s="79"/>
      <c r="M45" s="79"/>
      <c r="N45" s="103"/>
      <c r="O45" s="187"/>
      <c r="P45" s="104"/>
      <c r="Q45" s="104"/>
    </row>
    <row r="46" spans="1:17" ht="12.75">
      <c r="A46" s="102">
        <v>1</v>
      </c>
      <c r="B46" s="40"/>
      <c r="C46" s="40"/>
      <c r="D46" s="40"/>
      <c r="E46" s="40"/>
      <c r="F46" s="40"/>
      <c r="G46" s="40"/>
      <c r="H46" s="177"/>
      <c r="I46" s="40"/>
      <c r="J46" s="40"/>
      <c r="K46" s="40"/>
      <c r="L46" s="40"/>
      <c r="M46" s="40"/>
      <c r="N46" s="103"/>
      <c r="O46" s="187"/>
      <c r="P46" s="104"/>
      <c r="Q46" s="104"/>
    </row>
    <row r="47" spans="1:17" ht="12.75">
      <c r="A47" s="102">
        <v>1</v>
      </c>
      <c r="B47" s="102"/>
      <c r="C47" s="102"/>
      <c r="D47" s="36" t="s">
        <v>30</v>
      </c>
      <c r="E47" s="36" t="s">
        <v>309</v>
      </c>
      <c r="F47" s="36" t="s">
        <v>310</v>
      </c>
      <c r="G47" s="36" t="s">
        <v>311</v>
      </c>
      <c r="H47" s="36" t="s">
        <v>312</v>
      </c>
      <c r="I47" s="73" t="s">
        <v>356</v>
      </c>
      <c r="J47" s="315" t="s">
        <v>383</v>
      </c>
      <c r="K47" s="40"/>
      <c r="L47" s="40"/>
      <c r="M47" s="40"/>
      <c r="N47" s="103"/>
      <c r="O47" s="187"/>
      <c r="P47" s="104"/>
      <c r="Q47" s="104"/>
    </row>
    <row r="48" spans="1:17" ht="16.5" thickBot="1">
      <c r="A48" s="102">
        <v>1</v>
      </c>
      <c r="B48" s="102"/>
      <c r="C48" s="102"/>
      <c r="D48" s="82">
        <v>741</v>
      </c>
      <c r="E48" s="54">
        <f>LOOKUP(D48,[0]!numerocargo,[0]!puntosbasicoscargo)</f>
        <v>1300</v>
      </c>
      <c r="F48" s="54" t="e">
        <f>LOOKUP(D48,[0]!numerocargo,[0]!tardifcargo)</f>
        <v>#NAME?</v>
      </c>
      <c r="G48" s="54">
        <f>LOOKUP(D48,[0]!numerocargo,[0]!proljorcargo)</f>
        <v>1660</v>
      </c>
      <c r="H48" s="54" t="e">
        <f>LOOKUP(D48,[0]!numerocargo,[0]!jorcomcargo)</f>
        <v>#NAME?</v>
      </c>
      <c r="I48" s="36">
        <f>LOOKUP(D48,Cargos!A1:A338,puntoscompbasico)</f>
        <v>216</v>
      </c>
      <c r="J48" s="314" t="e">
        <f>LOOKUP(D48,Cargos!A1:A338,puntosadicdir)</f>
        <v>#REF!</v>
      </c>
      <c r="K48" s="40"/>
      <c r="L48" s="40"/>
      <c r="M48" s="40"/>
      <c r="N48" s="103"/>
      <c r="O48" s="187"/>
      <c r="P48" s="104"/>
      <c r="Q48" s="104"/>
    </row>
    <row r="49" spans="1:17" ht="13.5" thickBot="1">
      <c r="A49" s="102">
        <v>1</v>
      </c>
      <c r="B49" s="102"/>
      <c r="C49" s="102"/>
      <c r="D49" s="55" t="s">
        <v>31</v>
      </c>
      <c r="E49" s="56" t="str">
        <f>LOOKUP(D48,[0]!numerocargo,[0]!nombrecargo)</f>
        <v> SECRETARIO ESCUELA 2DA CATEGORIA</v>
      </c>
      <c r="F49" s="35"/>
      <c r="G49" s="35"/>
      <c r="H49" s="44"/>
      <c r="I49" s="40"/>
      <c r="J49" s="40"/>
      <c r="K49" s="40"/>
      <c r="L49" s="40"/>
      <c r="M49" s="40"/>
      <c r="N49" s="103"/>
      <c r="O49" s="187"/>
      <c r="P49" s="104"/>
      <c r="Q49" s="104"/>
    </row>
    <row r="50" spans="1:17" ht="13.5" thickBot="1">
      <c r="A50" s="102">
        <v>1</v>
      </c>
      <c r="B50" s="102"/>
      <c r="C50" s="102"/>
      <c r="D50" s="176"/>
      <c r="E50" s="177"/>
      <c r="F50" s="40"/>
      <c r="G50" s="40"/>
      <c r="H50" s="40"/>
      <c r="I50" s="91" t="s">
        <v>330</v>
      </c>
      <c r="J50" s="249"/>
      <c r="K50" s="249"/>
      <c r="L50" s="249"/>
      <c r="M50" s="40"/>
      <c r="N50" s="40"/>
      <c r="O50" s="40"/>
      <c r="P50" s="10"/>
      <c r="Q50" s="10"/>
    </row>
    <row r="51" spans="1:17" ht="19.5" thickBot="1" thickTop="1">
      <c r="A51" s="102">
        <v>1</v>
      </c>
      <c r="B51" s="102"/>
      <c r="C51" s="102"/>
      <c r="D51" s="105" t="s">
        <v>324</v>
      </c>
      <c r="E51" s="86"/>
      <c r="F51" s="86"/>
      <c r="G51" s="86"/>
      <c r="H51" s="106">
        <v>53</v>
      </c>
      <c r="I51" s="92">
        <f>H51/120</f>
        <v>0.44166666666666665</v>
      </c>
      <c r="J51" s="177"/>
      <c r="K51" s="177"/>
      <c r="L51" s="177"/>
      <c r="M51" s="40"/>
      <c r="N51" s="40"/>
      <c r="O51" s="40"/>
      <c r="P51" s="10"/>
      <c r="Q51" s="10"/>
    </row>
    <row r="52" spans="1:17" ht="17.25" thickBot="1" thickTop="1">
      <c r="A52" s="102">
        <v>1</v>
      </c>
      <c r="B52" s="176"/>
      <c r="C52" s="177"/>
      <c r="D52" s="40"/>
      <c r="E52" s="40"/>
      <c r="F52" s="243"/>
      <c r="G52" s="40"/>
      <c r="H52" s="177"/>
      <c r="I52" s="40"/>
      <c r="J52" s="40"/>
      <c r="K52" s="40"/>
      <c r="L52" s="40"/>
      <c r="M52" s="40"/>
      <c r="N52" s="40"/>
      <c r="O52" s="40"/>
      <c r="P52" s="10"/>
      <c r="Q52" s="10"/>
    </row>
    <row r="53" spans="1:17" ht="17.25" thickBot="1" thickTop="1">
      <c r="A53" s="102">
        <v>1</v>
      </c>
      <c r="B53" s="176"/>
      <c r="C53" s="102"/>
      <c r="D53" s="85" t="s">
        <v>332</v>
      </c>
      <c r="E53" s="93">
        <v>0</v>
      </c>
      <c r="F53" s="243"/>
      <c r="G53" s="40"/>
      <c r="H53" s="177"/>
      <c r="I53" s="40"/>
      <c r="J53" s="40"/>
      <c r="K53" s="40"/>
      <c r="L53" s="40"/>
      <c r="M53" s="40"/>
      <c r="N53" s="40"/>
      <c r="O53" s="40"/>
      <c r="P53" s="10"/>
      <c r="Q53" s="10"/>
    </row>
    <row r="54" spans="1:17" ht="14.25" thickBot="1" thickTop="1">
      <c r="A54" s="102">
        <v>1</v>
      </c>
      <c r="B54" s="176"/>
      <c r="C54" s="177"/>
      <c r="D54" s="40"/>
      <c r="E54" s="40"/>
      <c r="F54" s="40"/>
      <c r="G54" s="40"/>
      <c r="H54" s="177"/>
      <c r="I54" s="40"/>
      <c r="J54" s="40"/>
      <c r="K54" s="40"/>
      <c r="L54" s="40"/>
      <c r="M54" s="40"/>
      <c r="N54" s="40"/>
      <c r="O54" s="40"/>
      <c r="P54" s="10"/>
      <c r="Q54" s="10"/>
    </row>
    <row r="55" spans="1:17" ht="16.5" thickBot="1">
      <c r="A55" s="102">
        <v>1</v>
      </c>
      <c r="B55" s="40"/>
      <c r="C55" s="79"/>
      <c r="D55" s="57" t="s">
        <v>8</v>
      </c>
      <c r="E55" s="35"/>
      <c r="F55" s="58" t="e">
        <f>E48*indicesep2010</f>
        <v>#NAME?</v>
      </c>
      <c r="G55" s="79"/>
      <c r="H55" s="79"/>
      <c r="I55" s="79"/>
      <c r="J55" s="79"/>
      <c r="K55" s="79"/>
      <c r="L55" s="79"/>
      <c r="M55" s="107"/>
      <c r="N55" s="107"/>
      <c r="O55" s="79"/>
      <c r="P55" s="10"/>
      <c r="Q55" s="10"/>
    </row>
    <row r="56" spans="1:17" ht="16.5" thickBot="1">
      <c r="A56" s="102">
        <v>1</v>
      </c>
      <c r="B56" s="40"/>
      <c r="C56" s="79"/>
      <c r="D56" s="57" t="s">
        <v>9</v>
      </c>
      <c r="E56" s="35"/>
      <c r="F56" s="84">
        <v>1.2</v>
      </c>
      <c r="G56" s="10" t="s">
        <v>10</v>
      </c>
      <c r="H56" s="10"/>
      <c r="I56" s="79"/>
      <c r="J56" s="79"/>
      <c r="K56" s="79"/>
      <c r="L56" s="79"/>
      <c r="M56" s="79"/>
      <c r="N56" s="107"/>
      <c r="O56" s="79"/>
      <c r="P56" s="10"/>
      <c r="Q56" s="10"/>
    </row>
    <row r="57" spans="1:17" ht="15.75">
      <c r="A57" s="102">
        <v>1</v>
      </c>
      <c r="B57" s="40"/>
      <c r="C57" s="79"/>
      <c r="D57" s="40"/>
      <c r="E57" s="40"/>
      <c r="F57" s="321"/>
      <c r="G57" s="79"/>
      <c r="H57" s="79"/>
      <c r="I57" s="79"/>
      <c r="J57" s="79"/>
      <c r="K57" s="79"/>
      <c r="L57" s="79"/>
      <c r="M57" s="79"/>
      <c r="N57" s="108"/>
      <c r="O57" s="79"/>
      <c r="P57" s="10"/>
      <c r="Q57" s="10"/>
    </row>
    <row r="58" spans="1:17" ht="18.75" hidden="1" thickBot="1">
      <c r="A58" s="102">
        <v>1</v>
      </c>
      <c r="B58" s="40"/>
      <c r="C58" s="79"/>
      <c r="D58" s="60" t="s">
        <v>11</v>
      </c>
      <c r="E58" s="60"/>
      <c r="F58" s="61">
        <f>E48</f>
        <v>1300</v>
      </c>
      <c r="G58" s="10" t="s">
        <v>12</v>
      </c>
      <c r="H58" s="79"/>
      <c r="I58" s="225" t="e">
        <f>H48+G48</f>
        <v>#NAME?</v>
      </c>
      <c r="J58" s="107"/>
      <c r="K58" s="107"/>
      <c r="L58" s="107"/>
      <c r="M58" s="40"/>
      <c r="N58" s="79"/>
      <c r="O58" s="79"/>
      <c r="P58" s="10"/>
      <c r="Q58" s="10"/>
    </row>
    <row r="59" spans="1:17" ht="18" hidden="1">
      <c r="A59" s="102"/>
      <c r="B59" s="40"/>
      <c r="C59" s="79"/>
      <c r="D59" s="152"/>
      <c r="E59" s="152"/>
      <c r="F59" s="153"/>
      <c r="G59" s="79"/>
      <c r="H59" s="79"/>
      <c r="I59" s="107"/>
      <c r="J59" s="107"/>
      <c r="K59" s="107"/>
      <c r="L59" s="107"/>
      <c r="M59" s="40"/>
      <c r="N59" s="79"/>
      <c r="O59" s="79"/>
      <c r="P59" s="10"/>
      <c r="Q59" s="10"/>
    </row>
    <row r="60" spans="1:15" ht="15.75" hidden="1">
      <c r="A60" s="102"/>
      <c r="B60" s="40"/>
      <c r="C60" s="79"/>
      <c r="D60" s="10"/>
      <c r="E60" s="98" t="s">
        <v>373</v>
      </c>
      <c r="F60" s="10"/>
      <c r="G60" s="102"/>
      <c r="H60" s="10"/>
      <c r="I60" s="98" t="s">
        <v>374</v>
      </c>
      <c r="J60" s="10"/>
      <c r="K60" s="102"/>
      <c r="L60" s="2"/>
      <c r="M60" s="169"/>
      <c r="N60" s="2"/>
      <c r="O60" s="290"/>
    </row>
    <row r="61" spans="1:15" ht="12.75" hidden="1">
      <c r="A61" s="102">
        <v>1</v>
      </c>
      <c r="B61" s="40"/>
      <c r="C61" s="102"/>
      <c r="D61" s="16">
        <v>400</v>
      </c>
      <c r="E61" s="16" t="s">
        <v>13</v>
      </c>
      <c r="F61" s="62" t="e">
        <f>punbasjubvarios1*indicesep2010*porjubvarcar*frac1</f>
        <v>#NAME?</v>
      </c>
      <c r="G61" s="102"/>
      <c r="H61" s="16">
        <v>400</v>
      </c>
      <c r="I61" s="16" t="s">
        <v>13</v>
      </c>
      <c r="J61" s="62" t="e">
        <f>punbasjubvarios1*indicemar2011*porjubvarcar*frac1</f>
        <v>#NAME?</v>
      </c>
      <c r="K61" s="102"/>
      <c r="L61" s="2"/>
      <c r="M61" s="2"/>
      <c r="N61" s="3"/>
      <c r="O61" s="290"/>
    </row>
    <row r="62" spans="1:15" ht="12.75" hidden="1">
      <c r="A62" s="102"/>
      <c r="B62" s="40"/>
      <c r="C62" s="102"/>
      <c r="D62" s="16">
        <v>542</v>
      </c>
      <c r="E62" s="16" t="s">
        <v>360</v>
      </c>
      <c r="F62" s="160" t="e">
        <f>compbasicovarios1*indicesep2010*porjubvarcar*frac1</f>
        <v>#NAME?</v>
      </c>
      <c r="G62" s="102"/>
      <c r="H62" s="16">
        <v>542</v>
      </c>
      <c r="I62" s="16" t="s">
        <v>360</v>
      </c>
      <c r="J62" s="160" t="e">
        <f>compbasicovarios1*indicemar2011*porjubvarcar*frac1</f>
        <v>#NAME?</v>
      </c>
      <c r="K62" s="102"/>
      <c r="L62" s="2"/>
      <c r="M62" s="2"/>
      <c r="N62" s="3"/>
      <c r="O62" s="290"/>
    </row>
    <row r="63" spans="1:15" ht="12.75" hidden="1">
      <c r="A63" s="102"/>
      <c r="B63" s="40"/>
      <c r="C63" s="102"/>
      <c r="D63" s="287"/>
      <c r="E63" s="287"/>
      <c r="F63" s="316"/>
      <c r="G63" s="102"/>
      <c r="H63" s="288" t="s">
        <v>372</v>
      </c>
      <c r="I63" s="289" t="s">
        <v>371</v>
      </c>
      <c r="J63" s="313" t="e">
        <f>adicdirvarios1*indicemar2011*porjubvarcar*frac1</f>
        <v>#REF!</v>
      </c>
      <c r="K63" s="102"/>
      <c r="L63" s="2"/>
      <c r="M63" s="2"/>
      <c r="N63" s="3"/>
      <c r="O63" s="290"/>
    </row>
    <row r="64" spans="1:15" ht="12.75" hidden="1">
      <c r="A64" s="102">
        <v>1</v>
      </c>
      <c r="B64" s="40"/>
      <c r="C64" s="102"/>
      <c r="D64" s="16">
        <v>404</v>
      </c>
      <c r="E64" s="16" t="s">
        <v>314</v>
      </c>
      <c r="F64" s="62" t="e">
        <f>puntardifvar1*indicesep2010*porjubvarcar*frac1</f>
        <v>#NAME?</v>
      </c>
      <c r="G64" s="102"/>
      <c r="H64" s="16">
        <v>404</v>
      </c>
      <c r="I64" s="16" t="s">
        <v>314</v>
      </c>
      <c r="J64" s="62" t="e">
        <f>puntardifvar1*indicemar2011*porjubvarcar*frac1</f>
        <v>#NAME?</v>
      </c>
      <c r="L64" s="2"/>
      <c r="M64" s="2"/>
      <c r="N64" s="3"/>
      <c r="O64" s="168"/>
    </row>
    <row r="65" spans="1:15" ht="12.75" hidden="1">
      <c r="A65" s="102">
        <v>1</v>
      </c>
      <c r="B65" s="40"/>
      <c r="C65" s="102"/>
      <c r="D65" s="16">
        <v>406</v>
      </c>
      <c r="E65" s="16" t="s">
        <v>14</v>
      </c>
      <c r="F65" s="62" t="e">
        <f>(F61+F62+F64+F67)*F56</f>
        <v>#NAME?</v>
      </c>
      <c r="G65" s="102"/>
      <c r="H65" s="16">
        <v>406</v>
      </c>
      <c r="I65" s="16" t="s">
        <v>14</v>
      </c>
      <c r="J65" s="62" t="e">
        <f>(J61+J62+J64+J67)*F56</f>
        <v>#NAME?</v>
      </c>
      <c r="L65" s="2"/>
      <c r="M65" s="2"/>
      <c r="N65" s="3"/>
      <c r="O65" s="168"/>
    </row>
    <row r="66" spans="1:15" ht="12.75" hidden="1">
      <c r="A66" s="102">
        <v>1</v>
      </c>
      <c r="B66" s="40"/>
      <c r="C66" s="102"/>
      <c r="D66" s="16">
        <v>408</v>
      </c>
      <c r="E66" s="16" t="s">
        <v>331</v>
      </c>
      <c r="F66" s="62" t="e">
        <f>(F61+F62+F64+F67)*E53</f>
        <v>#NAME?</v>
      </c>
      <c r="G66" s="102"/>
      <c r="H66" s="16">
        <v>408</v>
      </c>
      <c r="I66" s="16" t="s">
        <v>331</v>
      </c>
      <c r="J66" s="62" t="e">
        <f>(J61+J62+J64+J67)*E53</f>
        <v>#NAME?</v>
      </c>
      <c r="L66" s="2"/>
      <c r="M66" s="2"/>
      <c r="N66" s="3"/>
      <c r="O66" s="168"/>
    </row>
    <row r="67" spans="1:15" ht="12.75" hidden="1">
      <c r="A67" s="102">
        <v>1</v>
      </c>
      <c r="B67" s="40"/>
      <c r="C67" s="102"/>
      <c r="D67" s="16">
        <v>416</v>
      </c>
      <c r="E67" s="63" t="s">
        <v>315</v>
      </c>
      <c r="F67" s="62" t="e">
        <f>puntosproljorvarios1*proljorsep2010*porjubvarcar*frac1</f>
        <v>#NAME?</v>
      </c>
      <c r="G67" s="102"/>
      <c r="H67" s="16">
        <v>416</v>
      </c>
      <c r="I67" s="63" t="s">
        <v>315</v>
      </c>
      <c r="J67" s="62" t="e">
        <f>puntosproljorvarios1*proljormar2011*porjubvarcar*frac1</f>
        <v>#NAME?</v>
      </c>
      <c r="L67" s="2"/>
      <c r="M67" s="291"/>
      <c r="N67" s="3"/>
      <c r="O67" s="168"/>
    </row>
    <row r="68" spans="1:15" ht="12.75" hidden="1">
      <c r="A68" s="102">
        <v>1</v>
      </c>
      <c r="B68" s="40"/>
      <c r="C68" s="102"/>
      <c r="D68" s="16">
        <v>432</v>
      </c>
      <c r="E68" s="16" t="s">
        <v>329</v>
      </c>
      <c r="F68" s="62" t="e">
        <f>cod06feb11varios1*porjubvarcar*frac1</f>
        <v>#NAME?</v>
      </c>
      <c r="G68" s="102"/>
      <c r="H68" s="16">
        <v>432</v>
      </c>
      <c r="I68" s="16" t="s">
        <v>329</v>
      </c>
      <c r="J68" s="62" t="e">
        <f>cod06mar11varios1*porjubvarcar*frac1</f>
        <v>#NAME?</v>
      </c>
      <c r="L68" s="2"/>
      <c r="M68" s="2"/>
      <c r="N68" s="3"/>
      <c r="O68" s="168"/>
    </row>
    <row r="69" spans="1:15" ht="12.75" hidden="1">
      <c r="A69" s="102">
        <v>1</v>
      </c>
      <c r="B69" s="40"/>
      <c r="C69" s="102"/>
      <c r="D69" s="16">
        <v>434</v>
      </c>
      <c r="E69" s="16" t="s">
        <v>313</v>
      </c>
      <c r="F69" s="62" t="e">
        <f>(F61+F62+F64+F65+F67+F68+F66)*0.07*0.95</f>
        <v>#NAME?</v>
      </c>
      <c r="G69" s="102"/>
      <c r="H69" s="16">
        <v>434</v>
      </c>
      <c r="I69" s="16" t="s">
        <v>313</v>
      </c>
      <c r="J69" s="62" t="e">
        <f>(J61+J62+J64+J65+J67+J68+J66)*0.07*0.95</f>
        <v>#NAME?</v>
      </c>
      <c r="L69" s="2"/>
      <c r="M69" s="2"/>
      <c r="N69" s="3"/>
      <c r="O69" s="168"/>
    </row>
    <row r="70" spans="1:15" ht="12.75" hidden="1">
      <c r="A70" s="102"/>
      <c r="B70" s="40"/>
      <c r="C70" s="102"/>
      <c r="D70" s="16"/>
      <c r="E70" s="64"/>
      <c r="F70" s="110"/>
      <c r="G70" s="102"/>
      <c r="H70" s="16"/>
      <c r="I70" s="64"/>
      <c r="J70" s="110"/>
      <c r="L70" s="2"/>
      <c r="M70" s="2"/>
      <c r="N70" s="3"/>
      <c r="O70" s="168"/>
    </row>
    <row r="71" spans="1:15" ht="13.5" hidden="1" thickBot="1">
      <c r="A71" s="102">
        <v>1</v>
      </c>
      <c r="B71" s="40"/>
      <c r="C71" s="102"/>
      <c r="D71" s="16"/>
      <c r="E71" s="64" t="s">
        <v>327</v>
      </c>
      <c r="F71" s="83">
        <v>0</v>
      </c>
      <c r="G71" s="102"/>
      <c r="H71" s="16"/>
      <c r="I71" s="64" t="s">
        <v>327</v>
      </c>
      <c r="J71" s="83">
        <v>0</v>
      </c>
      <c r="L71" s="2"/>
      <c r="M71" s="2"/>
      <c r="N71" s="292"/>
      <c r="O71" s="168"/>
    </row>
    <row r="72" spans="1:15" ht="16.5" hidden="1" thickBot="1">
      <c r="A72" s="102">
        <v>1</v>
      </c>
      <c r="B72" s="40"/>
      <c r="C72" s="102"/>
      <c r="D72" s="65"/>
      <c r="E72" s="66" t="s">
        <v>15</v>
      </c>
      <c r="F72" s="67" t="e">
        <f>SUM(F61:F71)</f>
        <v>#NAME?</v>
      </c>
      <c r="G72" s="102"/>
      <c r="H72" s="65"/>
      <c r="I72" s="66" t="s">
        <v>15</v>
      </c>
      <c r="J72" s="67" t="e">
        <f>SUM(J61:J71)</f>
        <v>#NAME?</v>
      </c>
      <c r="L72" s="2"/>
      <c r="M72" s="9"/>
      <c r="N72" s="263"/>
      <c r="O72" s="168"/>
    </row>
    <row r="73" spans="1:15" ht="12.75" hidden="1">
      <c r="A73" s="102">
        <v>1</v>
      </c>
      <c r="B73" s="40"/>
      <c r="C73" s="102"/>
      <c r="D73" s="16">
        <v>703</v>
      </c>
      <c r="E73" s="68" t="s">
        <v>316</v>
      </c>
      <c r="F73" s="69" t="e">
        <f>(F72-F71)*0.0025</f>
        <v>#NAME?</v>
      </c>
      <c r="G73" s="102"/>
      <c r="H73" s="16">
        <v>703</v>
      </c>
      <c r="I73" s="68" t="s">
        <v>316</v>
      </c>
      <c r="J73" s="69" t="e">
        <f>(J72-J71)*0.0025</f>
        <v>#NAME?</v>
      </c>
      <c r="L73" s="2"/>
      <c r="M73" s="293"/>
      <c r="N73" s="5"/>
      <c r="O73" s="168"/>
    </row>
    <row r="74" spans="1:15" ht="12.75" hidden="1">
      <c r="A74" s="102">
        <v>1</v>
      </c>
      <c r="B74" s="40"/>
      <c r="C74" s="102"/>
      <c r="D74" s="17">
        <v>707</v>
      </c>
      <c r="E74" s="70" t="s">
        <v>17</v>
      </c>
      <c r="F74" s="15" t="e">
        <f>(F72-F71)*0.03</f>
        <v>#NAME?</v>
      </c>
      <c r="G74" s="102"/>
      <c r="H74" s="17">
        <v>707</v>
      </c>
      <c r="I74" s="70" t="s">
        <v>17</v>
      </c>
      <c r="J74" s="15" t="e">
        <f>(J72-J71)*0.03</f>
        <v>#NAME?</v>
      </c>
      <c r="L74" s="11"/>
      <c r="M74" s="294"/>
      <c r="N74" s="5"/>
      <c r="O74" s="168"/>
    </row>
    <row r="75" spans="1:15" ht="12.75" hidden="1">
      <c r="A75" s="102">
        <v>1</v>
      </c>
      <c r="B75" s="40"/>
      <c r="C75" s="102"/>
      <c r="D75" s="17">
        <v>709</v>
      </c>
      <c r="E75" s="70" t="s">
        <v>18</v>
      </c>
      <c r="F75" s="15" t="e">
        <f>(F72-F71)*0.0213</f>
        <v>#NAME?</v>
      </c>
      <c r="G75" s="102"/>
      <c r="H75" s="17">
        <v>709</v>
      </c>
      <c r="I75" s="70" t="s">
        <v>18</v>
      </c>
      <c r="J75" s="15" t="e">
        <f>(J72-J71)*0.0213</f>
        <v>#NAME?</v>
      </c>
      <c r="L75" s="11"/>
      <c r="M75" s="294"/>
      <c r="N75" s="5"/>
      <c r="O75" s="168"/>
    </row>
    <row r="76" spans="1:15" ht="12.75" hidden="1">
      <c r="A76" s="102">
        <v>1</v>
      </c>
      <c r="B76" s="40"/>
      <c r="C76" s="102"/>
      <c r="D76" s="14">
        <v>710</v>
      </c>
      <c r="E76" s="70" t="s">
        <v>19</v>
      </c>
      <c r="F76" s="15" t="e">
        <f>(F72-F71)*0.00754</f>
        <v>#NAME?</v>
      </c>
      <c r="G76" s="102"/>
      <c r="H76" s="14">
        <v>710</v>
      </c>
      <c r="I76" s="70" t="s">
        <v>19</v>
      </c>
      <c r="J76" s="15" t="e">
        <f>(J72-J71)*0.00754</f>
        <v>#NAME?</v>
      </c>
      <c r="L76" s="295"/>
      <c r="M76" s="294"/>
      <c r="N76" s="5"/>
      <c r="O76" s="168"/>
    </row>
    <row r="77" spans="1:15" ht="12.75" hidden="1">
      <c r="A77" s="102">
        <v>1</v>
      </c>
      <c r="B77" s="40"/>
      <c r="C77" s="102"/>
      <c r="D77" s="14">
        <v>713</v>
      </c>
      <c r="E77" s="70" t="s">
        <v>20</v>
      </c>
      <c r="F77" s="15" t="e">
        <f>(F72-F71)*0.007</f>
        <v>#NAME?</v>
      </c>
      <c r="G77" s="102"/>
      <c r="H77" s="14">
        <v>713</v>
      </c>
      <c r="I77" s="70" t="s">
        <v>20</v>
      </c>
      <c r="J77" s="15" t="e">
        <f>(J72-J71)*0.007</f>
        <v>#NAME?</v>
      </c>
      <c r="L77" s="295"/>
      <c r="M77" s="294"/>
      <c r="N77" s="5"/>
      <c r="O77" s="168"/>
    </row>
    <row r="78" spans="1:15" ht="13.5" hidden="1" thickBot="1">
      <c r="A78" s="102">
        <v>1</v>
      </c>
      <c r="B78" s="40"/>
      <c r="C78" s="102"/>
      <c r="D78" s="14"/>
      <c r="E78" s="71" t="s">
        <v>21</v>
      </c>
      <c r="F78" s="39">
        <v>0</v>
      </c>
      <c r="G78" s="102"/>
      <c r="H78" s="14"/>
      <c r="I78" s="71" t="s">
        <v>21</v>
      </c>
      <c r="J78" s="39">
        <v>0</v>
      </c>
      <c r="L78" s="295"/>
      <c r="M78" s="294"/>
      <c r="N78" s="296"/>
      <c r="O78" s="168"/>
    </row>
    <row r="79" spans="1:15" ht="16.5" hidden="1" thickBot="1">
      <c r="A79" s="102">
        <v>1</v>
      </c>
      <c r="B79" s="40"/>
      <c r="C79" s="102"/>
      <c r="D79" s="72"/>
      <c r="E79" s="66" t="s">
        <v>22</v>
      </c>
      <c r="F79" s="67" t="e">
        <f>SUM(F73:F78)</f>
        <v>#NAME?</v>
      </c>
      <c r="G79" s="102"/>
      <c r="H79" s="72"/>
      <c r="I79" s="66" t="s">
        <v>22</v>
      </c>
      <c r="J79" s="67" t="e">
        <f>SUM(J73:J78)</f>
        <v>#NAME?</v>
      </c>
      <c r="L79" s="11"/>
      <c r="M79" s="9"/>
      <c r="N79" s="263"/>
      <c r="O79" s="168"/>
    </row>
    <row r="80" spans="1:15" ht="13.5" hidden="1" thickBot="1">
      <c r="A80" s="102">
        <v>1</v>
      </c>
      <c r="B80" s="40"/>
      <c r="C80" s="102"/>
      <c r="D80" s="73"/>
      <c r="E80" s="74"/>
      <c r="F80" s="75"/>
      <c r="G80" s="102"/>
      <c r="H80" s="73"/>
      <c r="I80" s="74"/>
      <c r="J80" s="75"/>
      <c r="L80" s="48"/>
      <c r="M80" s="2"/>
      <c r="N80" s="6"/>
      <c r="O80" s="168"/>
    </row>
    <row r="81" spans="1:15" ht="16.5" hidden="1" thickBot="1">
      <c r="A81" s="102">
        <v>1</v>
      </c>
      <c r="B81" s="79"/>
      <c r="C81" s="102"/>
      <c r="D81" s="76"/>
      <c r="E81" s="77" t="s">
        <v>23</v>
      </c>
      <c r="F81" s="78" t="e">
        <f>F72-F79</f>
        <v>#NAME?</v>
      </c>
      <c r="G81" s="102"/>
      <c r="H81" s="76"/>
      <c r="I81" s="77" t="s">
        <v>23</v>
      </c>
      <c r="J81" s="78" t="e">
        <f>J72-J79</f>
        <v>#NAME?</v>
      </c>
      <c r="L81" s="4"/>
      <c r="M81" s="143"/>
      <c r="N81" s="145"/>
      <c r="O81" s="168"/>
    </row>
    <row r="82" spans="1:15" ht="12.75" hidden="1">
      <c r="A82" s="102"/>
      <c r="B82" s="79"/>
      <c r="C82" s="102"/>
      <c r="G82" s="102"/>
      <c r="L82" s="168"/>
      <c r="M82" s="168"/>
      <c r="N82" s="168"/>
      <c r="O82" s="168"/>
    </row>
    <row r="83" spans="1:7" ht="12.75" hidden="1">
      <c r="A83" s="102">
        <v>1</v>
      </c>
      <c r="B83" s="79"/>
      <c r="C83" s="113"/>
      <c r="G83" s="102"/>
    </row>
    <row r="84" spans="1:17" ht="15.75" hidden="1">
      <c r="A84" s="102">
        <v>1</v>
      </c>
      <c r="B84" s="79"/>
      <c r="C84" s="113"/>
      <c r="D84" s="114"/>
      <c r="E84" s="115"/>
      <c r="F84" s="79"/>
      <c r="G84" s="113"/>
      <c r="H84" s="116"/>
      <c r="I84" s="117"/>
      <c r="J84" s="117"/>
      <c r="K84" s="117"/>
      <c r="L84" s="117"/>
      <c r="M84" s="79"/>
      <c r="N84" s="177"/>
      <c r="O84" s="40"/>
      <c r="P84" s="10"/>
      <c r="Q84" s="10"/>
    </row>
    <row r="85" ht="21.75" customHeight="1" hidden="1"/>
    <row r="86" spans="3:16" s="166" customFormat="1" ht="15.75" hidden="1">
      <c r="C86" s="162"/>
      <c r="F86" s="104"/>
      <c r="G86" s="95"/>
      <c r="H86" s="48"/>
      <c r="I86" s="48"/>
      <c r="J86" s="104"/>
      <c r="K86" s="11"/>
      <c r="L86" s="95"/>
      <c r="M86" s="95"/>
      <c r="N86" s="95"/>
      <c r="O86" s="95"/>
      <c r="P86" s="95"/>
    </row>
    <row r="87" spans="1:20" ht="16.5" hidden="1" thickBot="1">
      <c r="A87">
        <v>2</v>
      </c>
      <c r="F87" t="s">
        <v>345</v>
      </c>
      <c r="G87" s="10" t="s">
        <v>347</v>
      </c>
      <c r="H87" s="10" t="s">
        <v>348</v>
      </c>
      <c r="I87" s="94" t="s">
        <v>349</v>
      </c>
      <c r="J87" s="94" t="s">
        <v>350</v>
      </c>
      <c r="K87" s="94" t="s">
        <v>351</v>
      </c>
      <c r="L87" s="94" t="s">
        <v>352</v>
      </c>
      <c r="M87" s="94" t="s">
        <v>353</v>
      </c>
      <c r="N87" s="94" t="s">
        <v>354</v>
      </c>
      <c r="O87" s="96" t="s">
        <v>355</v>
      </c>
      <c r="P87" s="96">
        <v>1</v>
      </c>
      <c r="Q87" s="96">
        <v>2</v>
      </c>
      <c r="R87" s="96">
        <v>3</v>
      </c>
      <c r="S87" s="96">
        <v>4</v>
      </c>
      <c r="T87" s="96">
        <v>5</v>
      </c>
    </row>
    <row r="88" spans="1:20" ht="15.75" hidden="1">
      <c r="A88">
        <v>2</v>
      </c>
      <c r="E88" s="87">
        <v>0</v>
      </c>
      <c r="F88" s="262" t="e">
        <f aca="true" t="shared" si="14" ref="F88:F99">IF(puntosproljorvarios2&lt;620,T88,O88)</f>
        <v>#NAME?</v>
      </c>
      <c r="G88" s="258">
        <v>409</v>
      </c>
      <c r="H88" s="258">
        <v>99</v>
      </c>
      <c r="I88" s="258">
        <v>0</v>
      </c>
      <c r="J88" s="258">
        <v>0</v>
      </c>
      <c r="K88" s="258">
        <v>0</v>
      </c>
      <c r="L88" s="258">
        <v>0</v>
      </c>
      <c r="M88" s="258">
        <v>99</v>
      </c>
      <c r="N88" s="258">
        <v>99</v>
      </c>
      <c r="O88" s="97">
        <f aca="true" t="shared" si="15" ref="O88:O99">IF(punbasjubvarios2&gt;971,N88,M88)</f>
        <v>99</v>
      </c>
      <c r="P88" s="97">
        <f>IF(punbasjubvarios2&lt;972,G88,H88)</f>
        <v>409</v>
      </c>
      <c r="Q88" s="97">
        <f aca="true" t="shared" si="16" ref="Q88:Q99">IF(punbasjubvarios1&lt;1170,P88,I88)</f>
        <v>0</v>
      </c>
      <c r="R88" s="97">
        <f aca="true" t="shared" si="17" ref="R88:R99">IF(punbasjubvarios2&lt;1401,Q88,J88)</f>
        <v>0</v>
      </c>
      <c r="S88" s="97">
        <f aca="true" t="shared" si="18" ref="S88:S99">IF(punbasjubvarios2&lt;1943,R88,K88)</f>
        <v>0</v>
      </c>
      <c r="T88" s="97">
        <f aca="true" t="shared" si="19" ref="T88:T99">IF(punbasjubvarios2&lt;=2220,S88,L88)</f>
        <v>0</v>
      </c>
    </row>
    <row r="89" spans="1:20" ht="15.75" hidden="1">
      <c r="A89">
        <v>2</v>
      </c>
      <c r="E89" s="88">
        <v>0.1</v>
      </c>
      <c r="F89" s="262" t="e">
        <f t="shared" si="14"/>
        <v>#NAME?</v>
      </c>
      <c r="G89" s="258">
        <v>581</v>
      </c>
      <c r="H89" s="258">
        <v>112</v>
      </c>
      <c r="I89" s="258">
        <v>0</v>
      </c>
      <c r="J89" s="258">
        <v>0</v>
      </c>
      <c r="K89" s="258">
        <v>0</v>
      </c>
      <c r="L89" s="258">
        <v>0</v>
      </c>
      <c r="M89" s="258">
        <v>112</v>
      </c>
      <c r="N89" s="258">
        <v>112</v>
      </c>
      <c r="O89" s="97">
        <f t="shared" si="15"/>
        <v>112</v>
      </c>
      <c r="P89" s="97">
        <f aca="true" t="shared" si="20" ref="P89:P99">IF(punbasjubvarios1&lt;972,G89,H89)</f>
        <v>112</v>
      </c>
      <c r="Q89" s="97">
        <f t="shared" si="16"/>
        <v>0</v>
      </c>
      <c r="R89" s="97">
        <f t="shared" si="17"/>
        <v>0</v>
      </c>
      <c r="S89" s="97">
        <f t="shared" si="18"/>
        <v>0</v>
      </c>
      <c r="T89" s="97">
        <f t="shared" si="19"/>
        <v>0</v>
      </c>
    </row>
    <row r="90" spans="1:20" ht="15.75" hidden="1">
      <c r="A90">
        <v>2</v>
      </c>
      <c r="E90" s="89">
        <v>0.15</v>
      </c>
      <c r="F90" s="262" t="e">
        <f t="shared" si="14"/>
        <v>#NAME?</v>
      </c>
      <c r="G90" s="258">
        <v>705</v>
      </c>
      <c r="H90" s="258">
        <v>224</v>
      </c>
      <c r="I90" s="258">
        <v>298</v>
      </c>
      <c r="J90" s="258">
        <v>240</v>
      </c>
      <c r="K90" s="258">
        <v>224</v>
      </c>
      <c r="L90" s="258">
        <v>0</v>
      </c>
      <c r="M90" s="258">
        <v>273</v>
      </c>
      <c r="N90" s="258">
        <v>273</v>
      </c>
      <c r="O90" s="97">
        <f t="shared" si="15"/>
        <v>273</v>
      </c>
      <c r="P90" s="97">
        <f t="shared" si="20"/>
        <v>224</v>
      </c>
      <c r="Q90" s="97">
        <f t="shared" si="16"/>
        <v>298</v>
      </c>
      <c r="R90" s="97">
        <f t="shared" si="17"/>
        <v>298</v>
      </c>
      <c r="S90" s="97">
        <f t="shared" si="18"/>
        <v>298</v>
      </c>
      <c r="T90" s="97">
        <f t="shared" si="19"/>
        <v>298</v>
      </c>
    </row>
    <row r="91" spans="1:20" ht="15.75" hidden="1">
      <c r="A91">
        <v>2</v>
      </c>
      <c r="E91" s="89">
        <v>0.3</v>
      </c>
      <c r="F91" s="262" t="e">
        <f t="shared" si="14"/>
        <v>#NAME?</v>
      </c>
      <c r="G91" s="258">
        <v>733</v>
      </c>
      <c r="H91" s="258">
        <v>242</v>
      </c>
      <c r="I91" s="258">
        <v>298</v>
      </c>
      <c r="J91" s="258">
        <v>240</v>
      </c>
      <c r="K91" s="258">
        <v>224</v>
      </c>
      <c r="L91" s="258">
        <v>0</v>
      </c>
      <c r="M91" s="258">
        <v>472</v>
      </c>
      <c r="N91" s="258">
        <v>435</v>
      </c>
      <c r="O91" s="97">
        <f t="shared" si="15"/>
        <v>472</v>
      </c>
      <c r="P91" s="97">
        <f t="shared" si="20"/>
        <v>242</v>
      </c>
      <c r="Q91" s="97">
        <f t="shared" si="16"/>
        <v>298</v>
      </c>
      <c r="R91" s="97">
        <f t="shared" si="17"/>
        <v>298</v>
      </c>
      <c r="S91" s="97">
        <f t="shared" si="18"/>
        <v>298</v>
      </c>
      <c r="T91" s="97">
        <f t="shared" si="19"/>
        <v>298</v>
      </c>
    </row>
    <row r="92" spans="1:20" ht="15.75" hidden="1">
      <c r="A92">
        <v>2</v>
      </c>
      <c r="E92" s="89">
        <v>0.4</v>
      </c>
      <c r="F92" s="262" t="e">
        <f t="shared" si="14"/>
        <v>#NAME?</v>
      </c>
      <c r="G92" s="258">
        <v>796</v>
      </c>
      <c r="H92" s="258">
        <v>261</v>
      </c>
      <c r="I92" s="258">
        <v>311</v>
      </c>
      <c r="J92" s="258">
        <v>248</v>
      </c>
      <c r="K92" s="258">
        <v>224</v>
      </c>
      <c r="L92" s="258">
        <v>174</v>
      </c>
      <c r="M92" s="258">
        <v>546</v>
      </c>
      <c r="N92" s="258">
        <v>497</v>
      </c>
      <c r="O92" s="97">
        <f t="shared" si="15"/>
        <v>546</v>
      </c>
      <c r="P92" s="97">
        <f t="shared" si="20"/>
        <v>261</v>
      </c>
      <c r="Q92" s="97">
        <f t="shared" si="16"/>
        <v>311</v>
      </c>
      <c r="R92" s="97">
        <f t="shared" si="17"/>
        <v>311</v>
      </c>
      <c r="S92" s="97">
        <f t="shared" si="18"/>
        <v>311</v>
      </c>
      <c r="T92" s="97">
        <f t="shared" si="19"/>
        <v>311</v>
      </c>
    </row>
    <row r="93" spans="1:20" ht="15.75" hidden="1">
      <c r="A93">
        <v>2</v>
      </c>
      <c r="E93" s="89">
        <v>0.5</v>
      </c>
      <c r="F93" s="262" t="e">
        <f t="shared" si="14"/>
        <v>#NAME?</v>
      </c>
      <c r="G93" s="258">
        <v>575</v>
      </c>
      <c r="H93" s="258">
        <v>286</v>
      </c>
      <c r="I93" s="258">
        <v>311</v>
      </c>
      <c r="J93" s="258">
        <v>248</v>
      </c>
      <c r="K93" s="258">
        <v>224</v>
      </c>
      <c r="L93" s="258">
        <v>174</v>
      </c>
      <c r="M93" s="258">
        <v>590</v>
      </c>
      <c r="N93" s="258">
        <v>540</v>
      </c>
      <c r="O93" s="97">
        <f t="shared" si="15"/>
        <v>590</v>
      </c>
      <c r="P93" s="97">
        <f t="shared" si="20"/>
        <v>286</v>
      </c>
      <c r="Q93" s="97">
        <f t="shared" si="16"/>
        <v>311</v>
      </c>
      <c r="R93" s="97">
        <f t="shared" si="17"/>
        <v>311</v>
      </c>
      <c r="S93" s="97">
        <f t="shared" si="18"/>
        <v>311</v>
      </c>
      <c r="T93" s="97">
        <f t="shared" si="19"/>
        <v>311</v>
      </c>
    </row>
    <row r="94" spans="1:20" ht="15.75" hidden="1">
      <c r="A94">
        <v>2</v>
      </c>
      <c r="E94" s="89">
        <v>0.6</v>
      </c>
      <c r="F94" s="262" t="e">
        <f t="shared" si="14"/>
        <v>#NAME?</v>
      </c>
      <c r="G94" s="258">
        <v>578</v>
      </c>
      <c r="H94" s="258">
        <v>323</v>
      </c>
      <c r="I94" s="258">
        <v>323</v>
      </c>
      <c r="J94" s="258">
        <v>252</v>
      </c>
      <c r="K94" s="258">
        <v>236</v>
      </c>
      <c r="L94" s="258">
        <v>199</v>
      </c>
      <c r="M94" s="258">
        <v>633</v>
      </c>
      <c r="N94" s="258">
        <v>559</v>
      </c>
      <c r="O94" s="97">
        <f t="shared" si="15"/>
        <v>633</v>
      </c>
      <c r="P94" s="97">
        <f t="shared" si="20"/>
        <v>323</v>
      </c>
      <c r="Q94" s="97">
        <f t="shared" si="16"/>
        <v>323</v>
      </c>
      <c r="R94" s="97">
        <f t="shared" si="17"/>
        <v>323</v>
      </c>
      <c r="S94" s="97">
        <f t="shared" si="18"/>
        <v>323</v>
      </c>
      <c r="T94" s="97">
        <f t="shared" si="19"/>
        <v>323</v>
      </c>
    </row>
    <row r="95" spans="1:20" ht="15.75" hidden="1">
      <c r="A95">
        <v>2</v>
      </c>
      <c r="E95" s="89">
        <v>0.7</v>
      </c>
      <c r="F95" s="262" t="e">
        <f t="shared" si="14"/>
        <v>#NAME?</v>
      </c>
      <c r="G95" s="258">
        <v>553</v>
      </c>
      <c r="H95" s="258">
        <v>354</v>
      </c>
      <c r="I95" s="258">
        <v>453</v>
      </c>
      <c r="J95" s="258">
        <v>286</v>
      </c>
      <c r="K95" s="258">
        <v>236</v>
      </c>
      <c r="L95" s="258">
        <v>199</v>
      </c>
      <c r="M95" s="258">
        <v>652</v>
      </c>
      <c r="N95" s="258">
        <v>578</v>
      </c>
      <c r="O95" s="97">
        <f t="shared" si="15"/>
        <v>652</v>
      </c>
      <c r="P95" s="97">
        <f t="shared" si="20"/>
        <v>354</v>
      </c>
      <c r="Q95" s="97">
        <f t="shared" si="16"/>
        <v>453</v>
      </c>
      <c r="R95" s="97">
        <f t="shared" si="17"/>
        <v>453</v>
      </c>
      <c r="S95" s="97">
        <f t="shared" si="18"/>
        <v>453</v>
      </c>
      <c r="T95" s="97">
        <f t="shared" si="19"/>
        <v>453</v>
      </c>
    </row>
    <row r="96" spans="1:20" ht="15.75" hidden="1">
      <c r="A96">
        <v>2</v>
      </c>
      <c r="E96" s="89">
        <v>0.8</v>
      </c>
      <c r="F96" s="262" t="e">
        <f t="shared" si="14"/>
        <v>#NAME?</v>
      </c>
      <c r="G96" s="258">
        <v>664</v>
      </c>
      <c r="H96" s="258">
        <v>428</v>
      </c>
      <c r="I96" s="258">
        <v>491</v>
      </c>
      <c r="J96" s="258">
        <v>422</v>
      </c>
      <c r="K96" s="258">
        <v>348</v>
      </c>
      <c r="L96" s="258">
        <v>224</v>
      </c>
      <c r="M96" s="258">
        <v>689</v>
      </c>
      <c r="N96" s="258">
        <v>590</v>
      </c>
      <c r="O96" s="97">
        <f t="shared" si="15"/>
        <v>689</v>
      </c>
      <c r="P96" s="97">
        <f t="shared" si="20"/>
        <v>428</v>
      </c>
      <c r="Q96" s="97">
        <f t="shared" si="16"/>
        <v>491</v>
      </c>
      <c r="R96" s="97">
        <f t="shared" si="17"/>
        <v>491</v>
      </c>
      <c r="S96" s="97">
        <f t="shared" si="18"/>
        <v>491</v>
      </c>
      <c r="T96" s="97">
        <f t="shared" si="19"/>
        <v>491</v>
      </c>
    </row>
    <row r="97" spans="1:20" ht="15.75" hidden="1">
      <c r="A97">
        <v>2</v>
      </c>
      <c r="E97" s="89">
        <v>1</v>
      </c>
      <c r="F97" s="262" t="e">
        <f t="shared" si="14"/>
        <v>#NAME?</v>
      </c>
      <c r="G97" s="258">
        <v>826</v>
      </c>
      <c r="H97" s="258">
        <v>540</v>
      </c>
      <c r="I97" s="258">
        <v>509</v>
      </c>
      <c r="J97" s="258">
        <v>410</v>
      </c>
      <c r="K97" s="258">
        <v>385</v>
      </c>
      <c r="L97" s="258">
        <v>224</v>
      </c>
      <c r="M97" s="258">
        <v>733</v>
      </c>
      <c r="N97" s="258">
        <v>609</v>
      </c>
      <c r="O97" s="97">
        <f t="shared" si="15"/>
        <v>733</v>
      </c>
      <c r="P97" s="97">
        <f t="shared" si="20"/>
        <v>540</v>
      </c>
      <c r="Q97" s="97">
        <f t="shared" si="16"/>
        <v>509</v>
      </c>
      <c r="R97" s="97">
        <f t="shared" si="17"/>
        <v>509</v>
      </c>
      <c r="S97" s="97">
        <f t="shared" si="18"/>
        <v>509</v>
      </c>
      <c r="T97" s="97">
        <f t="shared" si="19"/>
        <v>509</v>
      </c>
    </row>
    <row r="98" spans="1:20" ht="15.75" hidden="1">
      <c r="A98">
        <v>2</v>
      </c>
      <c r="E98" s="89">
        <v>1.1</v>
      </c>
      <c r="F98" s="262" t="e">
        <f t="shared" si="14"/>
        <v>#NAME?</v>
      </c>
      <c r="G98" s="258">
        <v>925</v>
      </c>
      <c r="H98" s="258">
        <v>615</v>
      </c>
      <c r="I98" s="258">
        <v>534</v>
      </c>
      <c r="J98" s="258">
        <v>410</v>
      </c>
      <c r="K98" s="258">
        <v>397</v>
      </c>
      <c r="L98" s="258">
        <v>236</v>
      </c>
      <c r="M98" s="258">
        <v>764</v>
      </c>
      <c r="N98" s="258">
        <v>627</v>
      </c>
      <c r="O98" s="97">
        <f t="shared" si="15"/>
        <v>764</v>
      </c>
      <c r="P98" s="97">
        <f t="shared" si="20"/>
        <v>615</v>
      </c>
      <c r="Q98" s="97">
        <f t="shared" si="16"/>
        <v>534</v>
      </c>
      <c r="R98" s="97">
        <f t="shared" si="17"/>
        <v>534</v>
      </c>
      <c r="S98" s="97">
        <f t="shared" si="18"/>
        <v>534</v>
      </c>
      <c r="T98" s="97">
        <f t="shared" si="19"/>
        <v>534</v>
      </c>
    </row>
    <row r="99" spans="1:20" ht="16.5" hidden="1" thickBot="1">
      <c r="A99">
        <v>2</v>
      </c>
      <c r="E99" s="90">
        <v>1.2</v>
      </c>
      <c r="F99" s="262" t="e">
        <f t="shared" si="14"/>
        <v>#NAME?</v>
      </c>
      <c r="G99" s="258">
        <v>956</v>
      </c>
      <c r="H99" s="258">
        <v>633</v>
      </c>
      <c r="I99" s="258">
        <v>596</v>
      </c>
      <c r="J99" s="258">
        <v>416</v>
      </c>
      <c r="K99" s="258">
        <v>410</v>
      </c>
      <c r="L99" s="258">
        <v>236</v>
      </c>
      <c r="M99" s="258">
        <v>770</v>
      </c>
      <c r="N99" s="258">
        <v>633</v>
      </c>
      <c r="O99" s="97">
        <f t="shared" si="15"/>
        <v>770</v>
      </c>
      <c r="P99" s="97">
        <f t="shared" si="20"/>
        <v>633</v>
      </c>
      <c r="Q99" s="97">
        <f t="shared" si="16"/>
        <v>596</v>
      </c>
      <c r="R99" s="97">
        <f t="shared" si="17"/>
        <v>596</v>
      </c>
      <c r="S99" s="97">
        <f t="shared" si="18"/>
        <v>596</v>
      </c>
      <c r="T99" s="97">
        <f t="shared" si="19"/>
        <v>596</v>
      </c>
    </row>
    <row r="100" spans="1:20" s="161" customFormat="1" ht="15.75" hidden="1">
      <c r="A100">
        <v>2</v>
      </c>
      <c r="E100" s="162"/>
      <c r="F100" s="104"/>
      <c r="G100" s="104"/>
      <c r="H100" s="163"/>
      <c r="I100" s="164"/>
      <c r="J100" s="164"/>
      <c r="K100" s="104"/>
      <c r="L100" s="11"/>
      <c r="M100" s="95"/>
      <c r="N100" s="95"/>
      <c r="O100" s="95"/>
      <c r="P100" s="95"/>
      <c r="Q100" s="95"/>
      <c r="R100" s="95"/>
      <c r="S100" s="95"/>
      <c r="T100" s="95"/>
    </row>
    <row r="101" spans="1:20" s="161" customFormat="1" ht="15.75" hidden="1">
      <c r="A101">
        <v>2</v>
      </c>
      <c r="E101" s="162"/>
      <c r="F101" s="104" t="s">
        <v>377</v>
      </c>
      <c r="G101" s="104" t="e">
        <f>LOOKUP(F134,porantvar2,cod06cargosvar2feb11)</f>
        <v>#NAME?</v>
      </c>
      <c r="H101" s="163"/>
      <c r="I101" s="164"/>
      <c r="J101" s="164"/>
      <c r="K101" s="104"/>
      <c r="L101" s="11"/>
      <c r="M101" s="95"/>
      <c r="N101" s="95"/>
      <c r="O101" s="95"/>
      <c r="P101" s="95"/>
      <c r="Q101" s="95"/>
      <c r="R101" s="95"/>
      <c r="S101" s="95"/>
      <c r="T101" s="95"/>
    </row>
    <row r="102" spans="1:20" s="161" customFormat="1" ht="15.75" hidden="1">
      <c r="A102"/>
      <c r="E102" s="162"/>
      <c r="F102" s="104"/>
      <c r="G102" s="104"/>
      <c r="H102" s="163"/>
      <c r="I102" s="164"/>
      <c r="J102" s="164"/>
      <c r="K102" s="104"/>
      <c r="L102" s="11"/>
      <c r="M102" s="95"/>
      <c r="N102" s="95"/>
      <c r="O102" s="95"/>
      <c r="P102" s="95"/>
      <c r="Q102" s="95"/>
      <c r="R102" s="95"/>
      <c r="S102" s="95"/>
      <c r="T102" s="95"/>
    </row>
    <row r="103" spans="1:20" ht="16.5" hidden="1" thickBot="1">
      <c r="A103">
        <v>2</v>
      </c>
      <c r="F103" t="s">
        <v>345</v>
      </c>
      <c r="G103" s="10" t="s">
        <v>347</v>
      </c>
      <c r="H103" s="10" t="s">
        <v>348</v>
      </c>
      <c r="I103" s="94" t="s">
        <v>349</v>
      </c>
      <c r="J103" s="94" t="s">
        <v>350</v>
      </c>
      <c r="K103" s="94" t="s">
        <v>351</v>
      </c>
      <c r="L103" s="94" t="s">
        <v>352</v>
      </c>
      <c r="M103" s="94" t="s">
        <v>353</v>
      </c>
      <c r="N103" s="94" t="s">
        <v>354</v>
      </c>
      <c r="O103" s="96" t="s">
        <v>355</v>
      </c>
      <c r="P103" s="96">
        <v>1</v>
      </c>
      <c r="Q103" s="96">
        <v>2</v>
      </c>
      <c r="R103" s="96">
        <v>3</v>
      </c>
      <c r="S103" s="96">
        <v>4</v>
      </c>
      <c r="T103" s="96">
        <v>5</v>
      </c>
    </row>
    <row r="104" spans="1:20" ht="15.75" hidden="1">
      <c r="A104">
        <v>2</v>
      </c>
      <c r="E104" s="87">
        <v>0</v>
      </c>
      <c r="F104" s="262" t="e">
        <f aca="true" t="shared" si="21" ref="F104:F115">IF(puntosproljorvarios2&lt;620,T104,O104)</f>
        <v>#NAME?</v>
      </c>
      <c r="G104" s="10">
        <v>499</v>
      </c>
      <c r="H104" s="10">
        <v>121</v>
      </c>
      <c r="I104" s="10">
        <v>0</v>
      </c>
      <c r="J104" s="10">
        <v>0</v>
      </c>
      <c r="K104" s="10">
        <v>0</v>
      </c>
      <c r="L104" s="10">
        <v>0</v>
      </c>
      <c r="M104" s="10">
        <v>121</v>
      </c>
      <c r="N104" s="10">
        <v>121</v>
      </c>
      <c r="O104" s="97">
        <f aca="true" t="shared" si="22" ref="O104:O115">IF(punbasjubvarios2&gt;971,N104,M104)</f>
        <v>121</v>
      </c>
      <c r="P104" s="97">
        <f>IF(punbasjubvarios2&lt;972,G104,H104)</f>
        <v>499</v>
      </c>
      <c r="Q104" s="97">
        <f aca="true" t="shared" si="23" ref="Q104:Q115">IF(punbasjubvarios1&lt;1170,P104,I104)</f>
        <v>0</v>
      </c>
      <c r="R104" s="97">
        <f aca="true" t="shared" si="24" ref="R104:R115">IF(punbasjubvarios2&lt;1401,Q104,J104)</f>
        <v>0</v>
      </c>
      <c r="S104" s="97">
        <f aca="true" t="shared" si="25" ref="S104:S115">IF(punbasjubvarios2&lt;1943,R104,K104)</f>
        <v>0</v>
      </c>
      <c r="T104" s="97">
        <f aca="true" t="shared" si="26" ref="T104:T115">IF(punbasjubvarios2&lt;=2220,S104,L104)</f>
        <v>0</v>
      </c>
    </row>
    <row r="105" spans="1:20" ht="15.75" hidden="1">
      <c r="A105">
        <v>2</v>
      </c>
      <c r="E105" s="88">
        <v>0.1</v>
      </c>
      <c r="F105" s="262" t="e">
        <f t="shared" si="21"/>
        <v>#NAME?</v>
      </c>
      <c r="G105" s="10">
        <v>709</v>
      </c>
      <c r="H105" s="10">
        <v>137</v>
      </c>
      <c r="I105" s="10">
        <v>0</v>
      </c>
      <c r="J105" s="10">
        <v>0</v>
      </c>
      <c r="K105" s="10">
        <v>0</v>
      </c>
      <c r="L105" s="10">
        <v>0</v>
      </c>
      <c r="M105" s="10">
        <v>137</v>
      </c>
      <c r="N105" s="10">
        <v>137</v>
      </c>
      <c r="O105" s="97">
        <f t="shared" si="22"/>
        <v>137</v>
      </c>
      <c r="P105" s="97">
        <f aca="true" t="shared" si="27" ref="P105:P115">IF(punbasjubvarios1&lt;972,G105,H105)</f>
        <v>137</v>
      </c>
      <c r="Q105" s="97">
        <f t="shared" si="23"/>
        <v>0</v>
      </c>
      <c r="R105" s="97">
        <f t="shared" si="24"/>
        <v>0</v>
      </c>
      <c r="S105" s="97">
        <f t="shared" si="25"/>
        <v>0</v>
      </c>
      <c r="T105" s="97">
        <f t="shared" si="26"/>
        <v>0</v>
      </c>
    </row>
    <row r="106" spans="1:20" ht="15.75" hidden="1">
      <c r="A106">
        <v>2</v>
      </c>
      <c r="E106" s="89">
        <v>0.15</v>
      </c>
      <c r="F106" s="262" t="e">
        <f t="shared" si="21"/>
        <v>#NAME?</v>
      </c>
      <c r="G106" s="10">
        <v>860</v>
      </c>
      <c r="H106" s="10">
        <v>273</v>
      </c>
      <c r="I106" s="10">
        <v>364</v>
      </c>
      <c r="J106" s="10">
        <v>293</v>
      </c>
      <c r="K106" s="10">
        <v>273</v>
      </c>
      <c r="L106" s="10">
        <v>0</v>
      </c>
      <c r="M106" s="10">
        <v>333</v>
      </c>
      <c r="N106" s="10">
        <v>333</v>
      </c>
      <c r="O106" s="97">
        <f t="shared" si="22"/>
        <v>333</v>
      </c>
      <c r="P106" s="97">
        <f t="shared" si="27"/>
        <v>273</v>
      </c>
      <c r="Q106" s="97">
        <f t="shared" si="23"/>
        <v>364</v>
      </c>
      <c r="R106" s="97">
        <f t="shared" si="24"/>
        <v>364</v>
      </c>
      <c r="S106" s="97">
        <f t="shared" si="25"/>
        <v>364</v>
      </c>
      <c r="T106" s="97">
        <f t="shared" si="26"/>
        <v>364</v>
      </c>
    </row>
    <row r="107" spans="1:20" ht="15.75" hidden="1">
      <c r="A107">
        <v>2</v>
      </c>
      <c r="E107" s="89">
        <v>0.3</v>
      </c>
      <c r="F107" s="262" t="e">
        <f t="shared" si="21"/>
        <v>#NAME?</v>
      </c>
      <c r="G107" s="10">
        <v>894</v>
      </c>
      <c r="H107" s="10">
        <v>295</v>
      </c>
      <c r="I107" s="10">
        <v>364</v>
      </c>
      <c r="J107" s="10">
        <v>293</v>
      </c>
      <c r="K107" s="10">
        <v>273</v>
      </c>
      <c r="L107" s="10">
        <v>0</v>
      </c>
      <c r="M107" s="10">
        <v>576</v>
      </c>
      <c r="N107" s="10">
        <v>531</v>
      </c>
      <c r="O107" s="97">
        <f t="shared" si="22"/>
        <v>576</v>
      </c>
      <c r="P107" s="97">
        <f t="shared" si="27"/>
        <v>295</v>
      </c>
      <c r="Q107" s="97">
        <f t="shared" si="23"/>
        <v>364</v>
      </c>
      <c r="R107" s="97">
        <f t="shared" si="24"/>
        <v>364</v>
      </c>
      <c r="S107" s="97">
        <f t="shared" si="25"/>
        <v>364</v>
      </c>
      <c r="T107" s="97">
        <f t="shared" si="26"/>
        <v>364</v>
      </c>
    </row>
    <row r="108" spans="1:20" ht="15.75" hidden="1">
      <c r="A108">
        <v>2</v>
      </c>
      <c r="E108" s="89">
        <v>0.4</v>
      </c>
      <c r="F108" s="262" t="e">
        <f t="shared" si="21"/>
        <v>#NAME?</v>
      </c>
      <c r="G108" s="10">
        <v>806</v>
      </c>
      <c r="H108" s="10">
        <v>318</v>
      </c>
      <c r="I108" s="10">
        <v>379</v>
      </c>
      <c r="J108" s="10">
        <v>303</v>
      </c>
      <c r="K108" s="10">
        <v>273</v>
      </c>
      <c r="L108" s="10">
        <v>212</v>
      </c>
      <c r="M108" s="10">
        <v>666</v>
      </c>
      <c r="N108" s="10">
        <v>606</v>
      </c>
      <c r="O108" s="97">
        <f t="shared" si="22"/>
        <v>666</v>
      </c>
      <c r="P108" s="97">
        <f t="shared" si="27"/>
        <v>318</v>
      </c>
      <c r="Q108" s="97">
        <f t="shared" si="23"/>
        <v>379</v>
      </c>
      <c r="R108" s="97">
        <f t="shared" si="24"/>
        <v>379</v>
      </c>
      <c r="S108" s="97">
        <f t="shared" si="25"/>
        <v>379</v>
      </c>
      <c r="T108" s="97">
        <f t="shared" si="26"/>
        <v>379</v>
      </c>
    </row>
    <row r="109" spans="1:20" ht="15.75" hidden="1">
      <c r="A109">
        <v>2</v>
      </c>
      <c r="E109" s="89">
        <v>0.5</v>
      </c>
      <c r="F109" s="262" t="e">
        <f t="shared" si="21"/>
        <v>#NAME?</v>
      </c>
      <c r="G109" s="10">
        <v>702</v>
      </c>
      <c r="H109" s="10">
        <v>349</v>
      </c>
      <c r="I109" s="10">
        <v>379</v>
      </c>
      <c r="J109" s="10">
        <v>303</v>
      </c>
      <c r="K109" s="10">
        <v>273</v>
      </c>
      <c r="L109" s="10">
        <v>212</v>
      </c>
      <c r="M109" s="10">
        <v>720</v>
      </c>
      <c r="N109" s="10">
        <v>659</v>
      </c>
      <c r="O109" s="97">
        <f t="shared" si="22"/>
        <v>720</v>
      </c>
      <c r="P109" s="97">
        <f t="shared" si="27"/>
        <v>349</v>
      </c>
      <c r="Q109" s="97">
        <f t="shared" si="23"/>
        <v>379</v>
      </c>
      <c r="R109" s="97">
        <f t="shared" si="24"/>
        <v>379</v>
      </c>
      <c r="S109" s="97">
        <f t="shared" si="25"/>
        <v>379</v>
      </c>
      <c r="T109" s="97">
        <f t="shared" si="26"/>
        <v>379</v>
      </c>
    </row>
    <row r="110" spans="1:20" ht="15.75" hidden="1">
      <c r="A110">
        <v>2</v>
      </c>
      <c r="E110" s="89">
        <v>0.6</v>
      </c>
      <c r="F110" s="262" t="e">
        <f t="shared" si="21"/>
        <v>#NAME?</v>
      </c>
      <c r="G110" s="10">
        <v>705</v>
      </c>
      <c r="H110" s="10">
        <v>394</v>
      </c>
      <c r="I110" s="10">
        <v>394</v>
      </c>
      <c r="J110" s="10">
        <v>307</v>
      </c>
      <c r="K110" s="10">
        <v>288</v>
      </c>
      <c r="L110" s="10">
        <v>243</v>
      </c>
      <c r="M110" s="10">
        <v>772</v>
      </c>
      <c r="N110" s="10">
        <v>682</v>
      </c>
      <c r="O110" s="97">
        <f t="shared" si="22"/>
        <v>772</v>
      </c>
      <c r="P110" s="97">
        <f t="shared" si="27"/>
        <v>394</v>
      </c>
      <c r="Q110" s="97">
        <f t="shared" si="23"/>
        <v>394</v>
      </c>
      <c r="R110" s="97">
        <f t="shared" si="24"/>
        <v>394</v>
      </c>
      <c r="S110" s="97">
        <f t="shared" si="25"/>
        <v>394</v>
      </c>
      <c r="T110" s="97">
        <f t="shared" si="26"/>
        <v>394</v>
      </c>
    </row>
    <row r="111" spans="1:20" ht="15.75" hidden="1">
      <c r="A111">
        <v>2</v>
      </c>
      <c r="E111" s="89">
        <v>0.7</v>
      </c>
      <c r="F111" s="262" t="e">
        <f t="shared" si="21"/>
        <v>#NAME?</v>
      </c>
      <c r="G111" s="10">
        <v>675</v>
      </c>
      <c r="H111" s="10">
        <v>432</v>
      </c>
      <c r="I111" s="10">
        <v>553</v>
      </c>
      <c r="J111" s="10">
        <v>349</v>
      </c>
      <c r="K111" s="10">
        <v>288</v>
      </c>
      <c r="L111" s="10">
        <v>243</v>
      </c>
      <c r="M111" s="10">
        <v>795</v>
      </c>
      <c r="N111" s="10">
        <v>705</v>
      </c>
      <c r="O111" s="97">
        <f t="shared" si="22"/>
        <v>795</v>
      </c>
      <c r="P111" s="97">
        <f t="shared" si="27"/>
        <v>432</v>
      </c>
      <c r="Q111" s="97">
        <f t="shared" si="23"/>
        <v>553</v>
      </c>
      <c r="R111" s="97">
        <f t="shared" si="24"/>
        <v>553</v>
      </c>
      <c r="S111" s="97">
        <f t="shared" si="25"/>
        <v>553</v>
      </c>
      <c r="T111" s="97">
        <f t="shared" si="26"/>
        <v>553</v>
      </c>
    </row>
    <row r="112" spans="1:20" ht="15.75" hidden="1">
      <c r="A112">
        <v>2</v>
      </c>
      <c r="E112" s="89">
        <v>0.8</v>
      </c>
      <c r="F112" s="262" t="e">
        <f t="shared" si="21"/>
        <v>#NAME?</v>
      </c>
      <c r="G112" s="10">
        <v>810</v>
      </c>
      <c r="H112" s="10">
        <v>522</v>
      </c>
      <c r="I112" s="10">
        <v>599</v>
      </c>
      <c r="J112" s="10">
        <v>515</v>
      </c>
      <c r="K112" s="10">
        <v>425</v>
      </c>
      <c r="L112" s="10">
        <v>273</v>
      </c>
      <c r="M112" s="10">
        <v>841</v>
      </c>
      <c r="N112" s="10">
        <v>720</v>
      </c>
      <c r="O112" s="97">
        <f t="shared" si="22"/>
        <v>841</v>
      </c>
      <c r="P112" s="97">
        <f t="shared" si="27"/>
        <v>522</v>
      </c>
      <c r="Q112" s="97">
        <f t="shared" si="23"/>
        <v>599</v>
      </c>
      <c r="R112" s="97">
        <f t="shared" si="24"/>
        <v>599</v>
      </c>
      <c r="S112" s="97">
        <f t="shared" si="25"/>
        <v>599</v>
      </c>
      <c r="T112" s="97">
        <f t="shared" si="26"/>
        <v>599</v>
      </c>
    </row>
    <row r="113" spans="1:20" ht="15.75" hidden="1">
      <c r="A113">
        <v>2</v>
      </c>
      <c r="E113" s="89">
        <v>1</v>
      </c>
      <c r="F113" s="262" t="e">
        <f t="shared" si="21"/>
        <v>#NAME?</v>
      </c>
      <c r="G113" s="10">
        <v>1008</v>
      </c>
      <c r="H113" s="10">
        <v>659</v>
      </c>
      <c r="I113" s="10">
        <v>621</v>
      </c>
      <c r="J113" s="10">
        <v>500</v>
      </c>
      <c r="K113" s="10">
        <v>470</v>
      </c>
      <c r="L113" s="10">
        <v>273</v>
      </c>
      <c r="M113" s="10">
        <v>894</v>
      </c>
      <c r="N113" s="10">
        <v>743</v>
      </c>
      <c r="O113" s="97">
        <f t="shared" si="22"/>
        <v>894</v>
      </c>
      <c r="P113" s="97">
        <f t="shared" si="27"/>
        <v>659</v>
      </c>
      <c r="Q113" s="97">
        <f t="shared" si="23"/>
        <v>621</v>
      </c>
      <c r="R113" s="97">
        <f t="shared" si="24"/>
        <v>621</v>
      </c>
      <c r="S113" s="97">
        <f t="shared" si="25"/>
        <v>621</v>
      </c>
      <c r="T113" s="97">
        <f t="shared" si="26"/>
        <v>621</v>
      </c>
    </row>
    <row r="114" spans="1:20" ht="15.75" hidden="1">
      <c r="A114">
        <v>2</v>
      </c>
      <c r="E114" s="89">
        <v>1.1</v>
      </c>
      <c r="F114" s="262" t="e">
        <f t="shared" si="21"/>
        <v>#NAME?</v>
      </c>
      <c r="G114" s="285">
        <v>1129</v>
      </c>
      <c r="H114" s="286">
        <v>750</v>
      </c>
      <c r="I114" s="10">
        <v>651</v>
      </c>
      <c r="J114" s="10">
        <v>500</v>
      </c>
      <c r="K114" s="10">
        <v>484</v>
      </c>
      <c r="L114" s="10">
        <v>288</v>
      </c>
      <c r="M114" s="10">
        <v>932</v>
      </c>
      <c r="N114" s="10">
        <v>765</v>
      </c>
      <c r="O114" s="97">
        <f t="shared" si="22"/>
        <v>932</v>
      </c>
      <c r="P114" s="97">
        <f t="shared" si="27"/>
        <v>750</v>
      </c>
      <c r="Q114" s="97">
        <f t="shared" si="23"/>
        <v>651</v>
      </c>
      <c r="R114" s="97">
        <f t="shared" si="24"/>
        <v>651</v>
      </c>
      <c r="S114" s="97">
        <f t="shared" si="25"/>
        <v>651</v>
      </c>
      <c r="T114" s="97">
        <f t="shared" si="26"/>
        <v>651</v>
      </c>
    </row>
    <row r="115" spans="1:20" ht="16.5" hidden="1" thickBot="1">
      <c r="A115">
        <v>2</v>
      </c>
      <c r="E115" s="90">
        <v>1.2</v>
      </c>
      <c r="F115" s="262" t="e">
        <f t="shared" si="21"/>
        <v>#NAME?</v>
      </c>
      <c r="G115" s="10">
        <v>1166</v>
      </c>
      <c r="H115" s="10">
        <v>772</v>
      </c>
      <c r="I115" s="10">
        <v>727</v>
      </c>
      <c r="J115" s="10">
        <v>508</v>
      </c>
      <c r="K115" s="10">
        <v>500</v>
      </c>
      <c r="L115" s="10">
        <v>288</v>
      </c>
      <c r="M115" s="10">
        <v>939</v>
      </c>
      <c r="N115" s="10">
        <v>772</v>
      </c>
      <c r="O115" s="97">
        <f t="shared" si="22"/>
        <v>939</v>
      </c>
      <c r="P115" s="97">
        <f t="shared" si="27"/>
        <v>772</v>
      </c>
      <c r="Q115" s="97">
        <f t="shared" si="23"/>
        <v>727</v>
      </c>
      <c r="R115" s="97">
        <f t="shared" si="24"/>
        <v>727</v>
      </c>
      <c r="S115" s="97">
        <f t="shared" si="25"/>
        <v>727</v>
      </c>
      <c r="T115" s="97">
        <f t="shared" si="26"/>
        <v>727</v>
      </c>
    </row>
    <row r="116" spans="1:20" s="161" customFormat="1" ht="15.75" hidden="1">
      <c r="A116">
        <v>2</v>
      </c>
      <c r="E116" s="162"/>
      <c r="F116" s="104"/>
      <c r="G116" s="104"/>
      <c r="H116" s="163"/>
      <c r="I116" s="164"/>
      <c r="J116" s="164"/>
      <c r="K116" s="104"/>
      <c r="L116" s="11"/>
      <c r="M116" s="95"/>
      <c r="N116" s="95"/>
      <c r="O116" s="95"/>
      <c r="P116" s="95"/>
      <c r="Q116" s="95"/>
      <c r="R116" s="95"/>
      <c r="S116" s="95"/>
      <c r="T116" s="95"/>
    </row>
    <row r="117" spans="1:20" s="161" customFormat="1" ht="15.75" hidden="1">
      <c r="A117">
        <v>2</v>
      </c>
      <c r="E117" s="162"/>
      <c r="F117" s="104" t="s">
        <v>378</v>
      </c>
      <c r="G117" s="104" t="e">
        <f>LOOKUP(F134,porantvar2,cod06cargosvar2mar11)</f>
        <v>#NAME?</v>
      </c>
      <c r="H117" s="163"/>
      <c r="I117" s="164"/>
      <c r="J117" s="164"/>
      <c r="K117" s="104"/>
      <c r="L117" s="11"/>
      <c r="M117" s="95"/>
      <c r="N117" s="95"/>
      <c r="O117" s="95"/>
      <c r="P117" s="95"/>
      <c r="Q117" s="95"/>
      <c r="R117" s="95"/>
      <c r="S117" s="95"/>
      <c r="T117" s="95"/>
    </row>
    <row r="118" spans="1:20" s="161" customFormat="1" ht="15.75" hidden="1">
      <c r="A118"/>
      <c r="E118" s="162"/>
      <c r="F118" s="104"/>
      <c r="G118" s="104"/>
      <c r="H118" s="163"/>
      <c r="I118" s="164"/>
      <c r="J118" s="164"/>
      <c r="K118" s="104"/>
      <c r="L118" s="11"/>
      <c r="M118" s="95"/>
      <c r="N118" s="95"/>
      <c r="O118" s="95"/>
      <c r="P118" s="95"/>
      <c r="Q118" s="95"/>
      <c r="R118" s="95"/>
      <c r="S118" s="95"/>
      <c r="T118" s="95"/>
    </row>
    <row r="119" spans="1:20" s="161" customFormat="1" ht="15.75" hidden="1">
      <c r="A119"/>
      <c r="E119" s="162"/>
      <c r="F119" s="104"/>
      <c r="G119" s="104"/>
      <c r="H119" s="163"/>
      <c r="I119" s="164"/>
      <c r="J119" s="164"/>
      <c r="K119" s="104"/>
      <c r="L119" s="11"/>
      <c r="M119" s="95"/>
      <c r="N119" s="95"/>
      <c r="O119" s="95"/>
      <c r="P119" s="95"/>
      <c r="Q119" s="95"/>
      <c r="R119" s="95"/>
      <c r="S119" s="95"/>
      <c r="T119" s="95"/>
    </row>
    <row r="120" spans="1:20" s="161" customFormat="1" ht="15.75" hidden="1">
      <c r="A120"/>
      <c r="E120" s="162"/>
      <c r="F120" s="104"/>
      <c r="G120" s="104"/>
      <c r="H120" s="163"/>
      <c r="I120" s="164"/>
      <c r="J120" s="164"/>
      <c r="K120" s="104"/>
      <c r="L120" s="11"/>
      <c r="M120" s="95"/>
      <c r="N120" s="95"/>
      <c r="O120" s="95"/>
      <c r="P120" s="95"/>
      <c r="Q120" s="95"/>
      <c r="R120" s="95"/>
      <c r="S120" s="95"/>
      <c r="T120" s="95"/>
    </row>
    <row r="121" spans="1:16" s="166" customFormat="1" ht="15.75" hidden="1">
      <c r="A121">
        <v>2</v>
      </c>
      <c r="C121" s="162"/>
      <c r="F121" s="104"/>
      <c r="G121" s="95"/>
      <c r="H121" s="48"/>
      <c r="I121" s="48"/>
      <c r="J121" s="104"/>
      <c r="K121" s="11"/>
      <c r="L121" s="95"/>
      <c r="M121" s="95"/>
      <c r="N121" s="95"/>
      <c r="O121" s="95"/>
      <c r="P121" s="95"/>
    </row>
    <row r="122" spans="1:15" ht="12.75">
      <c r="A122" s="178">
        <v>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</row>
    <row r="123" spans="1:17" ht="20.25">
      <c r="A123" s="178">
        <v>2</v>
      </c>
      <c r="B123" s="119"/>
      <c r="C123" s="124"/>
      <c r="D123" s="124"/>
      <c r="E123" s="53" t="s">
        <v>338</v>
      </c>
      <c r="F123" s="10"/>
      <c r="G123" s="10"/>
      <c r="H123" s="124"/>
      <c r="I123" s="124"/>
      <c r="J123" s="124"/>
      <c r="K123" s="124"/>
      <c r="L123" s="124"/>
      <c r="M123" s="124"/>
      <c r="N123" s="118"/>
      <c r="O123" s="188"/>
      <c r="P123" s="104"/>
      <c r="Q123" s="104"/>
    </row>
    <row r="124" spans="1:17" ht="12.75">
      <c r="A124" s="178">
        <v>2</v>
      </c>
      <c r="B124" s="119"/>
      <c r="C124" s="119"/>
      <c r="D124" s="119"/>
      <c r="E124" s="119"/>
      <c r="F124" s="119"/>
      <c r="G124" s="119"/>
      <c r="H124" s="180"/>
      <c r="I124" s="119"/>
      <c r="J124" s="119"/>
      <c r="K124" s="119"/>
      <c r="L124" s="119"/>
      <c r="M124" s="119"/>
      <c r="N124" s="118"/>
      <c r="O124" s="188"/>
      <c r="P124" s="104"/>
      <c r="Q124" s="104"/>
    </row>
    <row r="125" spans="1:17" ht="12.75">
      <c r="A125" s="178">
        <v>2</v>
      </c>
      <c r="B125" s="178"/>
      <c r="C125" s="178"/>
      <c r="D125" s="36" t="s">
        <v>30</v>
      </c>
      <c r="E125" s="36" t="s">
        <v>309</v>
      </c>
      <c r="F125" s="36" t="s">
        <v>310</v>
      </c>
      <c r="G125" s="36" t="s">
        <v>311</v>
      </c>
      <c r="H125" s="36" t="s">
        <v>312</v>
      </c>
      <c r="I125" s="73" t="s">
        <v>356</v>
      </c>
      <c r="J125" s="315" t="s">
        <v>383</v>
      </c>
      <c r="K125" s="119"/>
      <c r="L125" s="119"/>
      <c r="M125" s="119"/>
      <c r="N125" s="118"/>
      <c r="O125" s="188"/>
      <c r="P125" s="104"/>
      <c r="Q125" s="104"/>
    </row>
    <row r="126" spans="1:17" ht="16.5" thickBot="1">
      <c r="A126" s="178">
        <v>2</v>
      </c>
      <c r="B126" s="178"/>
      <c r="C126" s="178"/>
      <c r="D126" s="82">
        <v>750</v>
      </c>
      <c r="E126" s="54">
        <f>LOOKUP(D126,[0]!numerocargo,[0]!puntosbasicoscargo)</f>
        <v>971</v>
      </c>
      <c r="F126" s="54" t="e">
        <f>LOOKUP(D126,[0]!numerocargo,[0]!tardifcargo)</f>
        <v>#NAME?</v>
      </c>
      <c r="G126" s="54">
        <f>LOOKUP(D126,[0]!numerocargo,[0]!proljorcargo)</f>
        <v>1298</v>
      </c>
      <c r="H126" s="54" t="e">
        <f>LOOKUP(D126,[0]!numerocargo,[0]!jorcomcargo)</f>
        <v>#NAME?</v>
      </c>
      <c r="I126" s="36">
        <f>LOOKUP(D126,Cargos!A1:A338,puntoscompbasico)</f>
        <v>0</v>
      </c>
      <c r="J126" s="314" t="e">
        <f>LOOKUP(D126,Cargos!A1:A338,puntosadicdir)</f>
        <v>#REF!</v>
      </c>
      <c r="K126" s="119"/>
      <c r="L126" s="119"/>
      <c r="M126" s="119"/>
      <c r="N126" s="118"/>
      <c r="O126" s="188"/>
      <c r="P126" s="104"/>
      <c r="Q126" s="104"/>
    </row>
    <row r="127" spans="1:17" ht="13.5" thickBot="1">
      <c r="A127" s="178">
        <v>2</v>
      </c>
      <c r="B127" s="178"/>
      <c r="C127" s="178"/>
      <c r="D127" s="55" t="s">
        <v>31</v>
      </c>
      <c r="E127" s="56" t="str">
        <f>LOOKUP(D126,[0]!numerocargo,[0]!nombrecargo)</f>
        <v> BIBLIOTECARIO</v>
      </c>
      <c r="F127" s="35"/>
      <c r="G127" s="35"/>
      <c r="H127" s="44"/>
      <c r="I127" s="119"/>
      <c r="J127" s="119"/>
      <c r="K127" s="119"/>
      <c r="L127" s="119"/>
      <c r="M127" s="119"/>
      <c r="N127" s="118"/>
      <c r="O127" s="188"/>
      <c r="P127" s="104"/>
      <c r="Q127" s="104"/>
    </row>
    <row r="128" spans="1:17" ht="13.5" thickBot="1">
      <c r="A128" s="178">
        <v>2</v>
      </c>
      <c r="B128" s="178"/>
      <c r="C128" s="178"/>
      <c r="D128" s="179"/>
      <c r="E128" s="180"/>
      <c r="F128" s="119"/>
      <c r="G128" s="119"/>
      <c r="H128" s="119"/>
      <c r="I128" s="91" t="s">
        <v>330</v>
      </c>
      <c r="J128" s="186"/>
      <c r="K128" s="186"/>
      <c r="L128" s="186"/>
      <c r="M128" s="119"/>
      <c r="N128" s="119"/>
      <c r="O128" s="119"/>
      <c r="P128" s="10"/>
      <c r="Q128" s="10"/>
    </row>
    <row r="129" spans="1:17" ht="19.5" thickBot="1" thickTop="1">
      <c r="A129" s="178">
        <v>2</v>
      </c>
      <c r="B129" s="178"/>
      <c r="C129" s="178"/>
      <c r="D129" s="105" t="s">
        <v>324</v>
      </c>
      <c r="E129" s="86"/>
      <c r="F129" s="86"/>
      <c r="G129" s="86"/>
      <c r="H129" s="106">
        <v>42</v>
      </c>
      <c r="I129" s="92">
        <f>H129/120</f>
        <v>0.35</v>
      </c>
      <c r="J129" s="180"/>
      <c r="K129" s="180"/>
      <c r="L129" s="180"/>
      <c r="M129" s="119"/>
      <c r="N129" s="119"/>
      <c r="O129" s="119"/>
      <c r="P129" s="10"/>
      <c r="Q129" s="10"/>
    </row>
    <row r="130" spans="1:17" ht="17.25" thickBot="1" thickTop="1">
      <c r="A130" s="178">
        <v>2</v>
      </c>
      <c r="B130" s="179"/>
      <c r="C130" s="180"/>
      <c r="D130" s="119"/>
      <c r="E130" s="119"/>
      <c r="F130" s="244"/>
      <c r="G130" s="119"/>
      <c r="H130" s="322"/>
      <c r="I130" s="119"/>
      <c r="J130" s="119"/>
      <c r="K130" s="119"/>
      <c r="L130" s="119"/>
      <c r="M130" s="119"/>
      <c r="N130" s="119"/>
      <c r="O130" s="119"/>
      <c r="P130" s="10"/>
      <c r="Q130" s="10"/>
    </row>
    <row r="131" spans="1:17" ht="17.25" thickBot="1" thickTop="1">
      <c r="A131" s="178">
        <v>2</v>
      </c>
      <c r="B131" s="179"/>
      <c r="C131" s="178"/>
      <c r="D131" s="85" t="s">
        <v>332</v>
      </c>
      <c r="E131" s="93">
        <v>0</v>
      </c>
      <c r="F131" s="244"/>
      <c r="G131" s="119"/>
      <c r="H131" s="180"/>
      <c r="I131" s="119"/>
      <c r="J131" s="119"/>
      <c r="K131" s="119"/>
      <c r="L131" s="119"/>
      <c r="M131" s="119"/>
      <c r="N131" s="119"/>
      <c r="O131" s="119"/>
      <c r="P131" s="10"/>
      <c r="Q131" s="10"/>
    </row>
    <row r="132" spans="1:17" ht="14.25" thickBot="1" thickTop="1">
      <c r="A132" s="178">
        <v>2</v>
      </c>
      <c r="B132" s="179"/>
      <c r="C132" s="180"/>
      <c r="D132" s="119"/>
      <c r="E132" s="119"/>
      <c r="F132" s="119"/>
      <c r="G132" s="119"/>
      <c r="H132" s="180"/>
      <c r="I132" s="119"/>
      <c r="J132" s="119"/>
      <c r="K132" s="119"/>
      <c r="L132" s="119"/>
      <c r="M132" s="119"/>
      <c r="N132" s="119"/>
      <c r="O132" s="119"/>
      <c r="P132" s="10"/>
      <c r="Q132" s="10"/>
    </row>
    <row r="133" spans="1:17" ht="16.5" thickBot="1">
      <c r="A133" s="178">
        <v>2</v>
      </c>
      <c r="B133" s="119"/>
      <c r="C133" s="124"/>
      <c r="D133" s="57" t="s">
        <v>8</v>
      </c>
      <c r="E133" s="35"/>
      <c r="F133" s="58" t="e">
        <f>E126*indicesep2010</f>
        <v>#NAME?</v>
      </c>
      <c r="G133" s="124"/>
      <c r="H133" s="124"/>
      <c r="I133" s="124"/>
      <c r="J133" s="124"/>
      <c r="K133" s="124"/>
      <c r="L133" s="124"/>
      <c r="M133" s="123"/>
      <c r="N133" s="123"/>
      <c r="O133" s="124"/>
      <c r="P133" s="10"/>
      <c r="Q133" s="10"/>
    </row>
    <row r="134" spans="1:17" ht="16.5" thickBot="1">
      <c r="A134" s="178">
        <v>2</v>
      </c>
      <c r="B134" s="119"/>
      <c r="C134" s="124"/>
      <c r="D134" s="120" t="s">
        <v>9</v>
      </c>
      <c r="E134" s="121"/>
      <c r="F134" s="122">
        <v>1.2</v>
      </c>
      <c r="G134" s="47" t="s">
        <v>10</v>
      </c>
      <c r="H134" s="47"/>
      <c r="I134" s="124"/>
      <c r="J134" s="124"/>
      <c r="K134" s="124"/>
      <c r="L134" s="124"/>
      <c r="M134" s="124"/>
      <c r="N134" s="123"/>
      <c r="O134" s="124"/>
      <c r="P134" s="10"/>
      <c r="Q134" s="10"/>
    </row>
    <row r="135" spans="1:17" ht="15.75">
      <c r="A135" s="178">
        <v>2</v>
      </c>
      <c r="B135" s="119"/>
      <c r="C135" s="124"/>
      <c r="D135" s="119"/>
      <c r="E135" s="119"/>
      <c r="F135" s="323"/>
      <c r="G135" s="124"/>
      <c r="H135" s="124"/>
      <c r="I135" s="124"/>
      <c r="J135" s="124"/>
      <c r="K135" s="124"/>
      <c r="L135" s="124"/>
      <c r="M135" s="124"/>
      <c r="N135" s="125"/>
      <c r="O135" s="124"/>
      <c r="P135" s="10"/>
      <c r="Q135" s="10"/>
    </row>
    <row r="136" spans="1:17" ht="18.75" hidden="1" thickBot="1">
      <c r="A136" s="178">
        <v>2</v>
      </c>
      <c r="B136" s="119"/>
      <c r="C136" s="124"/>
      <c r="D136" s="60" t="s">
        <v>11</v>
      </c>
      <c r="E136" s="60"/>
      <c r="F136" s="61">
        <f>E126</f>
        <v>971</v>
      </c>
      <c r="G136" s="10" t="s">
        <v>12</v>
      </c>
      <c r="H136" s="124"/>
      <c r="I136" s="59" t="e">
        <f>H126+G126</f>
        <v>#NAME?</v>
      </c>
      <c r="J136" s="123"/>
      <c r="K136" s="123"/>
      <c r="L136" s="123"/>
      <c r="M136" s="119"/>
      <c r="N136" s="124"/>
      <c r="O136" s="124"/>
      <c r="P136" s="10"/>
      <c r="Q136" s="10"/>
    </row>
    <row r="137" spans="1:17" ht="15.75" hidden="1">
      <c r="A137" s="178">
        <v>2</v>
      </c>
      <c r="B137" s="119"/>
      <c r="C137" s="124"/>
      <c r="D137" s="2"/>
      <c r="E137" s="2"/>
      <c r="F137" s="109"/>
      <c r="G137" s="124"/>
      <c r="H137" s="124"/>
      <c r="I137" s="119"/>
      <c r="J137" s="119"/>
      <c r="K137" s="119"/>
      <c r="L137" s="119"/>
      <c r="M137" s="242"/>
      <c r="N137" s="124"/>
      <c r="O137" s="124"/>
      <c r="P137" s="10"/>
      <c r="Q137" s="10"/>
    </row>
    <row r="138" spans="1:15" ht="15.75" hidden="1">
      <c r="A138" s="178">
        <v>2</v>
      </c>
      <c r="B138" s="119"/>
      <c r="C138" s="124"/>
      <c r="D138" s="10"/>
      <c r="E138" s="98" t="s">
        <v>373</v>
      </c>
      <c r="F138" s="10"/>
      <c r="G138" s="102"/>
      <c r="H138" s="10"/>
      <c r="I138" s="98" t="s">
        <v>374</v>
      </c>
      <c r="J138" s="10"/>
      <c r="K138" s="178"/>
      <c r="L138" s="11"/>
      <c r="M138" s="297"/>
      <c r="N138" s="11"/>
      <c r="O138" s="178"/>
    </row>
    <row r="139" spans="1:15" ht="12.75" hidden="1">
      <c r="A139" s="178">
        <v>2</v>
      </c>
      <c r="B139" s="119"/>
      <c r="C139" s="178"/>
      <c r="D139" s="16">
        <v>400</v>
      </c>
      <c r="E139" s="16" t="s">
        <v>13</v>
      </c>
      <c r="F139" s="62" t="e">
        <f>punbasjubvarios2*indicesep2010*porjubvarcar*frac2</f>
        <v>#NAME?</v>
      </c>
      <c r="G139" s="178"/>
      <c r="H139" s="16">
        <v>400</v>
      </c>
      <c r="I139" s="16" t="s">
        <v>13</v>
      </c>
      <c r="J139" s="62" t="e">
        <f>punbasjubvarios2*indicemar2011*porjubvarcar*frac2</f>
        <v>#NAME?</v>
      </c>
      <c r="K139" s="178"/>
      <c r="L139" s="11"/>
      <c r="M139" s="11"/>
      <c r="N139" s="298"/>
      <c r="O139" s="178"/>
    </row>
    <row r="140" spans="1:15" ht="12.75" hidden="1">
      <c r="A140" s="178">
        <v>2</v>
      </c>
      <c r="B140" s="119"/>
      <c r="C140" s="178"/>
      <c r="D140" s="16">
        <v>542</v>
      </c>
      <c r="E140" s="16" t="s">
        <v>360</v>
      </c>
      <c r="F140" s="160" t="e">
        <f>compbasicovarios2*indicesep2010*porjubvarcar*frac2</f>
        <v>#NAME?</v>
      </c>
      <c r="G140" s="178"/>
      <c r="H140" s="16">
        <v>542</v>
      </c>
      <c r="I140" s="16" t="s">
        <v>360</v>
      </c>
      <c r="J140" s="160" t="e">
        <f>compbasicovarios2*indicemar2011*porjubvarcar*frac2</f>
        <v>#NAME?</v>
      </c>
      <c r="K140" s="178"/>
      <c r="L140" s="11"/>
      <c r="M140" s="11"/>
      <c r="N140" s="298"/>
      <c r="O140" s="178"/>
    </row>
    <row r="141" spans="1:15" ht="12.75" hidden="1">
      <c r="A141" s="178"/>
      <c r="B141" s="119"/>
      <c r="C141" s="178"/>
      <c r="D141" s="287"/>
      <c r="E141" s="287"/>
      <c r="F141" s="316"/>
      <c r="G141" s="178"/>
      <c r="H141" s="288" t="s">
        <v>372</v>
      </c>
      <c r="I141" s="289" t="s">
        <v>371</v>
      </c>
      <c r="J141" s="313" t="e">
        <f>adicdirvarios2*indicemar2011*porjubvarcar*frac2</f>
        <v>#REF!</v>
      </c>
      <c r="K141" s="178"/>
      <c r="L141" s="11"/>
      <c r="M141" s="11"/>
      <c r="N141" s="298"/>
      <c r="O141" s="178"/>
    </row>
    <row r="142" spans="1:14" ht="12.75" hidden="1">
      <c r="A142" s="178">
        <v>2</v>
      </c>
      <c r="B142" s="119"/>
      <c r="C142" s="178"/>
      <c r="D142" s="16">
        <v>404</v>
      </c>
      <c r="E142" s="16" t="s">
        <v>314</v>
      </c>
      <c r="F142" s="62" t="e">
        <f>puntardifvar2*indicesep2010*porjubvarcar*frac2</f>
        <v>#NAME?</v>
      </c>
      <c r="G142" s="178"/>
      <c r="H142" s="16">
        <v>404</v>
      </c>
      <c r="I142" s="16" t="s">
        <v>314</v>
      </c>
      <c r="J142" s="62" t="e">
        <f>puntardifvar2*indicemar2011*porjubvarcar*frac2</f>
        <v>#NAME?</v>
      </c>
      <c r="L142" s="11"/>
      <c r="M142" s="11"/>
      <c r="N142" s="298"/>
    </row>
    <row r="143" spans="1:14" ht="12.75" hidden="1">
      <c r="A143" s="178">
        <v>2</v>
      </c>
      <c r="B143" s="119"/>
      <c r="C143" s="178"/>
      <c r="D143" s="16">
        <v>406</v>
      </c>
      <c r="E143" s="16" t="s">
        <v>14</v>
      </c>
      <c r="F143" s="62" t="e">
        <f>(F139+F140+F142+F145)*F134</f>
        <v>#NAME?</v>
      </c>
      <c r="G143" s="178"/>
      <c r="H143" s="16">
        <v>406</v>
      </c>
      <c r="I143" s="16" t="s">
        <v>14</v>
      </c>
      <c r="J143" s="62" t="e">
        <f>(J139+J140+J142+J145)*F134</f>
        <v>#NAME?</v>
      </c>
      <c r="L143" s="11"/>
      <c r="M143" s="11"/>
      <c r="N143" s="298"/>
    </row>
    <row r="144" spans="1:14" ht="12.75" hidden="1">
      <c r="A144" s="178">
        <v>2</v>
      </c>
      <c r="B144" s="119"/>
      <c r="C144" s="178"/>
      <c r="D144" s="16">
        <v>408</v>
      </c>
      <c r="E144" s="16" t="s">
        <v>331</v>
      </c>
      <c r="F144" s="62" t="e">
        <f>(F139+F140+F142+F145)*E131</f>
        <v>#NAME?</v>
      </c>
      <c r="G144" s="178"/>
      <c r="H144" s="16">
        <v>408</v>
      </c>
      <c r="I144" s="16" t="s">
        <v>331</v>
      </c>
      <c r="J144" s="62" t="e">
        <f>(J139+J140+J142+J145)*E131</f>
        <v>#NAME?</v>
      </c>
      <c r="L144" s="11"/>
      <c r="M144" s="11"/>
      <c r="N144" s="298"/>
    </row>
    <row r="145" spans="1:14" ht="12.75" hidden="1">
      <c r="A145" s="178">
        <v>2</v>
      </c>
      <c r="B145" s="119"/>
      <c r="C145" s="178"/>
      <c r="D145" s="16">
        <v>416</v>
      </c>
      <c r="E145" s="63" t="s">
        <v>315</v>
      </c>
      <c r="F145" s="62" t="e">
        <f>puntosproljorvarios2*proljorsep2010*porjubvarcar*frac2</f>
        <v>#NAME?</v>
      </c>
      <c r="G145" s="178"/>
      <c r="H145" s="16">
        <v>416</v>
      </c>
      <c r="I145" s="63" t="s">
        <v>315</v>
      </c>
      <c r="J145" s="62" t="e">
        <f>puntosproljorvarios2*proljormar2011*porjubvarcar*frac2</f>
        <v>#NAME?</v>
      </c>
      <c r="L145" s="11"/>
      <c r="M145" s="312"/>
      <c r="N145" s="298"/>
    </row>
    <row r="146" spans="1:14" ht="12.75" hidden="1">
      <c r="A146" s="178">
        <v>2</v>
      </c>
      <c r="B146" s="119"/>
      <c r="C146" s="178"/>
      <c r="D146" s="16">
        <v>432</v>
      </c>
      <c r="E146" s="16" t="s">
        <v>329</v>
      </c>
      <c r="F146" s="62" t="e">
        <f>cod06feb11varios2*porjubvarcar*frac2</f>
        <v>#NAME?</v>
      </c>
      <c r="G146" s="178"/>
      <c r="H146" s="16">
        <v>432</v>
      </c>
      <c r="I146" s="16" t="s">
        <v>329</v>
      </c>
      <c r="J146" s="62" t="e">
        <f>cod06mar11varios2*porjubvarcar*frac2</f>
        <v>#NAME?</v>
      </c>
      <c r="L146" s="11"/>
      <c r="M146" s="11"/>
      <c r="N146" s="298"/>
    </row>
    <row r="147" spans="1:14" ht="12.75" hidden="1">
      <c r="A147" s="178">
        <v>2</v>
      </c>
      <c r="B147" s="119"/>
      <c r="C147" s="178"/>
      <c r="D147" s="16">
        <v>434</v>
      </c>
      <c r="E147" s="16" t="s">
        <v>313</v>
      </c>
      <c r="F147" s="62" t="e">
        <f>(F139+F140+F142+F143+F145+F146+F144)*0.07*0.95</f>
        <v>#NAME?</v>
      </c>
      <c r="G147" s="178"/>
      <c r="H147" s="16">
        <v>434</v>
      </c>
      <c r="I147" s="16" t="s">
        <v>313</v>
      </c>
      <c r="J147" s="62" t="e">
        <f>(J139+J140+J142+J143+J145+J146+J144)*0.07*0.95</f>
        <v>#NAME?</v>
      </c>
      <c r="L147" s="11"/>
      <c r="M147" s="11"/>
      <c r="N147" s="298"/>
    </row>
    <row r="148" spans="1:14" ht="12.75" hidden="1">
      <c r="A148" s="178">
        <v>2</v>
      </c>
      <c r="B148" s="119"/>
      <c r="C148" s="178"/>
      <c r="D148" s="16"/>
      <c r="E148" s="64"/>
      <c r="F148" s="110"/>
      <c r="G148" s="178"/>
      <c r="H148" s="16"/>
      <c r="I148" s="64"/>
      <c r="J148" s="110"/>
      <c r="L148" s="11"/>
      <c r="M148" s="11"/>
      <c r="N148" s="298"/>
    </row>
    <row r="149" spans="1:14" ht="13.5" hidden="1" thickBot="1">
      <c r="A149" s="178">
        <v>2</v>
      </c>
      <c r="B149" s="119"/>
      <c r="C149" s="178"/>
      <c r="D149" s="16"/>
      <c r="E149" s="64" t="s">
        <v>327</v>
      </c>
      <c r="F149" s="83">
        <v>0</v>
      </c>
      <c r="G149" s="178"/>
      <c r="H149" s="16"/>
      <c r="I149" s="64" t="s">
        <v>327</v>
      </c>
      <c r="J149" s="83">
        <v>0</v>
      </c>
      <c r="L149" s="11"/>
      <c r="M149" s="11"/>
      <c r="N149" s="308"/>
    </row>
    <row r="150" spans="1:14" ht="16.5" hidden="1" thickBot="1">
      <c r="A150" s="178">
        <v>2</v>
      </c>
      <c r="B150" s="119"/>
      <c r="C150" s="178"/>
      <c r="D150" s="65"/>
      <c r="E150" s="66" t="s">
        <v>15</v>
      </c>
      <c r="F150" s="67" t="e">
        <f>SUM(F139:F149)</f>
        <v>#NAME?</v>
      </c>
      <c r="G150" s="178"/>
      <c r="H150" s="65"/>
      <c r="I150" s="66" t="s">
        <v>15</v>
      </c>
      <c r="J150" s="67" t="e">
        <f>SUM(J139:J149)</f>
        <v>#NAME?</v>
      </c>
      <c r="L150" s="11"/>
      <c r="M150" s="48"/>
      <c r="N150" s="306"/>
    </row>
    <row r="151" spans="1:14" ht="12.75" hidden="1">
      <c r="A151" s="178">
        <v>2</v>
      </c>
      <c r="B151" s="119"/>
      <c r="C151" s="178"/>
      <c r="D151" s="16">
        <v>703</v>
      </c>
      <c r="E151" s="68" t="s">
        <v>316</v>
      </c>
      <c r="F151" s="69" t="e">
        <f>(F150-F149)*0.0025</f>
        <v>#NAME?</v>
      </c>
      <c r="G151" s="178"/>
      <c r="H151" s="16">
        <v>703</v>
      </c>
      <c r="I151" s="68" t="s">
        <v>316</v>
      </c>
      <c r="J151" s="69" t="e">
        <f>(J150-J149)*0.0025</f>
        <v>#NAME?</v>
      </c>
      <c r="L151" s="11"/>
      <c r="M151" s="301"/>
      <c r="N151" s="302"/>
    </row>
    <row r="152" spans="1:14" ht="12.75" hidden="1">
      <c r="A152" s="178">
        <v>2</v>
      </c>
      <c r="B152" s="119"/>
      <c r="C152" s="178"/>
      <c r="D152" s="17">
        <v>707</v>
      </c>
      <c r="E152" s="70" t="s">
        <v>17</v>
      </c>
      <c r="F152" s="15" t="e">
        <f>(F150-F149)*0.03</f>
        <v>#NAME?</v>
      </c>
      <c r="G152" s="178"/>
      <c r="H152" s="17">
        <v>707</v>
      </c>
      <c r="I152" s="70" t="s">
        <v>17</v>
      </c>
      <c r="J152" s="15" t="e">
        <f>(J150-J149)*0.03</f>
        <v>#NAME?</v>
      </c>
      <c r="L152" s="11"/>
      <c r="M152" s="295"/>
      <c r="N152" s="302"/>
    </row>
    <row r="153" spans="1:14" ht="12.75" hidden="1">
      <c r="A153" s="178">
        <v>2</v>
      </c>
      <c r="B153" s="119"/>
      <c r="C153" s="178"/>
      <c r="D153" s="17">
        <v>709</v>
      </c>
      <c r="E153" s="70" t="s">
        <v>18</v>
      </c>
      <c r="F153" s="15" t="e">
        <f>(F150-F149)*0.0213</f>
        <v>#NAME?</v>
      </c>
      <c r="G153" s="178"/>
      <c r="H153" s="17">
        <v>709</v>
      </c>
      <c r="I153" s="70" t="s">
        <v>18</v>
      </c>
      <c r="J153" s="15" t="e">
        <f>(J150-J149)*0.0213</f>
        <v>#NAME?</v>
      </c>
      <c r="L153" s="11"/>
      <c r="M153" s="295"/>
      <c r="N153" s="302"/>
    </row>
    <row r="154" spans="1:14" ht="12.75" hidden="1">
      <c r="A154" s="178">
        <v>2</v>
      </c>
      <c r="B154" s="119"/>
      <c r="C154" s="178"/>
      <c r="D154" s="14">
        <v>710</v>
      </c>
      <c r="E154" s="70" t="s">
        <v>19</v>
      </c>
      <c r="F154" s="15" t="e">
        <f>(F150-F149)*0.00754</f>
        <v>#NAME?</v>
      </c>
      <c r="G154" s="178"/>
      <c r="H154" s="14">
        <v>710</v>
      </c>
      <c r="I154" s="70" t="s">
        <v>19</v>
      </c>
      <c r="J154" s="15" t="e">
        <f>(J150-J149)*0.00754</f>
        <v>#NAME?</v>
      </c>
      <c r="L154" s="295"/>
      <c r="M154" s="295"/>
      <c r="N154" s="302"/>
    </row>
    <row r="155" spans="1:14" ht="12.75" hidden="1">
      <c r="A155" s="178">
        <v>2</v>
      </c>
      <c r="B155" s="119"/>
      <c r="C155" s="178"/>
      <c r="D155" s="14">
        <v>713</v>
      </c>
      <c r="E155" s="70" t="s">
        <v>20</v>
      </c>
      <c r="F155" s="15" t="e">
        <f>(F150-F149)*0.007</f>
        <v>#NAME?</v>
      </c>
      <c r="G155" s="178"/>
      <c r="H155" s="14">
        <v>713</v>
      </c>
      <c r="I155" s="70" t="s">
        <v>20</v>
      </c>
      <c r="J155" s="15" t="e">
        <f>(J150-J149)*0.007</f>
        <v>#NAME?</v>
      </c>
      <c r="L155" s="295"/>
      <c r="M155" s="295"/>
      <c r="N155" s="302"/>
    </row>
    <row r="156" spans="1:14" ht="13.5" hidden="1" thickBot="1">
      <c r="A156" s="178">
        <v>2</v>
      </c>
      <c r="B156" s="119"/>
      <c r="C156" s="178"/>
      <c r="D156" s="14"/>
      <c r="E156" s="71" t="s">
        <v>21</v>
      </c>
      <c r="F156" s="39">
        <v>0</v>
      </c>
      <c r="G156" s="178"/>
      <c r="H156" s="14"/>
      <c r="I156" s="71" t="s">
        <v>21</v>
      </c>
      <c r="J156" s="39">
        <v>0</v>
      </c>
      <c r="L156" s="295"/>
      <c r="M156" s="295"/>
      <c r="N156" s="309"/>
    </row>
    <row r="157" spans="1:14" ht="16.5" hidden="1" thickBot="1">
      <c r="A157" s="178">
        <v>2</v>
      </c>
      <c r="B157" s="119"/>
      <c r="C157" s="178"/>
      <c r="D157" s="72"/>
      <c r="E157" s="66" t="s">
        <v>22</v>
      </c>
      <c r="F157" s="67" t="e">
        <f>SUM(F151:F156)</f>
        <v>#NAME?</v>
      </c>
      <c r="G157" s="178"/>
      <c r="H157" s="72"/>
      <c r="I157" s="66" t="s">
        <v>22</v>
      </c>
      <c r="J157" s="67" t="e">
        <f>SUM(J151:J156)</f>
        <v>#NAME?</v>
      </c>
      <c r="L157" s="11"/>
      <c r="M157" s="48"/>
      <c r="N157" s="306"/>
    </row>
    <row r="158" spans="1:14" ht="13.5" hidden="1" thickBot="1">
      <c r="A158" s="178">
        <v>2</v>
      </c>
      <c r="B158" s="119"/>
      <c r="C158" s="178"/>
      <c r="D158" s="73"/>
      <c r="E158" s="74"/>
      <c r="F158" s="75"/>
      <c r="G158" s="178"/>
      <c r="H158" s="73"/>
      <c r="I158" s="74"/>
      <c r="J158" s="75"/>
      <c r="L158" s="48"/>
      <c r="M158" s="11"/>
      <c r="N158" s="310"/>
    </row>
    <row r="159" spans="1:14" ht="16.5" hidden="1" thickBot="1">
      <c r="A159" s="178">
        <v>2</v>
      </c>
      <c r="B159" s="124"/>
      <c r="C159" s="178"/>
      <c r="D159" s="76"/>
      <c r="E159" s="77" t="s">
        <v>23</v>
      </c>
      <c r="F159" s="78" t="e">
        <f>F150-F157</f>
        <v>#NAME?</v>
      </c>
      <c r="G159" s="178"/>
      <c r="H159" s="76"/>
      <c r="I159" s="77" t="s">
        <v>23</v>
      </c>
      <c r="J159" s="78" t="e">
        <f>J150-J157</f>
        <v>#NAME?</v>
      </c>
      <c r="L159" s="170"/>
      <c r="M159" s="305"/>
      <c r="N159" s="311"/>
    </row>
    <row r="160" spans="1:14" s="168" customFormat="1" ht="15.75" hidden="1">
      <c r="A160" s="178">
        <v>2</v>
      </c>
      <c r="B160" s="119"/>
      <c r="C160" s="119"/>
      <c r="D160" s="2"/>
      <c r="E160" s="169"/>
      <c r="F160" s="2"/>
      <c r="G160" s="119"/>
      <c r="H160" s="2"/>
      <c r="I160" s="169"/>
      <c r="J160" s="2"/>
      <c r="L160" s="2"/>
      <c r="M160" s="169"/>
      <c r="N160" s="2"/>
    </row>
    <row r="161" spans="1:16" ht="15.75" hidden="1">
      <c r="A161" s="178">
        <v>2</v>
      </c>
      <c r="B161" s="124"/>
      <c r="C161" s="124"/>
      <c r="D161" s="4"/>
      <c r="E161" s="143"/>
      <c r="F161" s="145"/>
      <c r="G161" s="124"/>
      <c r="H161" s="4"/>
      <c r="I161" s="143"/>
      <c r="J161" s="145"/>
      <c r="K161" s="161"/>
      <c r="L161" s="4"/>
      <c r="M161" s="143"/>
      <c r="N161" s="145"/>
      <c r="O161" s="174"/>
      <c r="P161" s="175"/>
    </row>
    <row r="162" spans="1:17" ht="15.75" hidden="1">
      <c r="A162" s="178"/>
      <c r="B162" s="124"/>
      <c r="C162" s="181"/>
      <c r="D162" s="182"/>
      <c r="E162" s="183"/>
      <c r="F162" s="124"/>
      <c r="G162" s="181"/>
      <c r="H162" s="184"/>
      <c r="I162" s="185"/>
      <c r="J162" s="185"/>
      <c r="K162" s="185"/>
      <c r="L162" s="185"/>
      <c r="M162" s="124"/>
      <c r="N162" s="180"/>
      <c r="O162" s="119"/>
      <c r="P162" s="47"/>
      <c r="Q162" s="47"/>
    </row>
    <row r="163" ht="12.75" hidden="1"/>
    <row r="164" spans="3:16" s="166" customFormat="1" ht="15.75" hidden="1">
      <c r="C164" s="162"/>
      <c r="F164" s="104"/>
      <c r="G164" s="95"/>
      <c r="H164" s="165"/>
      <c r="I164" s="48"/>
      <c r="J164" s="165"/>
      <c r="K164" s="167"/>
      <c r="L164" s="11"/>
      <c r="M164" s="95"/>
      <c r="N164" s="95"/>
      <c r="O164" s="95"/>
      <c r="P164" s="95"/>
    </row>
    <row r="165" s="166" customFormat="1" ht="12.75" hidden="1"/>
    <row r="166" s="166" customFormat="1" ht="12.75" hidden="1"/>
    <row r="167" spans="1:20" ht="16.5" hidden="1" thickBot="1">
      <c r="A167">
        <v>3</v>
      </c>
      <c r="F167" t="s">
        <v>345</v>
      </c>
      <c r="G167" s="10" t="s">
        <v>347</v>
      </c>
      <c r="H167" s="10" t="s">
        <v>348</v>
      </c>
      <c r="I167" s="94" t="s">
        <v>349</v>
      </c>
      <c r="J167" s="94" t="s">
        <v>350</v>
      </c>
      <c r="K167" s="94" t="s">
        <v>351</v>
      </c>
      <c r="L167" s="94" t="s">
        <v>352</v>
      </c>
      <c r="M167" s="94" t="s">
        <v>353</v>
      </c>
      <c r="N167" s="94" t="s">
        <v>354</v>
      </c>
      <c r="O167" s="96" t="s">
        <v>355</v>
      </c>
      <c r="P167" s="96">
        <v>1</v>
      </c>
      <c r="Q167" s="96">
        <v>2</v>
      </c>
      <c r="R167" s="96">
        <v>3</v>
      </c>
      <c r="S167" s="96">
        <v>4</v>
      </c>
      <c r="T167" s="96">
        <v>5</v>
      </c>
    </row>
    <row r="168" spans="1:20" ht="15.75" hidden="1">
      <c r="A168">
        <v>3</v>
      </c>
      <c r="E168" s="87">
        <v>0</v>
      </c>
      <c r="F168" s="262" t="e">
        <f aca="true" t="shared" si="28" ref="F168:F179">IF(puntosproljorvarios3&lt;620,T168,O168)</f>
        <v>#NAME?</v>
      </c>
      <c r="G168" s="258">
        <v>409</v>
      </c>
      <c r="H168" s="258">
        <v>99</v>
      </c>
      <c r="I168" s="258">
        <v>0</v>
      </c>
      <c r="J168" s="258">
        <v>0</v>
      </c>
      <c r="K168" s="258">
        <v>0</v>
      </c>
      <c r="L168" s="258">
        <v>0</v>
      </c>
      <c r="M168" s="258">
        <v>99</v>
      </c>
      <c r="N168" s="258">
        <v>99</v>
      </c>
      <c r="O168" s="97">
        <f aca="true" t="shared" si="29" ref="O168:O179">IF(punbasjubvarios3&gt;971,N168,M168)</f>
        <v>99</v>
      </c>
      <c r="P168" s="97">
        <f aca="true" t="shared" si="30" ref="P168:P179">IF(punbasjubvarios3&lt;972,G168,H168)</f>
        <v>99</v>
      </c>
      <c r="Q168" s="97">
        <f aca="true" t="shared" si="31" ref="Q168:Q179">IF(punbasjubvarios3&lt;1170,P168,I168)</f>
        <v>0</v>
      </c>
      <c r="R168" s="97">
        <f aca="true" t="shared" si="32" ref="R168:R179">IF(punbasjubvarios3&lt;1401,Q168,J168)</f>
        <v>0</v>
      </c>
      <c r="S168" s="97">
        <f aca="true" t="shared" si="33" ref="S168:S178">IF(punbasjubvarios3&lt;1943,R168,K168)</f>
        <v>0</v>
      </c>
      <c r="T168" s="97">
        <f aca="true" t="shared" si="34" ref="T168:T179">IF(punbasjubvarios3&lt;=2220,S168,L168)</f>
        <v>0</v>
      </c>
    </row>
    <row r="169" spans="1:20" ht="15.75" hidden="1">
      <c r="A169">
        <v>3</v>
      </c>
      <c r="E169" s="88">
        <v>0.1</v>
      </c>
      <c r="F169" s="262" t="e">
        <f t="shared" si="28"/>
        <v>#NAME?</v>
      </c>
      <c r="G169" s="258">
        <v>581</v>
      </c>
      <c r="H169" s="258">
        <v>112</v>
      </c>
      <c r="I169" s="258">
        <v>0</v>
      </c>
      <c r="J169" s="258">
        <v>0</v>
      </c>
      <c r="K169" s="258">
        <v>0</v>
      </c>
      <c r="L169" s="258">
        <v>0</v>
      </c>
      <c r="M169" s="258">
        <v>112</v>
      </c>
      <c r="N169" s="258">
        <v>112</v>
      </c>
      <c r="O169" s="97">
        <f t="shared" si="29"/>
        <v>112</v>
      </c>
      <c r="P169" s="97">
        <f t="shared" si="30"/>
        <v>112</v>
      </c>
      <c r="Q169" s="97">
        <f t="shared" si="31"/>
        <v>0</v>
      </c>
      <c r="R169" s="97">
        <f t="shared" si="32"/>
        <v>0</v>
      </c>
      <c r="S169" s="97">
        <f t="shared" si="33"/>
        <v>0</v>
      </c>
      <c r="T169" s="97">
        <f t="shared" si="34"/>
        <v>0</v>
      </c>
    </row>
    <row r="170" spans="1:20" ht="15.75" hidden="1">
      <c r="A170">
        <v>3</v>
      </c>
      <c r="E170" s="89">
        <v>0.15</v>
      </c>
      <c r="F170" s="262" t="e">
        <f t="shared" si="28"/>
        <v>#NAME?</v>
      </c>
      <c r="G170" s="258">
        <v>705</v>
      </c>
      <c r="H170" s="258">
        <v>224</v>
      </c>
      <c r="I170" s="258">
        <v>298</v>
      </c>
      <c r="J170" s="258">
        <v>240</v>
      </c>
      <c r="K170" s="258">
        <v>224</v>
      </c>
      <c r="L170" s="258">
        <v>0</v>
      </c>
      <c r="M170" s="258">
        <v>273</v>
      </c>
      <c r="N170" s="258">
        <v>273</v>
      </c>
      <c r="O170" s="97">
        <f t="shared" si="29"/>
        <v>273</v>
      </c>
      <c r="P170" s="97">
        <f t="shared" si="30"/>
        <v>224</v>
      </c>
      <c r="Q170" s="97">
        <f t="shared" si="31"/>
        <v>298</v>
      </c>
      <c r="R170" s="97">
        <f t="shared" si="32"/>
        <v>298</v>
      </c>
      <c r="S170" s="97">
        <f t="shared" si="33"/>
        <v>298</v>
      </c>
      <c r="T170" s="97">
        <f t="shared" si="34"/>
        <v>298</v>
      </c>
    </row>
    <row r="171" spans="1:20" ht="15.75" hidden="1">
      <c r="A171">
        <v>3</v>
      </c>
      <c r="E171" s="89">
        <v>0.3</v>
      </c>
      <c r="F171" s="262" t="e">
        <f t="shared" si="28"/>
        <v>#NAME?</v>
      </c>
      <c r="G171" s="258">
        <v>733</v>
      </c>
      <c r="H171" s="258">
        <v>242</v>
      </c>
      <c r="I171" s="258">
        <v>298</v>
      </c>
      <c r="J171" s="258">
        <v>240</v>
      </c>
      <c r="K171" s="258">
        <v>224</v>
      </c>
      <c r="L171" s="258">
        <v>0</v>
      </c>
      <c r="M171" s="258">
        <v>472</v>
      </c>
      <c r="N171" s="258">
        <v>435</v>
      </c>
      <c r="O171" s="97">
        <f t="shared" si="29"/>
        <v>435</v>
      </c>
      <c r="P171" s="97">
        <f t="shared" si="30"/>
        <v>242</v>
      </c>
      <c r="Q171" s="97">
        <f t="shared" si="31"/>
        <v>298</v>
      </c>
      <c r="R171" s="97">
        <f t="shared" si="32"/>
        <v>298</v>
      </c>
      <c r="S171" s="97">
        <f t="shared" si="33"/>
        <v>298</v>
      </c>
      <c r="T171" s="97">
        <f t="shared" si="34"/>
        <v>298</v>
      </c>
    </row>
    <row r="172" spans="1:20" ht="15.75" hidden="1">
      <c r="A172">
        <v>3</v>
      </c>
      <c r="E172" s="89">
        <v>0.4</v>
      </c>
      <c r="F172" s="262" t="e">
        <f t="shared" si="28"/>
        <v>#NAME?</v>
      </c>
      <c r="G172" s="258">
        <v>796</v>
      </c>
      <c r="H172" s="258">
        <v>261</v>
      </c>
      <c r="I172" s="258">
        <v>311</v>
      </c>
      <c r="J172" s="258">
        <v>248</v>
      </c>
      <c r="K172" s="258">
        <v>224</v>
      </c>
      <c r="L172" s="258">
        <v>174</v>
      </c>
      <c r="M172" s="258">
        <v>546</v>
      </c>
      <c r="N172" s="258">
        <v>497</v>
      </c>
      <c r="O172" s="97">
        <f t="shared" si="29"/>
        <v>497</v>
      </c>
      <c r="P172" s="97">
        <f t="shared" si="30"/>
        <v>261</v>
      </c>
      <c r="Q172" s="97">
        <f t="shared" si="31"/>
        <v>311</v>
      </c>
      <c r="R172" s="97">
        <f t="shared" si="32"/>
        <v>311</v>
      </c>
      <c r="S172" s="97">
        <f t="shared" si="33"/>
        <v>311</v>
      </c>
      <c r="T172" s="97">
        <f t="shared" si="34"/>
        <v>311</v>
      </c>
    </row>
    <row r="173" spans="1:20" ht="15.75" hidden="1">
      <c r="A173">
        <v>3</v>
      </c>
      <c r="E173" s="89">
        <v>0.5</v>
      </c>
      <c r="F173" s="262" t="e">
        <f t="shared" si="28"/>
        <v>#NAME?</v>
      </c>
      <c r="G173" s="258">
        <v>575</v>
      </c>
      <c r="H173" s="258">
        <v>286</v>
      </c>
      <c r="I173" s="258">
        <v>311</v>
      </c>
      <c r="J173" s="258">
        <v>248</v>
      </c>
      <c r="K173" s="258">
        <v>224</v>
      </c>
      <c r="L173" s="258">
        <v>174</v>
      </c>
      <c r="M173" s="258">
        <v>590</v>
      </c>
      <c r="N173" s="258">
        <v>540</v>
      </c>
      <c r="O173" s="97">
        <f t="shared" si="29"/>
        <v>540</v>
      </c>
      <c r="P173" s="97">
        <f t="shared" si="30"/>
        <v>286</v>
      </c>
      <c r="Q173" s="97">
        <f t="shared" si="31"/>
        <v>311</v>
      </c>
      <c r="R173" s="97">
        <f t="shared" si="32"/>
        <v>311</v>
      </c>
      <c r="S173" s="97">
        <f t="shared" si="33"/>
        <v>311</v>
      </c>
      <c r="T173" s="97">
        <f t="shared" si="34"/>
        <v>311</v>
      </c>
    </row>
    <row r="174" spans="1:20" ht="15.75" hidden="1">
      <c r="A174">
        <v>3</v>
      </c>
      <c r="E174" s="89">
        <v>0.6</v>
      </c>
      <c r="F174" s="262" t="e">
        <f t="shared" si="28"/>
        <v>#NAME?</v>
      </c>
      <c r="G174" s="258">
        <v>578</v>
      </c>
      <c r="H174" s="258">
        <v>323</v>
      </c>
      <c r="I174" s="258">
        <v>323</v>
      </c>
      <c r="J174" s="258">
        <v>252</v>
      </c>
      <c r="K174" s="258">
        <v>236</v>
      </c>
      <c r="L174" s="258">
        <v>199</v>
      </c>
      <c r="M174" s="258">
        <v>633</v>
      </c>
      <c r="N174" s="258">
        <v>559</v>
      </c>
      <c r="O174" s="97">
        <f t="shared" si="29"/>
        <v>559</v>
      </c>
      <c r="P174" s="97">
        <f t="shared" si="30"/>
        <v>323</v>
      </c>
      <c r="Q174" s="97">
        <f t="shared" si="31"/>
        <v>323</v>
      </c>
      <c r="R174" s="97">
        <f t="shared" si="32"/>
        <v>323</v>
      </c>
      <c r="S174" s="97">
        <f t="shared" si="33"/>
        <v>323</v>
      </c>
      <c r="T174" s="97">
        <f t="shared" si="34"/>
        <v>323</v>
      </c>
    </row>
    <row r="175" spans="1:20" ht="15.75" hidden="1">
      <c r="A175">
        <v>3</v>
      </c>
      <c r="E175" s="89">
        <v>0.7</v>
      </c>
      <c r="F175" s="262" t="e">
        <f t="shared" si="28"/>
        <v>#NAME?</v>
      </c>
      <c r="G175" s="258">
        <v>553</v>
      </c>
      <c r="H175" s="258">
        <v>354</v>
      </c>
      <c r="I175" s="258">
        <v>453</v>
      </c>
      <c r="J175" s="258">
        <v>286</v>
      </c>
      <c r="K175" s="258">
        <v>236</v>
      </c>
      <c r="L175" s="258">
        <v>199</v>
      </c>
      <c r="M175" s="258">
        <v>652</v>
      </c>
      <c r="N175" s="258">
        <v>578</v>
      </c>
      <c r="O175" s="97">
        <f t="shared" si="29"/>
        <v>578</v>
      </c>
      <c r="P175" s="97">
        <f t="shared" si="30"/>
        <v>354</v>
      </c>
      <c r="Q175" s="97">
        <f t="shared" si="31"/>
        <v>453</v>
      </c>
      <c r="R175" s="97">
        <f t="shared" si="32"/>
        <v>453</v>
      </c>
      <c r="S175" s="97">
        <f t="shared" si="33"/>
        <v>453</v>
      </c>
      <c r="T175" s="97">
        <f t="shared" si="34"/>
        <v>453</v>
      </c>
    </row>
    <row r="176" spans="1:20" ht="15.75" hidden="1">
      <c r="A176">
        <v>3</v>
      </c>
      <c r="E176" s="89">
        <v>0.8</v>
      </c>
      <c r="F176" s="262" t="e">
        <f t="shared" si="28"/>
        <v>#NAME?</v>
      </c>
      <c r="G176" s="258">
        <v>664</v>
      </c>
      <c r="H176" s="258">
        <v>428</v>
      </c>
      <c r="I176" s="258">
        <v>491</v>
      </c>
      <c r="J176" s="258">
        <v>422</v>
      </c>
      <c r="K176" s="258">
        <v>348</v>
      </c>
      <c r="L176" s="258">
        <v>224</v>
      </c>
      <c r="M176" s="258">
        <v>689</v>
      </c>
      <c r="N176" s="258">
        <v>590</v>
      </c>
      <c r="O176" s="97">
        <f t="shared" si="29"/>
        <v>590</v>
      </c>
      <c r="P176" s="97">
        <f t="shared" si="30"/>
        <v>428</v>
      </c>
      <c r="Q176" s="97">
        <f t="shared" si="31"/>
        <v>491</v>
      </c>
      <c r="R176" s="97">
        <f t="shared" si="32"/>
        <v>491</v>
      </c>
      <c r="S176" s="97">
        <f t="shared" si="33"/>
        <v>491</v>
      </c>
      <c r="T176" s="97">
        <f t="shared" si="34"/>
        <v>491</v>
      </c>
    </row>
    <row r="177" spans="1:20" ht="15.75" hidden="1">
      <c r="A177">
        <v>3</v>
      </c>
      <c r="E177" s="89">
        <v>1</v>
      </c>
      <c r="F177" s="262" t="e">
        <f t="shared" si="28"/>
        <v>#NAME?</v>
      </c>
      <c r="G177" s="258">
        <v>826</v>
      </c>
      <c r="H177" s="258">
        <v>540</v>
      </c>
      <c r="I177" s="258">
        <v>509</v>
      </c>
      <c r="J177" s="258">
        <v>410</v>
      </c>
      <c r="K177" s="258">
        <v>385</v>
      </c>
      <c r="L177" s="258">
        <v>224</v>
      </c>
      <c r="M177" s="258">
        <v>733</v>
      </c>
      <c r="N177" s="258">
        <v>609</v>
      </c>
      <c r="O177" s="97">
        <f t="shared" si="29"/>
        <v>609</v>
      </c>
      <c r="P177" s="97">
        <f t="shared" si="30"/>
        <v>540</v>
      </c>
      <c r="Q177" s="97">
        <f t="shared" si="31"/>
        <v>509</v>
      </c>
      <c r="R177" s="97">
        <f t="shared" si="32"/>
        <v>509</v>
      </c>
      <c r="S177" s="97">
        <f t="shared" si="33"/>
        <v>509</v>
      </c>
      <c r="T177" s="97">
        <f t="shared" si="34"/>
        <v>509</v>
      </c>
    </row>
    <row r="178" spans="1:20" ht="15.75" hidden="1">
      <c r="A178">
        <v>3</v>
      </c>
      <c r="E178" s="89">
        <v>1.1</v>
      </c>
      <c r="F178" s="262" t="e">
        <f t="shared" si="28"/>
        <v>#NAME?</v>
      </c>
      <c r="G178" s="258">
        <v>925</v>
      </c>
      <c r="H178" s="258">
        <v>615</v>
      </c>
      <c r="I178" s="258">
        <v>534</v>
      </c>
      <c r="J178" s="258">
        <v>410</v>
      </c>
      <c r="K178" s="258">
        <v>397</v>
      </c>
      <c r="L178" s="258">
        <v>236</v>
      </c>
      <c r="M178" s="258">
        <v>764</v>
      </c>
      <c r="N178" s="258">
        <v>627</v>
      </c>
      <c r="O178" s="97">
        <f t="shared" si="29"/>
        <v>627</v>
      </c>
      <c r="P178" s="97">
        <f t="shared" si="30"/>
        <v>615</v>
      </c>
      <c r="Q178" s="97">
        <f t="shared" si="31"/>
        <v>534</v>
      </c>
      <c r="R178" s="97">
        <f t="shared" si="32"/>
        <v>534</v>
      </c>
      <c r="S178" s="97">
        <f t="shared" si="33"/>
        <v>534</v>
      </c>
      <c r="T178" s="97">
        <f t="shared" si="34"/>
        <v>534</v>
      </c>
    </row>
    <row r="179" spans="1:20" ht="16.5" hidden="1" thickBot="1">
      <c r="A179">
        <v>3</v>
      </c>
      <c r="E179" s="90">
        <v>1.2</v>
      </c>
      <c r="F179" s="262" t="e">
        <f t="shared" si="28"/>
        <v>#NAME?</v>
      </c>
      <c r="G179" s="258">
        <v>956</v>
      </c>
      <c r="H179" s="258">
        <v>633</v>
      </c>
      <c r="I179" s="258">
        <v>596</v>
      </c>
      <c r="J179" s="258">
        <v>416</v>
      </c>
      <c r="K179" s="258">
        <v>410</v>
      </c>
      <c r="L179" s="258">
        <v>236</v>
      </c>
      <c r="M179" s="258">
        <v>770</v>
      </c>
      <c r="N179" s="258">
        <v>633</v>
      </c>
      <c r="O179" s="97">
        <f t="shared" si="29"/>
        <v>633</v>
      </c>
      <c r="P179" s="97">
        <f t="shared" si="30"/>
        <v>633</v>
      </c>
      <c r="Q179" s="97">
        <f t="shared" si="31"/>
        <v>596</v>
      </c>
      <c r="R179" s="97">
        <f t="shared" si="32"/>
        <v>596</v>
      </c>
      <c r="S179" s="97">
        <f>IF(punbasjubvarios1&lt;1943,R179,K179)</f>
        <v>596</v>
      </c>
      <c r="T179" s="97">
        <f t="shared" si="34"/>
        <v>596</v>
      </c>
    </row>
    <row r="180" spans="1:20" s="161" customFormat="1" ht="15.75" hidden="1">
      <c r="A180">
        <v>3</v>
      </c>
      <c r="E180" s="162"/>
      <c r="F180" s="104"/>
      <c r="G180" s="104"/>
      <c r="H180" s="163"/>
      <c r="I180" s="164"/>
      <c r="J180" s="164"/>
      <c r="K180" s="104"/>
      <c r="L180" s="11"/>
      <c r="M180" s="95"/>
      <c r="N180" s="95"/>
      <c r="O180" s="95"/>
      <c r="P180" s="95"/>
      <c r="Q180" s="95"/>
      <c r="R180" s="95"/>
      <c r="S180" s="95"/>
      <c r="T180" s="95"/>
    </row>
    <row r="181" spans="1:20" s="161" customFormat="1" ht="15.75" hidden="1">
      <c r="A181">
        <v>3</v>
      </c>
      <c r="E181" s="162"/>
      <c r="F181" s="104" t="s">
        <v>379</v>
      </c>
      <c r="G181" s="104" t="e">
        <f>LOOKUP(F213,porantvar3,cod06cargosvar3feb11)</f>
        <v>#NAME?</v>
      </c>
      <c r="H181" s="163"/>
      <c r="I181" s="164"/>
      <c r="J181" s="164"/>
      <c r="K181" s="104"/>
      <c r="L181" s="11"/>
      <c r="M181" s="95"/>
      <c r="N181" s="95"/>
      <c r="O181" s="95"/>
      <c r="P181" s="95"/>
      <c r="Q181" s="95"/>
      <c r="R181" s="95"/>
      <c r="S181" s="95"/>
      <c r="T181" s="95"/>
    </row>
    <row r="182" spans="1:20" s="161" customFormat="1" ht="15.75" hidden="1">
      <c r="A182"/>
      <c r="E182" s="162"/>
      <c r="F182" s="104"/>
      <c r="G182" s="104"/>
      <c r="H182" s="163"/>
      <c r="I182" s="164"/>
      <c r="J182" s="164"/>
      <c r="K182" s="104"/>
      <c r="L182" s="11"/>
      <c r="M182" s="95"/>
      <c r="N182" s="95"/>
      <c r="O182" s="95"/>
      <c r="P182" s="95"/>
      <c r="Q182" s="95"/>
      <c r="R182" s="95"/>
      <c r="S182" s="95"/>
      <c r="T182" s="95"/>
    </row>
    <row r="183" spans="1:20" ht="16.5" hidden="1" thickBot="1">
      <c r="A183">
        <v>3</v>
      </c>
      <c r="F183" t="s">
        <v>345</v>
      </c>
      <c r="G183" s="10" t="s">
        <v>347</v>
      </c>
      <c r="H183" s="10" t="s">
        <v>348</v>
      </c>
      <c r="I183" s="94" t="s">
        <v>349</v>
      </c>
      <c r="J183" s="94" t="s">
        <v>350</v>
      </c>
      <c r="K183" s="94" t="s">
        <v>351</v>
      </c>
      <c r="L183" s="94" t="s">
        <v>352</v>
      </c>
      <c r="M183" s="94" t="s">
        <v>353</v>
      </c>
      <c r="N183" s="94" t="s">
        <v>354</v>
      </c>
      <c r="O183" s="96" t="s">
        <v>355</v>
      </c>
      <c r="P183" s="96">
        <v>1</v>
      </c>
      <c r="Q183" s="96">
        <v>2</v>
      </c>
      <c r="R183" s="96">
        <v>3</v>
      </c>
      <c r="S183" s="96">
        <v>4</v>
      </c>
      <c r="T183" s="96">
        <v>5</v>
      </c>
    </row>
    <row r="184" spans="1:20" ht="15.75" hidden="1">
      <c r="A184">
        <v>3</v>
      </c>
      <c r="E184" s="87">
        <v>0</v>
      </c>
      <c r="F184" s="262" t="e">
        <f aca="true" t="shared" si="35" ref="F184:F195">IF(puntosproljorvarios3&lt;620,T184,O184)</f>
        <v>#NAME?</v>
      </c>
      <c r="G184" s="10">
        <v>499</v>
      </c>
      <c r="H184" s="10">
        <v>121</v>
      </c>
      <c r="I184" s="10">
        <v>0</v>
      </c>
      <c r="J184" s="10">
        <v>0</v>
      </c>
      <c r="K184" s="10">
        <v>0</v>
      </c>
      <c r="L184" s="10">
        <v>0</v>
      </c>
      <c r="M184" s="10">
        <v>121</v>
      </c>
      <c r="N184" s="10">
        <v>121</v>
      </c>
      <c r="O184" s="97">
        <f aca="true" t="shared" si="36" ref="O184:O195">IF(punbasjubvarios3&gt;971,N184,M184)</f>
        <v>121</v>
      </c>
      <c r="P184" s="97">
        <f aca="true" t="shared" si="37" ref="P184:P195">IF(punbasjubvarios3&lt;972,G184,H184)</f>
        <v>121</v>
      </c>
      <c r="Q184" s="97">
        <f aca="true" t="shared" si="38" ref="Q184:Q195">IF(punbasjubvarios3&lt;1170,P184,I184)</f>
        <v>0</v>
      </c>
      <c r="R184" s="97">
        <f aca="true" t="shared" si="39" ref="R184:R195">IF(punbasjubvarios3&lt;1401,Q184,J184)</f>
        <v>0</v>
      </c>
      <c r="S184" s="97">
        <f aca="true" t="shared" si="40" ref="S184:S194">IF(punbasjubvarios3&lt;1943,R184,K184)</f>
        <v>0</v>
      </c>
      <c r="T184" s="97">
        <f aca="true" t="shared" si="41" ref="T184:T195">IF(punbasjubvarios3&lt;=2220,S184,L184)</f>
        <v>0</v>
      </c>
    </row>
    <row r="185" spans="1:20" ht="15.75" hidden="1">
      <c r="A185">
        <v>3</v>
      </c>
      <c r="E185" s="88">
        <v>0.1</v>
      </c>
      <c r="F185" s="262" t="e">
        <f t="shared" si="35"/>
        <v>#NAME?</v>
      </c>
      <c r="G185" s="10">
        <v>709</v>
      </c>
      <c r="H185" s="10">
        <v>137</v>
      </c>
      <c r="I185" s="10">
        <v>0</v>
      </c>
      <c r="J185" s="10">
        <v>0</v>
      </c>
      <c r="K185" s="10">
        <v>0</v>
      </c>
      <c r="L185" s="10">
        <v>0</v>
      </c>
      <c r="M185" s="10">
        <v>137</v>
      </c>
      <c r="N185" s="10">
        <v>137</v>
      </c>
      <c r="O185" s="97">
        <f t="shared" si="36"/>
        <v>137</v>
      </c>
      <c r="P185" s="97">
        <f t="shared" si="37"/>
        <v>137</v>
      </c>
      <c r="Q185" s="97">
        <f t="shared" si="38"/>
        <v>0</v>
      </c>
      <c r="R185" s="97">
        <f t="shared" si="39"/>
        <v>0</v>
      </c>
      <c r="S185" s="97">
        <f t="shared" si="40"/>
        <v>0</v>
      </c>
      <c r="T185" s="97">
        <f t="shared" si="41"/>
        <v>0</v>
      </c>
    </row>
    <row r="186" spans="1:20" ht="15.75" hidden="1">
      <c r="A186">
        <v>3</v>
      </c>
      <c r="E186" s="89">
        <v>0.15</v>
      </c>
      <c r="F186" s="262" t="e">
        <f t="shared" si="35"/>
        <v>#NAME?</v>
      </c>
      <c r="G186" s="10">
        <v>860</v>
      </c>
      <c r="H186" s="10">
        <v>273</v>
      </c>
      <c r="I186" s="10">
        <v>364</v>
      </c>
      <c r="J186" s="10">
        <v>293</v>
      </c>
      <c r="K186" s="10">
        <v>273</v>
      </c>
      <c r="L186" s="10">
        <v>0</v>
      </c>
      <c r="M186" s="10">
        <v>333</v>
      </c>
      <c r="N186" s="10">
        <v>333</v>
      </c>
      <c r="O186" s="97">
        <f t="shared" si="36"/>
        <v>333</v>
      </c>
      <c r="P186" s="97">
        <f t="shared" si="37"/>
        <v>273</v>
      </c>
      <c r="Q186" s="97">
        <f t="shared" si="38"/>
        <v>364</v>
      </c>
      <c r="R186" s="97">
        <f t="shared" si="39"/>
        <v>364</v>
      </c>
      <c r="S186" s="97">
        <f t="shared" si="40"/>
        <v>364</v>
      </c>
      <c r="T186" s="97">
        <f t="shared" si="41"/>
        <v>364</v>
      </c>
    </row>
    <row r="187" spans="1:20" ht="15.75" hidden="1">
      <c r="A187">
        <v>3</v>
      </c>
      <c r="E187" s="89">
        <v>0.3</v>
      </c>
      <c r="F187" s="262" t="e">
        <f t="shared" si="35"/>
        <v>#NAME?</v>
      </c>
      <c r="G187" s="10">
        <v>894</v>
      </c>
      <c r="H187" s="10">
        <v>295</v>
      </c>
      <c r="I187" s="10">
        <v>364</v>
      </c>
      <c r="J187" s="10">
        <v>293</v>
      </c>
      <c r="K187" s="10">
        <v>273</v>
      </c>
      <c r="L187" s="10">
        <v>0</v>
      </c>
      <c r="M187" s="10">
        <v>576</v>
      </c>
      <c r="N187" s="10">
        <v>531</v>
      </c>
      <c r="O187" s="97">
        <f t="shared" si="36"/>
        <v>531</v>
      </c>
      <c r="P187" s="97">
        <f t="shared" si="37"/>
        <v>295</v>
      </c>
      <c r="Q187" s="97">
        <f t="shared" si="38"/>
        <v>364</v>
      </c>
      <c r="R187" s="97">
        <f t="shared" si="39"/>
        <v>364</v>
      </c>
      <c r="S187" s="97">
        <f t="shared" si="40"/>
        <v>364</v>
      </c>
      <c r="T187" s="97">
        <f t="shared" si="41"/>
        <v>364</v>
      </c>
    </row>
    <row r="188" spans="1:20" ht="15.75" hidden="1">
      <c r="A188">
        <v>3</v>
      </c>
      <c r="E188" s="89">
        <v>0.4</v>
      </c>
      <c r="F188" s="262" t="e">
        <f t="shared" si="35"/>
        <v>#NAME?</v>
      </c>
      <c r="G188" s="10">
        <v>806</v>
      </c>
      <c r="H188" s="10">
        <v>318</v>
      </c>
      <c r="I188" s="10">
        <v>379</v>
      </c>
      <c r="J188" s="10">
        <v>303</v>
      </c>
      <c r="K188" s="10">
        <v>273</v>
      </c>
      <c r="L188" s="10">
        <v>212</v>
      </c>
      <c r="M188" s="10">
        <v>666</v>
      </c>
      <c r="N188" s="10">
        <v>606</v>
      </c>
      <c r="O188" s="97">
        <f t="shared" si="36"/>
        <v>606</v>
      </c>
      <c r="P188" s="97">
        <f t="shared" si="37"/>
        <v>318</v>
      </c>
      <c r="Q188" s="97">
        <f t="shared" si="38"/>
        <v>379</v>
      </c>
      <c r="R188" s="97">
        <f t="shared" si="39"/>
        <v>379</v>
      </c>
      <c r="S188" s="97">
        <f t="shared" si="40"/>
        <v>379</v>
      </c>
      <c r="T188" s="97">
        <f t="shared" si="41"/>
        <v>379</v>
      </c>
    </row>
    <row r="189" spans="1:20" ht="15.75" hidden="1">
      <c r="A189">
        <v>3</v>
      </c>
      <c r="E189" s="89">
        <v>0.5</v>
      </c>
      <c r="F189" s="262" t="e">
        <f t="shared" si="35"/>
        <v>#NAME?</v>
      </c>
      <c r="G189" s="10">
        <v>702</v>
      </c>
      <c r="H189" s="10">
        <v>349</v>
      </c>
      <c r="I189" s="10">
        <v>379</v>
      </c>
      <c r="J189" s="10">
        <v>303</v>
      </c>
      <c r="K189" s="10">
        <v>273</v>
      </c>
      <c r="L189" s="10">
        <v>212</v>
      </c>
      <c r="M189" s="10">
        <v>720</v>
      </c>
      <c r="N189" s="10">
        <v>659</v>
      </c>
      <c r="O189" s="97">
        <f t="shared" si="36"/>
        <v>659</v>
      </c>
      <c r="P189" s="97">
        <f t="shared" si="37"/>
        <v>349</v>
      </c>
      <c r="Q189" s="97">
        <f t="shared" si="38"/>
        <v>379</v>
      </c>
      <c r="R189" s="97">
        <f t="shared" si="39"/>
        <v>379</v>
      </c>
      <c r="S189" s="97">
        <f t="shared" si="40"/>
        <v>379</v>
      </c>
      <c r="T189" s="97">
        <f t="shared" si="41"/>
        <v>379</v>
      </c>
    </row>
    <row r="190" spans="1:20" ht="15.75" hidden="1">
      <c r="A190">
        <v>3</v>
      </c>
      <c r="E190" s="89">
        <v>0.6</v>
      </c>
      <c r="F190" s="262" t="e">
        <f t="shared" si="35"/>
        <v>#NAME?</v>
      </c>
      <c r="G190" s="10">
        <v>705</v>
      </c>
      <c r="H190" s="10">
        <v>394</v>
      </c>
      <c r="I190" s="10">
        <v>394</v>
      </c>
      <c r="J190" s="10">
        <v>307</v>
      </c>
      <c r="K190" s="10">
        <v>288</v>
      </c>
      <c r="L190" s="10">
        <v>243</v>
      </c>
      <c r="M190" s="10">
        <v>772</v>
      </c>
      <c r="N190" s="10">
        <v>682</v>
      </c>
      <c r="O190" s="97">
        <f t="shared" si="36"/>
        <v>682</v>
      </c>
      <c r="P190" s="97">
        <f t="shared" si="37"/>
        <v>394</v>
      </c>
      <c r="Q190" s="97">
        <f t="shared" si="38"/>
        <v>394</v>
      </c>
      <c r="R190" s="97">
        <f t="shared" si="39"/>
        <v>394</v>
      </c>
      <c r="S190" s="97">
        <f t="shared" si="40"/>
        <v>394</v>
      </c>
      <c r="T190" s="97">
        <f t="shared" si="41"/>
        <v>394</v>
      </c>
    </row>
    <row r="191" spans="1:20" ht="15.75" hidden="1">
      <c r="A191">
        <v>3</v>
      </c>
      <c r="E191" s="89">
        <v>0.7</v>
      </c>
      <c r="F191" s="262" t="e">
        <f t="shared" si="35"/>
        <v>#NAME?</v>
      </c>
      <c r="G191" s="10">
        <v>675</v>
      </c>
      <c r="H191" s="10">
        <v>432</v>
      </c>
      <c r="I191" s="10">
        <v>553</v>
      </c>
      <c r="J191" s="10">
        <v>349</v>
      </c>
      <c r="K191" s="10">
        <v>288</v>
      </c>
      <c r="L191" s="10">
        <v>243</v>
      </c>
      <c r="M191" s="10">
        <v>795</v>
      </c>
      <c r="N191" s="10">
        <v>705</v>
      </c>
      <c r="O191" s="97">
        <f t="shared" si="36"/>
        <v>705</v>
      </c>
      <c r="P191" s="97">
        <f t="shared" si="37"/>
        <v>432</v>
      </c>
      <c r="Q191" s="97">
        <f t="shared" si="38"/>
        <v>553</v>
      </c>
      <c r="R191" s="97">
        <f t="shared" si="39"/>
        <v>553</v>
      </c>
      <c r="S191" s="97">
        <f t="shared" si="40"/>
        <v>553</v>
      </c>
      <c r="T191" s="97">
        <f t="shared" si="41"/>
        <v>553</v>
      </c>
    </row>
    <row r="192" spans="1:20" ht="15.75" hidden="1">
      <c r="A192">
        <v>3</v>
      </c>
      <c r="E192" s="89">
        <v>0.8</v>
      </c>
      <c r="F192" s="262" t="e">
        <f t="shared" si="35"/>
        <v>#NAME?</v>
      </c>
      <c r="G192" s="10">
        <v>810</v>
      </c>
      <c r="H192" s="10">
        <v>522</v>
      </c>
      <c r="I192" s="10">
        <v>599</v>
      </c>
      <c r="J192" s="10">
        <v>515</v>
      </c>
      <c r="K192" s="10">
        <v>425</v>
      </c>
      <c r="L192" s="10">
        <v>273</v>
      </c>
      <c r="M192" s="10">
        <v>841</v>
      </c>
      <c r="N192" s="10">
        <v>720</v>
      </c>
      <c r="O192" s="97">
        <f t="shared" si="36"/>
        <v>720</v>
      </c>
      <c r="P192" s="97">
        <f t="shared" si="37"/>
        <v>522</v>
      </c>
      <c r="Q192" s="97">
        <f t="shared" si="38"/>
        <v>599</v>
      </c>
      <c r="R192" s="97">
        <f t="shared" si="39"/>
        <v>599</v>
      </c>
      <c r="S192" s="97">
        <f t="shared" si="40"/>
        <v>599</v>
      </c>
      <c r="T192" s="97">
        <f t="shared" si="41"/>
        <v>599</v>
      </c>
    </row>
    <row r="193" spans="1:20" ht="15.75" hidden="1">
      <c r="A193">
        <v>3</v>
      </c>
      <c r="E193" s="89">
        <v>1</v>
      </c>
      <c r="F193" s="262" t="e">
        <f t="shared" si="35"/>
        <v>#NAME?</v>
      </c>
      <c r="G193" s="10">
        <v>1008</v>
      </c>
      <c r="H193" s="10">
        <v>659</v>
      </c>
      <c r="I193" s="10">
        <v>621</v>
      </c>
      <c r="J193" s="10">
        <v>500</v>
      </c>
      <c r="K193" s="10">
        <v>470</v>
      </c>
      <c r="L193" s="10">
        <v>273</v>
      </c>
      <c r="M193" s="10">
        <v>894</v>
      </c>
      <c r="N193" s="10">
        <v>743</v>
      </c>
      <c r="O193" s="97">
        <f t="shared" si="36"/>
        <v>743</v>
      </c>
      <c r="P193" s="97">
        <f t="shared" si="37"/>
        <v>659</v>
      </c>
      <c r="Q193" s="97">
        <f t="shared" si="38"/>
        <v>621</v>
      </c>
      <c r="R193" s="97">
        <f t="shared" si="39"/>
        <v>621</v>
      </c>
      <c r="S193" s="97">
        <f t="shared" si="40"/>
        <v>621</v>
      </c>
      <c r="T193" s="97">
        <f t="shared" si="41"/>
        <v>621</v>
      </c>
    </row>
    <row r="194" spans="1:20" ht="15.75" hidden="1">
      <c r="A194">
        <v>3</v>
      </c>
      <c r="E194" s="89">
        <v>1.1</v>
      </c>
      <c r="F194" s="262" t="e">
        <f t="shared" si="35"/>
        <v>#NAME?</v>
      </c>
      <c r="G194" s="285">
        <v>1129</v>
      </c>
      <c r="H194" s="286">
        <v>750</v>
      </c>
      <c r="I194" s="10">
        <v>651</v>
      </c>
      <c r="J194" s="10">
        <v>500</v>
      </c>
      <c r="K194" s="10">
        <v>484</v>
      </c>
      <c r="L194" s="10">
        <v>288</v>
      </c>
      <c r="M194" s="10">
        <v>932</v>
      </c>
      <c r="N194" s="10">
        <v>765</v>
      </c>
      <c r="O194" s="97">
        <f t="shared" si="36"/>
        <v>765</v>
      </c>
      <c r="P194" s="97">
        <f t="shared" si="37"/>
        <v>750</v>
      </c>
      <c r="Q194" s="97">
        <f t="shared" si="38"/>
        <v>651</v>
      </c>
      <c r="R194" s="97">
        <f t="shared" si="39"/>
        <v>651</v>
      </c>
      <c r="S194" s="97">
        <f t="shared" si="40"/>
        <v>651</v>
      </c>
      <c r="T194" s="97">
        <f t="shared" si="41"/>
        <v>651</v>
      </c>
    </row>
    <row r="195" spans="1:20" ht="16.5" hidden="1" thickBot="1">
      <c r="A195">
        <v>3</v>
      </c>
      <c r="E195" s="90">
        <v>1.2</v>
      </c>
      <c r="F195" s="262" t="e">
        <f t="shared" si="35"/>
        <v>#NAME?</v>
      </c>
      <c r="G195" s="10">
        <v>1166</v>
      </c>
      <c r="H195" s="10">
        <v>772</v>
      </c>
      <c r="I195" s="10">
        <v>727</v>
      </c>
      <c r="J195" s="10">
        <v>508</v>
      </c>
      <c r="K195" s="10">
        <v>500</v>
      </c>
      <c r="L195" s="10">
        <v>288</v>
      </c>
      <c r="M195" s="10">
        <v>939</v>
      </c>
      <c r="N195" s="10">
        <v>772</v>
      </c>
      <c r="O195" s="97">
        <f t="shared" si="36"/>
        <v>772</v>
      </c>
      <c r="P195" s="97">
        <f t="shared" si="37"/>
        <v>772</v>
      </c>
      <c r="Q195" s="97">
        <f t="shared" si="38"/>
        <v>727</v>
      </c>
      <c r="R195" s="97">
        <f t="shared" si="39"/>
        <v>727</v>
      </c>
      <c r="S195" s="97">
        <f>IF(punbasjubvarios1&lt;1943,R195,K195)</f>
        <v>727</v>
      </c>
      <c r="T195" s="97">
        <f t="shared" si="41"/>
        <v>727</v>
      </c>
    </row>
    <row r="196" spans="1:20" s="161" customFormat="1" ht="15.75" hidden="1">
      <c r="A196">
        <v>3</v>
      </c>
      <c r="E196" s="162"/>
      <c r="F196" s="104"/>
      <c r="G196" s="104"/>
      <c r="H196" s="163"/>
      <c r="I196" s="164"/>
      <c r="J196" s="164"/>
      <c r="K196" s="104"/>
      <c r="L196" s="11"/>
      <c r="M196" s="95"/>
      <c r="N196" s="95"/>
      <c r="O196" s="95"/>
      <c r="P196" s="95"/>
      <c r="Q196" s="95"/>
      <c r="R196" s="95"/>
      <c r="S196" s="95"/>
      <c r="T196" s="95"/>
    </row>
    <row r="197" spans="1:20" s="161" customFormat="1" ht="15.75" hidden="1">
      <c r="A197">
        <v>3</v>
      </c>
      <c r="E197" s="162"/>
      <c r="F197" s="104" t="s">
        <v>380</v>
      </c>
      <c r="G197" s="104" t="e">
        <f>LOOKUP(F213,porantvar3,cod06cargosvar3mar11)</f>
        <v>#NAME?</v>
      </c>
      <c r="H197" s="163"/>
      <c r="I197" s="164"/>
      <c r="J197" s="164"/>
      <c r="K197" s="104"/>
      <c r="L197" s="11"/>
      <c r="M197" s="95"/>
      <c r="N197" s="95"/>
      <c r="O197" s="95"/>
      <c r="P197" s="95"/>
      <c r="Q197" s="95"/>
      <c r="R197" s="95"/>
      <c r="S197" s="95"/>
      <c r="T197" s="95"/>
    </row>
    <row r="198" spans="1:20" s="161" customFormat="1" ht="15.75" hidden="1">
      <c r="A198"/>
      <c r="E198" s="162"/>
      <c r="F198" s="104"/>
      <c r="G198" s="104"/>
      <c r="H198" s="163"/>
      <c r="I198" s="164"/>
      <c r="J198" s="164"/>
      <c r="K198" s="104"/>
      <c r="L198" s="11"/>
      <c r="M198" s="95"/>
      <c r="N198" s="95"/>
      <c r="O198" s="95"/>
      <c r="P198" s="95"/>
      <c r="Q198" s="95"/>
      <c r="R198" s="95"/>
      <c r="S198" s="95"/>
      <c r="T198" s="95"/>
    </row>
    <row r="199" s="166" customFormat="1" ht="12.75" hidden="1">
      <c r="A199">
        <v>3</v>
      </c>
    </row>
    <row r="200" ht="12.75" hidden="1">
      <c r="A200">
        <v>3</v>
      </c>
    </row>
    <row r="201" spans="1:15" ht="12.75">
      <c r="A201" s="189">
        <v>3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</row>
    <row r="202" spans="1:17" ht="20.25">
      <c r="A202" s="189">
        <v>3</v>
      </c>
      <c r="B202" s="127"/>
      <c r="C202" s="43"/>
      <c r="D202" s="43"/>
      <c r="E202" s="53" t="s">
        <v>339</v>
      </c>
      <c r="F202" s="10"/>
      <c r="G202" s="10"/>
      <c r="H202" s="43"/>
      <c r="I202" s="43"/>
      <c r="J202" s="43"/>
      <c r="K202" s="43"/>
      <c r="L202" s="43"/>
      <c r="M202" s="43"/>
      <c r="N202" s="126"/>
      <c r="O202" s="197"/>
      <c r="P202" s="104"/>
      <c r="Q202" s="104"/>
    </row>
    <row r="203" spans="1:17" ht="12.75">
      <c r="A203" s="189">
        <v>3</v>
      </c>
      <c r="B203" s="127"/>
      <c r="C203" s="127"/>
      <c r="D203" s="127"/>
      <c r="E203" s="127"/>
      <c r="F203" s="127"/>
      <c r="G203" s="127"/>
      <c r="H203" s="191"/>
      <c r="I203" s="127"/>
      <c r="J203" s="127"/>
      <c r="K203" s="127"/>
      <c r="L203" s="127"/>
      <c r="M203" s="127"/>
      <c r="N203" s="126"/>
      <c r="O203" s="197"/>
      <c r="P203" s="104"/>
      <c r="Q203" s="104"/>
    </row>
    <row r="204" spans="1:17" ht="12.75">
      <c r="A204" s="189">
        <v>3</v>
      </c>
      <c r="B204" s="189"/>
      <c r="C204" s="189"/>
      <c r="D204" s="36" t="s">
        <v>30</v>
      </c>
      <c r="E204" s="36" t="s">
        <v>309</v>
      </c>
      <c r="F204" s="36" t="s">
        <v>310</v>
      </c>
      <c r="G204" s="36" t="s">
        <v>311</v>
      </c>
      <c r="H204" s="36" t="s">
        <v>312</v>
      </c>
      <c r="I204" s="73" t="s">
        <v>356</v>
      </c>
      <c r="J204" s="315" t="s">
        <v>383</v>
      </c>
      <c r="K204" s="127"/>
      <c r="L204" s="127"/>
      <c r="M204" s="127"/>
      <c r="N204" s="126"/>
      <c r="O204" s="197"/>
      <c r="P204" s="104"/>
      <c r="Q204" s="104"/>
    </row>
    <row r="205" spans="1:17" ht="16.5" thickBot="1">
      <c r="A205" s="189">
        <v>3</v>
      </c>
      <c r="B205" s="189"/>
      <c r="C205" s="189"/>
      <c r="D205" s="82">
        <v>741</v>
      </c>
      <c r="E205" s="54">
        <f>LOOKUP(D205,[0]!numerocargo,[0]!puntosbasicoscargo)</f>
        <v>1300</v>
      </c>
      <c r="F205" s="54" t="e">
        <f>LOOKUP(D205,[0]!numerocargo,[0]!tardifcargo)</f>
        <v>#NAME?</v>
      </c>
      <c r="G205" s="54">
        <f>LOOKUP(D205,[0]!numerocargo,[0]!proljorcargo)</f>
        <v>1660</v>
      </c>
      <c r="H205" s="54" t="e">
        <f>LOOKUP(D205,[0]!numerocargo,[0]!jorcomcargo)</f>
        <v>#NAME?</v>
      </c>
      <c r="I205" s="36">
        <f>LOOKUP(D205,Cargos!A1:A338,puntoscompbasico)</f>
        <v>216</v>
      </c>
      <c r="J205" s="314" t="e">
        <f>LOOKUP(D205,Cargos!A1:A338,puntosadicdir)</f>
        <v>#REF!</v>
      </c>
      <c r="K205" s="127"/>
      <c r="L205" s="127"/>
      <c r="M205" s="127"/>
      <c r="N205" s="126"/>
      <c r="O205" s="197"/>
      <c r="P205" s="104"/>
      <c r="Q205" s="104"/>
    </row>
    <row r="206" spans="1:17" ht="13.5" thickBot="1">
      <c r="A206" s="189">
        <v>3</v>
      </c>
      <c r="B206" s="189"/>
      <c r="C206" s="189"/>
      <c r="D206" s="55" t="s">
        <v>31</v>
      </c>
      <c r="E206" s="56" t="str">
        <f>LOOKUP(D205,[0]!numerocargo,[0]!nombrecargo)</f>
        <v> SECRETARIO ESCUELA 2DA CATEGORIA</v>
      </c>
      <c r="F206" s="35"/>
      <c r="G206" s="35"/>
      <c r="H206" s="44"/>
      <c r="I206" s="127"/>
      <c r="J206" s="127"/>
      <c r="K206" s="127"/>
      <c r="L206" s="127"/>
      <c r="M206" s="127"/>
      <c r="N206" s="126"/>
      <c r="O206" s="197"/>
      <c r="P206" s="104"/>
      <c r="Q206" s="104"/>
    </row>
    <row r="207" spans="1:17" ht="13.5" thickBot="1">
      <c r="A207" s="189">
        <v>3</v>
      </c>
      <c r="B207" s="189"/>
      <c r="C207" s="189"/>
      <c r="D207" s="190"/>
      <c r="E207" s="191"/>
      <c r="F207" s="127"/>
      <c r="G207" s="127"/>
      <c r="H207" s="127"/>
      <c r="I207" s="91" t="s">
        <v>330</v>
      </c>
      <c r="J207" s="199"/>
      <c r="K207" s="199"/>
      <c r="L207" s="199"/>
      <c r="M207" s="127"/>
      <c r="N207" s="127"/>
      <c r="O207" s="127"/>
      <c r="P207" s="10"/>
      <c r="Q207" s="10"/>
    </row>
    <row r="208" spans="1:17" ht="19.5" thickBot="1" thickTop="1">
      <c r="A208" s="189">
        <v>3</v>
      </c>
      <c r="B208" s="189"/>
      <c r="C208" s="189"/>
      <c r="D208" s="105" t="s">
        <v>324</v>
      </c>
      <c r="E208" s="86"/>
      <c r="F208" s="86"/>
      <c r="G208" s="86"/>
      <c r="H208" s="106">
        <v>15</v>
      </c>
      <c r="I208" s="92">
        <f>H208/120</f>
        <v>0.125</v>
      </c>
      <c r="J208" s="191"/>
      <c r="K208" s="191"/>
      <c r="L208" s="191"/>
      <c r="M208" s="127"/>
      <c r="N208" s="127"/>
      <c r="O208" s="127"/>
      <c r="P208" s="10"/>
      <c r="Q208" s="10"/>
    </row>
    <row r="209" spans="1:17" ht="17.25" thickBot="1" thickTop="1">
      <c r="A209" s="189">
        <v>3</v>
      </c>
      <c r="B209" s="190"/>
      <c r="C209" s="191"/>
      <c r="D209" s="127"/>
      <c r="E209" s="127"/>
      <c r="F209" s="245"/>
      <c r="G209" s="127"/>
      <c r="H209" s="324"/>
      <c r="I209" s="127"/>
      <c r="J209" s="127"/>
      <c r="K209" s="127"/>
      <c r="L209" s="127"/>
      <c r="M209" s="127"/>
      <c r="N209" s="127"/>
      <c r="O209" s="127"/>
      <c r="P209" s="10"/>
      <c r="Q209" s="10"/>
    </row>
    <row r="210" spans="1:17" ht="17.25" thickBot="1" thickTop="1">
      <c r="A210" s="189">
        <v>3</v>
      </c>
      <c r="B210" s="190"/>
      <c r="C210" s="189"/>
      <c r="D210" s="85" t="s">
        <v>332</v>
      </c>
      <c r="E210" s="93">
        <v>0</v>
      </c>
      <c r="F210" s="245"/>
      <c r="G210" s="127"/>
      <c r="H210" s="191"/>
      <c r="I210" s="127"/>
      <c r="J210" s="127"/>
      <c r="K210" s="127"/>
      <c r="L210" s="127"/>
      <c r="M210" s="127"/>
      <c r="N210" s="127"/>
      <c r="O210" s="127"/>
      <c r="P210" s="10"/>
      <c r="Q210" s="10"/>
    </row>
    <row r="211" spans="1:17" ht="14.25" thickBot="1" thickTop="1">
      <c r="A211" s="189">
        <v>3</v>
      </c>
      <c r="B211" s="190"/>
      <c r="C211" s="191"/>
      <c r="D211" s="127"/>
      <c r="E211" s="325"/>
      <c r="F211" s="127"/>
      <c r="G211" s="127"/>
      <c r="H211" s="191"/>
      <c r="I211" s="127"/>
      <c r="J211" s="127"/>
      <c r="K211" s="127"/>
      <c r="L211" s="127"/>
      <c r="M211" s="127"/>
      <c r="N211" s="127"/>
      <c r="O211" s="127"/>
      <c r="P211" s="10"/>
      <c r="Q211" s="10"/>
    </row>
    <row r="212" spans="1:17" ht="16.5" thickBot="1">
      <c r="A212" s="189">
        <v>3</v>
      </c>
      <c r="B212" s="127"/>
      <c r="C212" s="43"/>
      <c r="D212" s="57" t="s">
        <v>8</v>
      </c>
      <c r="E212" s="35"/>
      <c r="F212" s="58" t="e">
        <f>E205*indicesep2010</f>
        <v>#NAME?</v>
      </c>
      <c r="G212" s="43"/>
      <c r="H212" s="43"/>
      <c r="I212" s="43"/>
      <c r="J212" s="43"/>
      <c r="K212" s="43"/>
      <c r="L212" s="43"/>
      <c r="M212" s="128"/>
      <c r="N212" s="128"/>
      <c r="O212" s="43"/>
      <c r="P212" s="10"/>
      <c r="Q212" s="10"/>
    </row>
    <row r="213" spans="1:17" ht="16.5" thickBot="1">
      <c r="A213" s="189">
        <v>3</v>
      </c>
      <c r="B213" s="127"/>
      <c r="C213" s="43"/>
      <c r="D213" s="57" t="s">
        <v>9</v>
      </c>
      <c r="E213" s="35"/>
      <c r="F213" s="84">
        <v>1.2</v>
      </c>
      <c r="G213" s="10" t="s">
        <v>10</v>
      </c>
      <c r="H213" s="10"/>
      <c r="I213" s="43"/>
      <c r="J213" s="43"/>
      <c r="K213" s="43"/>
      <c r="L213" s="43"/>
      <c r="M213" s="43"/>
      <c r="N213" s="128"/>
      <c r="O213" s="43"/>
      <c r="P213" s="10"/>
      <c r="Q213" s="10"/>
    </row>
    <row r="214" spans="1:17" ht="15.75">
      <c r="A214" s="189">
        <v>3</v>
      </c>
      <c r="B214" s="127"/>
      <c r="C214" s="43"/>
      <c r="D214" s="127"/>
      <c r="E214" s="127"/>
      <c r="F214" s="129"/>
      <c r="G214" s="43"/>
      <c r="H214" s="43"/>
      <c r="I214" s="43"/>
      <c r="J214" s="43"/>
      <c r="K214" s="43"/>
      <c r="L214" s="43"/>
      <c r="M214" s="43"/>
      <c r="N214" s="130"/>
      <c r="O214" s="43"/>
      <c r="P214" s="10"/>
      <c r="Q214" s="10"/>
    </row>
    <row r="215" spans="1:17" ht="18.75" hidden="1" thickBot="1">
      <c r="A215" s="189">
        <v>3</v>
      </c>
      <c r="B215" s="127"/>
      <c r="C215" s="43"/>
      <c r="D215" s="60" t="s">
        <v>11</v>
      </c>
      <c r="E215" s="60"/>
      <c r="F215" s="61">
        <f>E205</f>
        <v>1300</v>
      </c>
      <c r="G215" s="10" t="s">
        <v>12</v>
      </c>
      <c r="H215" s="43"/>
      <c r="I215" s="59" t="e">
        <f>H205+G205</f>
        <v>#NAME?</v>
      </c>
      <c r="J215" s="128"/>
      <c r="K215" s="128"/>
      <c r="L215" s="128"/>
      <c r="M215" s="127"/>
      <c r="N215" s="43"/>
      <c r="O215" s="43"/>
      <c r="P215" s="10"/>
      <c r="Q215" s="10"/>
    </row>
    <row r="216" spans="1:17" ht="15.75" hidden="1">
      <c r="A216" s="189">
        <v>3</v>
      </c>
      <c r="B216" s="127"/>
      <c r="C216" s="43"/>
      <c r="D216" s="127"/>
      <c r="E216" s="127"/>
      <c r="F216" s="129"/>
      <c r="G216" s="43"/>
      <c r="H216" s="43"/>
      <c r="I216" s="127"/>
      <c r="J216" s="127"/>
      <c r="K216" s="127"/>
      <c r="L216" s="127"/>
      <c r="M216" s="246"/>
      <c r="N216" s="43"/>
      <c r="O216" s="43"/>
      <c r="P216" s="10"/>
      <c r="Q216" s="10"/>
    </row>
    <row r="217" spans="1:15" ht="15.75" hidden="1">
      <c r="A217" s="189">
        <v>3</v>
      </c>
      <c r="B217" s="127"/>
      <c r="C217" s="43"/>
      <c r="D217" s="10"/>
      <c r="E217" s="98" t="s">
        <v>373</v>
      </c>
      <c r="F217" s="10"/>
      <c r="G217" s="102"/>
      <c r="H217" s="10"/>
      <c r="I217" s="98" t="s">
        <v>374</v>
      </c>
      <c r="J217" s="10"/>
      <c r="K217" s="189"/>
      <c r="L217" s="11"/>
      <c r="M217" s="297"/>
      <c r="N217" s="11"/>
      <c r="O217" s="189"/>
    </row>
    <row r="218" spans="1:15" ht="12.75" hidden="1">
      <c r="A218" s="189">
        <v>3</v>
      </c>
      <c r="B218" s="127"/>
      <c r="C218" s="189"/>
      <c r="D218" s="16">
        <v>400</v>
      </c>
      <c r="E218" s="16" t="s">
        <v>13</v>
      </c>
      <c r="F218" s="62" t="e">
        <f>punbasjubvarios3*indicesep2010*porjubvarcar*frac3</f>
        <v>#NAME?</v>
      </c>
      <c r="G218" s="189"/>
      <c r="H218" s="16">
        <v>400</v>
      </c>
      <c r="I218" s="16" t="s">
        <v>13</v>
      </c>
      <c r="J218" s="62" t="e">
        <f>punbasjubvarios3*indicemar2011*porjubvarcar*frac3</f>
        <v>#NAME?</v>
      </c>
      <c r="K218" s="189"/>
      <c r="L218" s="11"/>
      <c r="M218" s="11"/>
      <c r="N218" s="298"/>
      <c r="O218" s="189"/>
    </row>
    <row r="219" spans="1:15" ht="12.75" hidden="1">
      <c r="A219" s="189">
        <v>3</v>
      </c>
      <c r="B219" s="127"/>
      <c r="C219" s="189"/>
      <c r="D219" s="16">
        <v>542</v>
      </c>
      <c r="E219" s="16" t="s">
        <v>360</v>
      </c>
      <c r="F219" s="160" t="e">
        <f>compbasicovarios3*indicesep2010*porjubvarcar*frac3</f>
        <v>#NAME?</v>
      </c>
      <c r="G219" s="189"/>
      <c r="H219" s="16">
        <v>542</v>
      </c>
      <c r="I219" s="16" t="s">
        <v>360</v>
      </c>
      <c r="J219" s="160" t="e">
        <f>compbasicovarios3*indicemar2011*porjubvarcar*frac3</f>
        <v>#NAME?</v>
      </c>
      <c r="K219" s="189"/>
      <c r="L219" s="11"/>
      <c r="M219" s="11"/>
      <c r="N219" s="298"/>
      <c r="O219" s="189"/>
    </row>
    <row r="220" spans="1:15" ht="12.75" hidden="1">
      <c r="A220" s="189"/>
      <c r="B220" s="127"/>
      <c r="C220" s="189"/>
      <c r="D220" s="287"/>
      <c r="E220" s="287"/>
      <c r="F220" s="316"/>
      <c r="G220" s="189"/>
      <c r="H220" s="288" t="s">
        <v>372</v>
      </c>
      <c r="I220" s="289" t="s">
        <v>371</v>
      </c>
      <c r="J220" s="313" t="e">
        <f>adicdirvarios3*indicemar2011*porjubvarcar*frac3</f>
        <v>#REF!</v>
      </c>
      <c r="K220" s="189"/>
      <c r="L220" s="11"/>
      <c r="M220" s="11"/>
      <c r="N220" s="298"/>
      <c r="O220" s="189"/>
    </row>
    <row r="221" spans="1:14" ht="12.75" hidden="1">
      <c r="A221" s="189">
        <v>3</v>
      </c>
      <c r="B221" s="127"/>
      <c r="C221" s="189"/>
      <c r="D221" s="16">
        <v>404</v>
      </c>
      <c r="E221" s="16" t="s">
        <v>314</v>
      </c>
      <c r="F221" s="62" t="e">
        <f>puntardifvar3*indicesep2010*porjubvarcar*frac3</f>
        <v>#NAME?</v>
      </c>
      <c r="G221" s="189"/>
      <c r="H221" s="16">
        <v>404</v>
      </c>
      <c r="I221" s="16" t="s">
        <v>314</v>
      </c>
      <c r="J221" s="62" t="e">
        <f>puntardifvar3*indicemar2011*porjubvarcar*frac3</f>
        <v>#NAME?</v>
      </c>
      <c r="L221" s="11"/>
      <c r="M221" s="11"/>
      <c r="N221" s="298"/>
    </row>
    <row r="222" spans="1:14" ht="12.75" hidden="1">
      <c r="A222" s="189">
        <v>3</v>
      </c>
      <c r="B222" s="127"/>
      <c r="C222" s="189"/>
      <c r="D222" s="16">
        <v>406</v>
      </c>
      <c r="E222" s="16" t="s">
        <v>14</v>
      </c>
      <c r="F222" s="62" t="e">
        <f>(F218+F219+F221+F224)*F213</f>
        <v>#NAME?</v>
      </c>
      <c r="G222" s="189"/>
      <c r="H222" s="16">
        <v>406</v>
      </c>
      <c r="I222" s="16" t="s">
        <v>14</v>
      </c>
      <c r="J222" s="62" t="e">
        <f>(J218+J219+J221+J224)*F213</f>
        <v>#NAME?</v>
      </c>
      <c r="L222" s="11"/>
      <c r="M222" s="11"/>
      <c r="N222" s="298"/>
    </row>
    <row r="223" spans="1:14" ht="12.75" hidden="1">
      <c r="A223" s="189">
        <v>3</v>
      </c>
      <c r="B223" s="127"/>
      <c r="C223" s="189"/>
      <c r="D223" s="16">
        <v>408</v>
      </c>
      <c r="E223" s="16" t="s">
        <v>331</v>
      </c>
      <c r="F223" s="62" t="e">
        <f>(F218+F219+F221+F224)*E210</f>
        <v>#NAME?</v>
      </c>
      <c r="G223" s="189"/>
      <c r="H223" s="16">
        <v>408</v>
      </c>
      <c r="I223" s="16" t="s">
        <v>331</v>
      </c>
      <c r="J223" s="62" t="e">
        <f>(J218+J219+J221+J224)*E210</f>
        <v>#NAME?</v>
      </c>
      <c r="L223" s="11"/>
      <c r="M223" s="11"/>
      <c r="N223" s="298"/>
    </row>
    <row r="224" spans="1:14" ht="12.75" hidden="1">
      <c r="A224" s="189">
        <v>3</v>
      </c>
      <c r="B224" s="127"/>
      <c r="C224" s="189"/>
      <c r="D224" s="16">
        <v>416</v>
      </c>
      <c r="E224" s="63" t="s">
        <v>315</v>
      </c>
      <c r="F224" s="62" t="e">
        <f>puntosproljorvarios3*proljorsep2010*porjubvarcar*frac3</f>
        <v>#NAME?</v>
      </c>
      <c r="G224" s="189"/>
      <c r="H224" s="16">
        <v>416</v>
      </c>
      <c r="I224" s="63" t="s">
        <v>315</v>
      </c>
      <c r="J224" s="62" t="e">
        <f>puntosproljorvarios3*proljormar2011*porjubvarcar*frac3</f>
        <v>#NAME?</v>
      </c>
      <c r="L224" s="11"/>
      <c r="M224" s="312"/>
      <c r="N224" s="298"/>
    </row>
    <row r="225" spans="1:14" ht="12.75" hidden="1">
      <c r="A225" s="189">
        <v>3</v>
      </c>
      <c r="B225" s="127"/>
      <c r="C225" s="189"/>
      <c r="D225" s="16">
        <v>432</v>
      </c>
      <c r="E225" s="16" t="s">
        <v>329</v>
      </c>
      <c r="F225" s="62" t="e">
        <f>cod06feb11varios3*porjubvarcar*frac3</f>
        <v>#NAME?</v>
      </c>
      <c r="G225" s="189"/>
      <c r="H225" s="16">
        <v>432</v>
      </c>
      <c r="I225" s="16" t="s">
        <v>329</v>
      </c>
      <c r="J225" s="62" t="e">
        <f>cod06mar11varios3*porjubvarcar*frac3</f>
        <v>#NAME?</v>
      </c>
      <c r="L225" s="11"/>
      <c r="M225" s="11"/>
      <c r="N225" s="298"/>
    </row>
    <row r="226" spans="1:14" ht="12.75" hidden="1">
      <c r="A226" s="189">
        <v>3</v>
      </c>
      <c r="B226" s="127"/>
      <c r="C226" s="189"/>
      <c r="D226" s="16">
        <v>434</v>
      </c>
      <c r="E226" s="16" t="s">
        <v>313</v>
      </c>
      <c r="F226" s="62" t="e">
        <f>(F218+F219+F221+F222+F224+F225+F223)*0.07*0.95</f>
        <v>#NAME?</v>
      </c>
      <c r="G226" s="189"/>
      <c r="H226" s="16">
        <v>434</v>
      </c>
      <c r="I226" s="16" t="s">
        <v>313</v>
      </c>
      <c r="J226" s="62" t="e">
        <f>(J218+J219+J221+J222+J224+J225+J223)*0.07*0.95</f>
        <v>#NAME?</v>
      </c>
      <c r="L226" s="11"/>
      <c r="M226" s="11"/>
      <c r="N226" s="298"/>
    </row>
    <row r="227" spans="1:14" ht="12.75" hidden="1">
      <c r="A227" s="189">
        <v>3</v>
      </c>
      <c r="B227" s="127"/>
      <c r="C227" s="189"/>
      <c r="D227" s="16"/>
      <c r="E227" s="64"/>
      <c r="F227" s="110"/>
      <c r="G227" s="189"/>
      <c r="H227" s="16"/>
      <c r="I227" s="64"/>
      <c r="J227" s="110"/>
      <c r="L227" s="11"/>
      <c r="M227" s="11"/>
      <c r="N227" s="298"/>
    </row>
    <row r="228" spans="1:14" ht="13.5" hidden="1" thickBot="1">
      <c r="A228" s="189">
        <v>3</v>
      </c>
      <c r="B228" s="127"/>
      <c r="C228" s="189"/>
      <c r="D228" s="16"/>
      <c r="E228" s="64" t="s">
        <v>327</v>
      </c>
      <c r="F228" s="83">
        <v>0</v>
      </c>
      <c r="G228" s="189"/>
      <c r="H228" s="16"/>
      <c r="I228" s="64" t="s">
        <v>327</v>
      </c>
      <c r="J228" s="83">
        <v>0</v>
      </c>
      <c r="L228" s="11"/>
      <c r="M228" s="11"/>
      <c r="N228" s="308"/>
    </row>
    <row r="229" spans="1:14" ht="16.5" hidden="1" thickBot="1">
      <c r="A229" s="189">
        <v>3</v>
      </c>
      <c r="B229" s="127"/>
      <c r="C229" s="189"/>
      <c r="D229" s="65"/>
      <c r="E229" s="66" t="s">
        <v>15</v>
      </c>
      <c r="F229" s="67" t="e">
        <f>SUM(F218:F228)</f>
        <v>#NAME?</v>
      </c>
      <c r="G229" s="189"/>
      <c r="H229" s="65"/>
      <c r="I229" s="66" t="s">
        <v>15</v>
      </c>
      <c r="J229" s="67" t="e">
        <f>SUM(J218:J228)</f>
        <v>#NAME?</v>
      </c>
      <c r="L229" s="11"/>
      <c r="M229" s="48"/>
      <c r="N229" s="306"/>
    </row>
    <row r="230" spans="1:14" ht="12.75" hidden="1">
      <c r="A230" s="189">
        <v>3</v>
      </c>
      <c r="B230" s="127"/>
      <c r="C230" s="189"/>
      <c r="D230" s="16">
        <v>703</v>
      </c>
      <c r="E230" s="68" t="s">
        <v>316</v>
      </c>
      <c r="F230" s="69" t="e">
        <f>(F229-F228)*0.0025</f>
        <v>#NAME?</v>
      </c>
      <c r="G230" s="189"/>
      <c r="H230" s="16">
        <v>703</v>
      </c>
      <c r="I230" s="68" t="s">
        <v>316</v>
      </c>
      <c r="J230" s="69" t="e">
        <f>(J229-J228)*0.0025</f>
        <v>#NAME?</v>
      </c>
      <c r="L230" s="11"/>
      <c r="M230" s="301"/>
      <c r="N230" s="302"/>
    </row>
    <row r="231" spans="1:14" ht="12.75" hidden="1">
      <c r="A231" s="189">
        <v>3</v>
      </c>
      <c r="B231" s="127"/>
      <c r="C231" s="189"/>
      <c r="D231" s="17">
        <v>707</v>
      </c>
      <c r="E231" s="70" t="s">
        <v>17</v>
      </c>
      <c r="F231" s="15" t="e">
        <f>(F229-F228)*0.03</f>
        <v>#NAME?</v>
      </c>
      <c r="G231" s="189"/>
      <c r="H231" s="17">
        <v>707</v>
      </c>
      <c r="I231" s="70" t="s">
        <v>17</v>
      </c>
      <c r="J231" s="15" t="e">
        <f>(J229-J228)*0.03</f>
        <v>#NAME?</v>
      </c>
      <c r="L231" s="11"/>
      <c r="M231" s="295"/>
      <c r="N231" s="302"/>
    </row>
    <row r="232" spans="1:14" ht="12.75" hidden="1">
      <c r="A232" s="189">
        <v>3</v>
      </c>
      <c r="B232" s="127"/>
      <c r="C232" s="189"/>
      <c r="D232" s="17">
        <v>709</v>
      </c>
      <c r="E232" s="70" t="s">
        <v>18</v>
      </c>
      <c r="F232" s="15" t="e">
        <f>(F229-F228)*0.0213</f>
        <v>#NAME?</v>
      </c>
      <c r="G232" s="189"/>
      <c r="H232" s="17">
        <v>709</v>
      </c>
      <c r="I232" s="70" t="s">
        <v>18</v>
      </c>
      <c r="J232" s="15" t="e">
        <f>(J229-J228)*0.0213</f>
        <v>#NAME?</v>
      </c>
      <c r="L232" s="11"/>
      <c r="M232" s="295"/>
      <c r="N232" s="302"/>
    </row>
    <row r="233" spans="1:14" ht="12.75" hidden="1">
      <c r="A233" s="189">
        <v>3</v>
      </c>
      <c r="B233" s="127"/>
      <c r="C233" s="189"/>
      <c r="D233" s="14">
        <v>710</v>
      </c>
      <c r="E233" s="70" t="s">
        <v>19</v>
      </c>
      <c r="F233" s="15" t="e">
        <f>(F229-F228)*0.00754</f>
        <v>#NAME?</v>
      </c>
      <c r="G233" s="189"/>
      <c r="H233" s="14">
        <v>710</v>
      </c>
      <c r="I233" s="70" t="s">
        <v>19</v>
      </c>
      <c r="J233" s="15" t="e">
        <f>(J229-J228)*0.00754</f>
        <v>#NAME?</v>
      </c>
      <c r="L233" s="295"/>
      <c r="M233" s="295"/>
      <c r="N233" s="302"/>
    </row>
    <row r="234" spans="1:14" ht="12.75" hidden="1">
      <c r="A234" s="189">
        <v>3</v>
      </c>
      <c r="B234" s="127"/>
      <c r="C234" s="189"/>
      <c r="D234" s="14">
        <v>713</v>
      </c>
      <c r="E234" s="70" t="s">
        <v>20</v>
      </c>
      <c r="F234" s="15" t="e">
        <f>(F229-F228)*0.007</f>
        <v>#NAME?</v>
      </c>
      <c r="G234" s="189"/>
      <c r="H234" s="14">
        <v>713</v>
      </c>
      <c r="I234" s="70" t="s">
        <v>20</v>
      </c>
      <c r="J234" s="15" t="e">
        <f>(J229-J228)*0.007</f>
        <v>#NAME?</v>
      </c>
      <c r="L234" s="295"/>
      <c r="M234" s="295"/>
      <c r="N234" s="302"/>
    </row>
    <row r="235" spans="1:14" ht="13.5" hidden="1" thickBot="1">
      <c r="A235" s="189">
        <v>3</v>
      </c>
      <c r="B235" s="127"/>
      <c r="C235" s="189"/>
      <c r="D235" s="14"/>
      <c r="E235" s="71" t="s">
        <v>21</v>
      </c>
      <c r="F235" s="39">
        <v>0</v>
      </c>
      <c r="G235" s="189"/>
      <c r="H235" s="14"/>
      <c r="I235" s="71" t="s">
        <v>21</v>
      </c>
      <c r="J235" s="39">
        <v>0</v>
      </c>
      <c r="L235" s="295"/>
      <c r="M235" s="295"/>
      <c r="N235" s="309"/>
    </row>
    <row r="236" spans="1:14" ht="16.5" hidden="1" thickBot="1">
      <c r="A236" s="189">
        <v>3</v>
      </c>
      <c r="B236" s="127"/>
      <c r="C236" s="189"/>
      <c r="D236" s="72"/>
      <c r="E236" s="66" t="s">
        <v>22</v>
      </c>
      <c r="F236" s="67" t="e">
        <f>SUM(F230:F235)</f>
        <v>#NAME?</v>
      </c>
      <c r="G236" s="189"/>
      <c r="H236" s="72"/>
      <c r="I236" s="66" t="s">
        <v>22</v>
      </c>
      <c r="J236" s="67" t="e">
        <f>SUM(J230:J235)</f>
        <v>#NAME?</v>
      </c>
      <c r="L236" s="11"/>
      <c r="M236" s="48"/>
      <c r="N236" s="306"/>
    </row>
    <row r="237" spans="1:14" ht="13.5" hidden="1" thickBot="1">
      <c r="A237" s="189">
        <v>3</v>
      </c>
      <c r="B237" s="127"/>
      <c r="C237" s="189"/>
      <c r="D237" s="73"/>
      <c r="E237" s="74"/>
      <c r="F237" s="75"/>
      <c r="G237" s="189"/>
      <c r="H237" s="73"/>
      <c r="I237" s="74"/>
      <c r="J237" s="75"/>
      <c r="L237" s="48"/>
      <c r="M237" s="11"/>
      <c r="N237" s="310"/>
    </row>
    <row r="238" spans="1:14" ht="16.5" hidden="1" thickBot="1">
      <c r="A238" s="189">
        <v>3</v>
      </c>
      <c r="B238" s="43"/>
      <c r="C238" s="189"/>
      <c r="D238" s="76"/>
      <c r="E238" s="77" t="s">
        <v>23</v>
      </c>
      <c r="F238" s="78" t="e">
        <f>F229-F236</f>
        <v>#NAME?</v>
      </c>
      <c r="G238" s="189"/>
      <c r="H238" s="76"/>
      <c r="I238" s="77" t="s">
        <v>23</v>
      </c>
      <c r="J238" s="78" t="e">
        <f>J229-J236</f>
        <v>#NAME?</v>
      </c>
      <c r="L238" s="170"/>
      <c r="M238" s="305"/>
      <c r="N238" s="311"/>
    </row>
    <row r="239" spans="1:7" s="166" customFormat="1" ht="12.75" hidden="1">
      <c r="A239" s="189">
        <v>3</v>
      </c>
      <c r="B239" s="127"/>
      <c r="C239" s="192"/>
      <c r="G239" s="198"/>
    </row>
    <row r="240" spans="1:17" ht="15.75" hidden="1">
      <c r="A240" s="189">
        <v>3</v>
      </c>
      <c r="B240" s="43"/>
      <c r="C240" s="43"/>
      <c r="D240" s="4"/>
      <c r="E240" s="143"/>
      <c r="F240" s="145"/>
      <c r="G240" s="10"/>
      <c r="H240" s="4"/>
      <c r="I240" s="143"/>
      <c r="J240" s="145"/>
      <c r="L240" s="4"/>
      <c r="M240" s="143"/>
      <c r="N240" s="145"/>
      <c r="Q240" s="189"/>
    </row>
    <row r="241" spans="1:17" ht="15.75" hidden="1">
      <c r="A241" s="189">
        <v>3</v>
      </c>
      <c r="B241" s="43"/>
      <c r="C241" s="43"/>
      <c r="D241" s="193"/>
      <c r="E241" s="194"/>
      <c r="F241" s="195"/>
      <c r="G241" s="43"/>
      <c r="H241" s="193"/>
      <c r="I241" s="194"/>
      <c r="J241" s="195"/>
      <c r="K241" s="189"/>
      <c r="L241" s="189"/>
      <c r="M241" s="189"/>
      <c r="N241" s="189"/>
      <c r="O241" s="189"/>
      <c r="P241" s="161"/>
      <c r="Q241" s="161"/>
    </row>
    <row r="242" spans="1:17" ht="15.75" hidden="1">
      <c r="A242" s="189">
        <v>3</v>
      </c>
      <c r="B242" s="43"/>
      <c r="C242" s="43"/>
      <c r="D242" s="193"/>
      <c r="E242" s="194"/>
      <c r="F242" s="195"/>
      <c r="G242" s="43"/>
      <c r="H242" s="193"/>
      <c r="I242" s="194"/>
      <c r="J242" s="196"/>
      <c r="K242" s="189"/>
      <c r="L242" s="189"/>
      <c r="M242" s="189"/>
      <c r="N242" s="189"/>
      <c r="O242" s="189"/>
      <c r="P242" s="161"/>
      <c r="Q242" s="161"/>
    </row>
    <row r="243" ht="12.75" hidden="1"/>
    <row r="244" s="166" customFormat="1" ht="12.75" hidden="1"/>
    <row r="245" spans="1:20" ht="16.5" hidden="1" thickBot="1">
      <c r="A245" s="166">
        <v>4</v>
      </c>
      <c r="F245" t="s">
        <v>345</v>
      </c>
      <c r="G245" s="10" t="s">
        <v>347</v>
      </c>
      <c r="H245" s="10" t="s">
        <v>348</v>
      </c>
      <c r="I245" s="94" t="s">
        <v>349</v>
      </c>
      <c r="J245" s="94" t="s">
        <v>350</v>
      </c>
      <c r="K245" s="94" t="s">
        <v>351</v>
      </c>
      <c r="L245" s="94" t="s">
        <v>352</v>
      </c>
      <c r="M245" s="94" t="s">
        <v>353</v>
      </c>
      <c r="N245" s="94" t="s">
        <v>354</v>
      </c>
      <c r="O245" s="96" t="s">
        <v>355</v>
      </c>
      <c r="P245" s="96">
        <v>1</v>
      </c>
      <c r="Q245" s="96">
        <v>2</v>
      </c>
      <c r="R245" s="96">
        <v>3</v>
      </c>
      <c r="S245" s="96">
        <v>4</v>
      </c>
      <c r="T245" s="96">
        <v>5</v>
      </c>
    </row>
    <row r="246" spans="1:20" ht="15.75" hidden="1">
      <c r="A246" s="166">
        <v>4</v>
      </c>
      <c r="E246" s="87">
        <v>0</v>
      </c>
      <c r="F246" s="262" t="e">
        <f aca="true" t="shared" si="42" ref="F246:F257">IF(puntosproljorvarios4&lt;620,T246,O246)</f>
        <v>#NAME?</v>
      </c>
      <c r="G246" s="258">
        <v>409</v>
      </c>
      <c r="H246" s="258">
        <v>99</v>
      </c>
      <c r="I246" s="258">
        <v>0</v>
      </c>
      <c r="J246" s="258">
        <v>0</v>
      </c>
      <c r="K246" s="258">
        <v>0</v>
      </c>
      <c r="L246" s="258">
        <v>0</v>
      </c>
      <c r="M246" s="258">
        <v>99</v>
      </c>
      <c r="N246" s="258">
        <v>99</v>
      </c>
      <c r="O246" s="97">
        <f aca="true" t="shared" si="43" ref="O246:O257">IF(punbasjubvarios4&gt;971,N246,M246)</f>
        <v>99</v>
      </c>
      <c r="P246" s="97">
        <f aca="true" t="shared" si="44" ref="P246:P257">IF(punbasjubvarios4&lt;972,G246,H246)</f>
        <v>99</v>
      </c>
      <c r="Q246" s="97">
        <f aca="true" t="shared" si="45" ref="Q246:Q257">IF(punbasjubvarios4&lt;1170,P246,I246)</f>
        <v>0</v>
      </c>
      <c r="R246" s="97">
        <f aca="true" t="shared" si="46" ref="R246:R257">IF(punbasjubvarios4&lt;1401,Q246,J246)</f>
        <v>0</v>
      </c>
      <c r="S246" s="97">
        <f aca="true" t="shared" si="47" ref="S246:S257">IF(punbasjubvarios4&lt;1943,R246,K246)</f>
        <v>0</v>
      </c>
      <c r="T246" s="97">
        <f aca="true" t="shared" si="48" ref="T246:T257">IF(punbasjubvarios4&lt;=2220,S246,L246)</f>
        <v>0</v>
      </c>
    </row>
    <row r="247" spans="1:20" ht="15.75" hidden="1">
      <c r="A247" s="166">
        <v>4</v>
      </c>
      <c r="E247" s="88">
        <v>0.1</v>
      </c>
      <c r="F247" s="262" t="e">
        <f t="shared" si="42"/>
        <v>#NAME?</v>
      </c>
      <c r="G247" s="258">
        <v>581</v>
      </c>
      <c r="H247" s="258">
        <v>112</v>
      </c>
      <c r="I247" s="258">
        <v>0</v>
      </c>
      <c r="J247" s="258">
        <v>0</v>
      </c>
      <c r="K247" s="258">
        <v>0</v>
      </c>
      <c r="L247" s="258">
        <v>0</v>
      </c>
      <c r="M247" s="258">
        <v>112</v>
      </c>
      <c r="N247" s="258">
        <v>112</v>
      </c>
      <c r="O247" s="97">
        <f t="shared" si="43"/>
        <v>112</v>
      </c>
      <c r="P247" s="97">
        <f t="shared" si="44"/>
        <v>112</v>
      </c>
      <c r="Q247" s="97">
        <f t="shared" si="45"/>
        <v>0</v>
      </c>
      <c r="R247" s="97">
        <f t="shared" si="46"/>
        <v>0</v>
      </c>
      <c r="S247" s="97">
        <f t="shared" si="47"/>
        <v>0</v>
      </c>
      <c r="T247" s="97">
        <f t="shared" si="48"/>
        <v>0</v>
      </c>
    </row>
    <row r="248" spans="1:20" ht="15.75" hidden="1">
      <c r="A248" s="166">
        <v>4</v>
      </c>
      <c r="E248" s="89">
        <v>0.15</v>
      </c>
      <c r="F248" s="262" t="e">
        <f t="shared" si="42"/>
        <v>#NAME?</v>
      </c>
      <c r="G248" s="258">
        <v>705</v>
      </c>
      <c r="H248" s="258">
        <v>224</v>
      </c>
      <c r="I248" s="258">
        <v>298</v>
      </c>
      <c r="J248" s="258">
        <v>240</v>
      </c>
      <c r="K248" s="258">
        <v>224</v>
      </c>
      <c r="L248" s="258">
        <v>0</v>
      </c>
      <c r="M248" s="258">
        <v>273</v>
      </c>
      <c r="N248" s="258">
        <v>273</v>
      </c>
      <c r="O248" s="97">
        <f t="shared" si="43"/>
        <v>273</v>
      </c>
      <c r="P248" s="97">
        <f t="shared" si="44"/>
        <v>224</v>
      </c>
      <c r="Q248" s="97">
        <f t="shared" si="45"/>
        <v>298</v>
      </c>
      <c r="R248" s="97">
        <f t="shared" si="46"/>
        <v>240</v>
      </c>
      <c r="S248" s="97">
        <f t="shared" si="47"/>
        <v>240</v>
      </c>
      <c r="T248" s="97">
        <f t="shared" si="48"/>
        <v>240</v>
      </c>
    </row>
    <row r="249" spans="1:20" ht="15.75" hidden="1">
      <c r="A249" s="166">
        <v>4</v>
      </c>
      <c r="E249" s="89">
        <v>0.3</v>
      </c>
      <c r="F249" s="262" t="e">
        <f t="shared" si="42"/>
        <v>#NAME?</v>
      </c>
      <c r="G249" s="258">
        <v>733</v>
      </c>
      <c r="H249" s="258">
        <v>242</v>
      </c>
      <c r="I249" s="258">
        <v>298</v>
      </c>
      <c r="J249" s="258">
        <v>240</v>
      </c>
      <c r="K249" s="258">
        <v>224</v>
      </c>
      <c r="L249" s="258">
        <v>0</v>
      </c>
      <c r="M249" s="258">
        <v>472</v>
      </c>
      <c r="N249" s="258">
        <v>435</v>
      </c>
      <c r="O249" s="97">
        <f t="shared" si="43"/>
        <v>435</v>
      </c>
      <c r="P249" s="97">
        <f t="shared" si="44"/>
        <v>242</v>
      </c>
      <c r="Q249" s="97">
        <f t="shared" si="45"/>
        <v>298</v>
      </c>
      <c r="R249" s="97">
        <f t="shared" si="46"/>
        <v>240</v>
      </c>
      <c r="S249" s="97">
        <f t="shared" si="47"/>
        <v>240</v>
      </c>
      <c r="T249" s="97">
        <f t="shared" si="48"/>
        <v>240</v>
      </c>
    </row>
    <row r="250" spans="1:20" ht="15.75" hidden="1">
      <c r="A250" s="166">
        <v>4</v>
      </c>
      <c r="E250" s="89">
        <v>0.4</v>
      </c>
      <c r="F250" s="262" t="e">
        <f t="shared" si="42"/>
        <v>#NAME?</v>
      </c>
      <c r="G250" s="258">
        <v>796</v>
      </c>
      <c r="H250" s="258">
        <v>261</v>
      </c>
      <c r="I250" s="258">
        <v>311</v>
      </c>
      <c r="J250" s="258">
        <v>248</v>
      </c>
      <c r="K250" s="258">
        <v>224</v>
      </c>
      <c r="L250" s="258">
        <v>174</v>
      </c>
      <c r="M250" s="258">
        <v>546</v>
      </c>
      <c r="N250" s="258">
        <v>497</v>
      </c>
      <c r="O250" s="97">
        <f t="shared" si="43"/>
        <v>497</v>
      </c>
      <c r="P250" s="97">
        <f t="shared" si="44"/>
        <v>261</v>
      </c>
      <c r="Q250" s="97">
        <f t="shared" si="45"/>
        <v>311</v>
      </c>
      <c r="R250" s="97">
        <f t="shared" si="46"/>
        <v>248</v>
      </c>
      <c r="S250" s="97">
        <f t="shared" si="47"/>
        <v>248</v>
      </c>
      <c r="T250" s="97">
        <f t="shared" si="48"/>
        <v>248</v>
      </c>
    </row>
    <row r="251" spans="1:20" ht="15.75" hidden="1">
      <c r="A251" s="166">
        <v>4</v>
      </c>
      <c r="E251" s="89">
        <v>0.5</v>
      </c>
      <c r="F251" s="262" t="e">
        <f t="shared" si="42"/>
        <v>#NAME?</v>
      </c>
      <c r="G251" s="258">
        <v>575</v>
      </c>
      <c r="H251" s="258">
        <v>286</v>
      </c>
      <c r="I251" s="258">
        <v>311</v>
      </c>
      <c r="J251" s="258">
        <v>248</v>
      </c>
      <c r="K251" s="258">
        <v>224</v>
      </c>
      <c r="L251" s="258">
        <v>174</v>
      </c>
      <c r="M251" s="258">
        <v>590</v>
      </c>
      <c r="N251" s="258">
        <v>540</v>
      </c>
      <c r="O251" s="97">
        <f t="shared" si="43"/>
        <v>540</v>
      </c>
      <c r="P251" s="97">
        <f t="shared" si="44"/>
        <v>286</v>
      </c>
      <c r="Q251" s="97">
        <f t="shared" si="45"/>
        <v>311</v>
      </c>
      <c r="R251" s="97">
        <f t="shared" si="46"/>
        <v>248</v>
      </c>
      <c r="S251" s="97">
        <f t="shared" si="47"/>
        <v>248</v>
      </c>
      <c r="T251" s="97">
        <f t="shared" si="48"/>
        <v>248</v>
      </c>
    </row>
    <row r="252" spans="1:20" ht="15.75" hidden="1">
      <c r="A252" s="166">
        <v>4</v>
      </c>
      <c r="E252" s="89">
        <v>0.6</v>
      </c>
      <c r="F252" s="262" t="e">
        <f t="shared" si="42"/>
        <v>#NAME?</v>
      </c>
      <c r="G252" s="258">
        <v>578</v>
      </c>
      <c r="H252" s="258">
        <v>323</v>
      </c>
      <c r="I252" s="258">
        <v>323</v>
      </c>
      <c r="J252" s="258">
        <v>252</v>
      </c>
      <c r="K252" s="258">
        <v>236</v>
      </c>
      <c r="L252" s="258">
        <v>199</v>
      </c>
      <c r="M252" s="258">
        <v>633</v>
      </c>
      <c r="N252" s="258">
        <v>559</v>
      </c>
      <c r="O252" s="97">
        <f t="shared" si="43"/>
        <v>559</v>
      </c>
      <c r="P252" s="97">
        <f t="shared" si="44"/>
        <v>323</v>
      </c>
      <c r="Q252" s="97">
        <f t="shared" si="45"/>
        <v>323</v>
      </c>
      <c r="R252" s="97">
        <f t="shared" si="46"/>
        <v>252</v>
      </c>
      <c r="S252" s="97">
        <f t="shared" si="47"/>
        <v>252</v>
      </c>
      <c r="T252" s="97">
        <f t="shared" si="48"/>
        <v>252</v>
      </c>
    </row>
    <row r="253" spans="1:20" ht="15.75" hidden="1">
      <c r="A253" s="166">
        <v>4</v>
      </c>
      <c r="E253" s="89">
        <v>0.7</v>
      </c>
      <c r="F253" s="262" t="e">
        <f t="shared" si="42"/>
        <v>#NAME?</v>
      </c>
      <c r="G253" s="258">
        <v>553</v>
      </c>
      <c r="H253" s="258">
        <v>354</v>
      </c>
      <c r="I253" s="258">
        <v>453</v>
      </c>
      <c r="J253" s="258">
        <v>286</v>
      </c>
      <c r="K253" s="258">
        <v>236</v>
      </c>
      <c r="L253" s="258">
        <v>199</v>
      </c>
      <c r="M253" s="258">
        <v>652</v>
      </c>
      <c r="N253" s="258">
        <v>578</v>
      </c>
      <c r="O253" s="97">
        <f t="shared" si="43"/>
        <v>578</v>
      </c>
      <c r="P253" s="97">
        <f t="shared" si="44"/>
        <v>354</v>
      </c>
      <c r="Q253" s="97">
        <f t="shared" si="45"/>
        <v>453</v>
      </c>
      <c r="R253" s="97">
        <f t="shared" si="46"/>
        <v>286</v>
      </c>
      <c r="S253" s="97">
        <f t="shared" si="47"/>
        <v>286</v>
      </c>
      <c r="T253" s="97">
        <f t="shared" si="48"/>
        <v>286</v>
      </c>
    </row>
    <row r="254" spans="1:20" ht="15.75" hidden="1">
      <c r="A254" s="166">
        <v>4</v>
      </c>
      <c r="E254" s="89">
        <v>0.8</v>
      </c>
      <c r="F254" s="262" t="e">
        <f t="shared" si="42"/>
        <v>#NAME?</v>
      </c>
      <c r="G254" s="258">
        <v>664</v>
      </c>
      <c r="H254" s="258">
        <v>428</v>
      </c>
      <c r="I254" s="258">
        <v>491</v>
      </c>
      <c r="J254" s="258">
        <v>422</v>
      </c>
      <c r="K254" s="258">
        <v>348</v>
      </c>
      <c r="L254" s="258">
        <v>224</v>
      </c>
      <c r="M254" s="258">
        <v>689</v>
      </c>
      <c r="N254" s="258">
        <v>590</v>
      </c>
      <c r="O254" s="97">
        <f t="shared" si="43"/>
        <v>590</v>
      </c>
      <c r="P254" s="97">
        <f t="shared" si="44"/>
        <v>428</v>
      </c>
      <c r="Q254" s="97">
        <f t="shared" si="45"/>
        <v>491</v>
      </c>
      <c r="R254" s="97">
        <f t="shared" si="46"/>
        <v>422</v>
      </c>
      <c r="S254" s="97">
        <f t="shared" si="47"/>
        <v>422</v>
      </c>
      <c r="T254" s="97">
        <f t="shared" si="48"/>
        <v>422</v>
      </c>
    </row>
    <row r="255" spans="1:20" ht="15.75" hidden="1">
      <c r="A255" s="166">
        <v>4</v>
      </c>
      <c r="E255" s="89">
        <v>1</v>
      </c>
      <c r="F255" s="262" t="e">
        <f t="shared" si="42"/>
        <v>#NAME?</v>
      </c>
      <c r="G255" s="258">
        <v>826</v>
      </c>
      <c r="H255" s="258">
        <v>540</v>
      </c>
      <c r="I255" s="258">
        <v>509</v>
      </c>
      <c r="J255" s="258">
        <v>410</v>
      </c>
      <c r="K255" s="258">
        <v>385</v>
      </c>
      <c r="L255" s="258">
        <v>224</v>
      </c>
      <c r="M255" s="258">
        <v>733</v>
      </c>
      <c r="N255" s="258">
        <v>609</v>
      </c>
      <c r="O255" s="97">
        <f t="shared" si="43"/>
        <v>609</v>
      </c>
      <c r="P255" s="97">
        <f t="shared" si="44"/>
        <v>540</v>
      </c>
      <c r="Q255" s="97">
        <f t="shared" si="45"/>
        <v>509</v>
      </c>
      <c r="R255" s="97">
        <f t="shared" si="46"/>
        <v>410</v>
      </c>
      <c r="S255" s="97">
        <f t="shared" si="47"/>
        <v>410</v>
      </c>
      <c r="T255" s="97">
        <f t="shared" si="48"/>
        <v>410</v>
      </c>
    </row>
    <row r="256" spans="1:20" ht="15.75" hidden="1">
      <c r="A256" s="166">
        <v>4</v>
      </c>
      <c r="E256" s="89">
        <v>1.1</v>
      </c>
      <c r="F256" s="262" t="e">
        <f t="shared" si="42"/>
        <v>#NAME?</v>
      </c>
      <c r="G256" s="258">
        <v>925</v>
      </c>
      <c r="H256" s="258">
        <v>615</v>
      </c>
      <c r="I256" s="258">
        <v>534</v>
      </c>
      <c r="J256" s="258">
        <v>410</v>
      </c>
      <c r="K256" s="258">
        <v>397</v>
      </c>
      <c r="L256" s="258">
        <v>236</v>
      </c>
      <c r="M256" s="258">
        <v>764</v>
      </c>
      <c r="N256" s="258">
        <v>627</v>
      </c>
      <c r="O256" s="97">
        <f t="shared" si="43"/>
        <v>627</v>
      </c>
      <c r="P256" s="97">
        <f t="shared" si="44"/>
        <v>615</v>
      </c>
      <c r="Q256" s="97">
        <f t="shared" si="45"/>
        <v>534</v>
      </c>
      <c r="R256" s="97">
        <f t="shared" si="46"/>
        <v>410</v>
      </c>
      <c r="S256" s="97">
        <f t="shared" si="47"/>
        <v>410</v>
      </c>
      <c r="T256" s="97">
        <f t="shared" si="48"/>
        <v>410</v>
      </c>
    </row>
    <row r="257" spans="1:20" ht="16.5" hidden="1" thickBot="1">
      <c r="A257" s="166">
        <v>4</v>
      </c>
      <c r="E257" s="90">
        <v>1.2</v>
      </c>
      <c r="F257" s="262" t="e">
        <f t="shared" si="42"/>
        <v>#NAME?</v>
      </c>
      <c r="G257" s="258">
        <v>956</v>
      </c>
      <c r="H257" s="258">
        <v>633</v>
      </c>
      <c r="I257" s="258">
        <v>596</v>
      </c>
      <c r="J257" s="258">
        <v>416</v>
      </c>
      <c r="K257" s="258">
        <v>410</v>
      </c>
      <c r="L257" s="258">
        <v>236</v>
      </c>
      <c r="M257" s="258">
        <v>770</v>
      </c>
      <c r="N257" s="258">
        <v>633</v>
      </c>
      <c r="O257" s="97">
        <f t="shared" si="43"/>
        <v>633</v>
      </c>
      <c r="P257" s="97">
        <f t="shared" si="44"/>
        <v>633</v>
      </c>
      <c r="Q257" s="97">
        <f t="shared" si="45"/>
        <v>596</v>
      </c>
      <c r="R257" s="97">
        <f t="shared" si="46"/>
        <v>416</v>
      </c>
      <c r="S257" s="97">
        <f t="shared" si="47"/>
        <v>416</v>
      </c>
      <c r="T257" s="97">
        <f t="shared" si="48"/>
        <v>416</v>
      </c>
    </row>
    <row r="258" spans="1:20" s="161" customFormat="1" ht="15.75" hidden="1">
      <c r="A258" s="166">
        <v>4</v>
      </c>
      <c r="E258" s="162"/>
      <c r="F258" s="104"/>
      <c r="G258" s="104"/>
      <c r="H258" s="163"/>
      <c r="I258" s="164"/>
      <c r="J258" s="164"/>
      <c r="K258" s="104"/>
      <c r="L258" s="11"/>
      <c r="M258" s="95"/>
      <c r="N258" s="95"/>
      <c r="O258" s="95"/>
      <c r="P258" s="95"/>
      <c r="Q258" s="95"/>
      <c r="R258" s="95"/>
      <c r="S258" s="95"/>
      <c r="T258" s="95"/>
    </row>
    <row r="259" spans="1:20" s="161" customFormat="1" ht="15.75" hidden="1">
      <c r="A259" s="166">
        <v>4</v>
      </c>
      <c r="E259" s="162"/>
      <c r="F259" s="104" t="s">
        <v>381</v>
      </c>
      <c r="G259" s="104" t="e">
        <f>LOOKUP(F292,porantvar4,cod06cargosvar4feb11)</f>
        <v>#NAME?</v>
      </c>
      <c r="H259" s="163"/>
      <c r="I259" s="164"/>
      <c r="J259" s="164"/>
      <c r="K259" s="104"/>
      <c r="L259" s="11"/>
      <c r="M259" s="95"/>
      <c r="N259" s="95"/>
      <c r="O259" s="95"/>
      <c r="P259" s="95"/>
      <c r="Q259" s="95"/>
      <c r="R259" s="95"/>
      <c r="S259" s="95"/>
      <c r="T259" s="95"/>
    </row>
    <row r="260" spans="1:20" s="161" customFormat="1" ht="15.75" hidden="1">
      <c r="A260" s="166"/>
      <c r="E260" s="162"/>
      <c r="F260" s="104"/>
      <c r="G260" s="104"/>
      <c r="H260" s="163"/>
      <c r="I260" s="164"/>
      <c r="J260" s="164"/>
      <c r="K260" s="104"/>
      <c r="L260" s="11"/>
      <c r="M260" s="95"/>
      <c r="N260" s="95"/>
      <c r="O260" s="95"/>
      <c r="P260" s="95"/>
      <c r="Q260" s="95"/>
      <c r="R260" s="95"/>
      <c r="S260" s="95"/>
      <c r="T260" s="95"/>
    </row>
    <row r="261" spans="1:20" ht="16.5" hidden="1" thickBot="1">
      <c r="A261" s="166">
        <v>4</v>
      </c>
      <c r="F261" t="s">
        <v>345</v>
      </c>
      <c r="G261" s="10" t="s">
        <v>347</v>
      </c>
      <c r="H261" s="10" t="s">
        <v>348</v>
      </c>
      <c r="I261" s="94" t="s">
        <v>349</v>
      </c>
      <c r="J261" s="94" t="s">
        <v>350</v>
      </c>
      <c r="K261" s="94" t="s">
        <v>351</v>
      </c>
      <c r="L261" s="94" t="s">
        <v>352</v>
      </c>
      <c r="M261" s="94" t="s">
        <v>353</v>
      </c>
      <c r="N261" s="94" t="s">
        <v>354</v>
      </c>
      <c r="O261" s="96" t="s">
        <v>355</v>
      </c>
      <c r="P261" s="96">
        <v>1</v>
      </c>
      <c r="Q261" s="96">
        <v>2</v>
      </c>
      <c r="R261" s="96">
        <v>3</v>
      </c>
      <c r="S261" s="96">
        <v>4</v>
      </c>
      <c r="T261" s="96">
        <v>5</v>
      </c>
    </row>
    <row r="262" spans="1:20" ht="15.75" hidden="1">
      <c r="A262" s="166">
        <v>4</v>
      </c>
      <c r="E262" s="87">
        <v>0</v>
      </c>
      <c r="F262" s="262" t="e">
        <f aca="true" t="shared" si="49" ref="F262:F273">IF(puntosproljorvarios4&lt;620,T262,O262)</f>
        <v>#NAME?</v>
      </c>
      <c r="G262" s="10">
        <v>499</v>
      </c>
      <c r="H262" s="10">
        <v>121</v>
      </c>
      <c r="I262" s="10">
        <v>0</v>
      </c>
      <c r="J262" s="10">
        <v>0</v>
      </c>
      <c r="K262" s="10">
        <v>0</v>
      </c>
      <c r="L262" s="10">
        <v>0</v>
      </c>
      <c r="M262" s="10">
        <v>121</v>
      </c>
      <c r="N262" s="10">
        <v>121</v>
      </c>
      <c r="O262" s="97">
        <f aca="true" t="shared" si="50" ref="O262:O273">IF(punbasjubvarios4&gt;971,N262,M262)</f>
        <v>121</v>
      </c>
      <c r="P262" s="97">
        <f aca="true" t="shared" si="51" ref="P262:P273">IF(punbasjubvarios4&lt;972,G262,H262)</f>
        <v>121</v>
      </c>
      <c r="Q262" s="97">
        <f aca="true" t="shared" si="52" ref="Q262:Q273">IF(punbasjubvarios4&lt;1170,P262,I262)</f>
        <v>0</v>
      </c>
      <c r="R262" s="97">
        <f aca="true" t="shared" si="53" ref="R262:R273">IF(punbasjubvarios4&lt;1401,Q262,J262)</f>
        <v>0</v>
      </c>
      <c r="S262" s="97">
        <f aca="true" t="shared" si="54" ref="S262:S273">IF(punbasjubvarios4&lt;1943,R262,K262)</f>
        <v>0</v>
      </c>
      <c r="T262" s="97">
        <f aca="true" t="shared" si="55" ref="T262:T273">IF(punbasjubvarios4&lt;=2220,S262,L262)</f>
        <v>0</v>
      </c>
    </row>
    <row r="263" spans="1:20" ht="15.75" hidden="1">
      <c r="A263" s="166">
        <v>4</v>
      </c>
      <c r="E263" s="88">
        <v>0.1</v>
      </c>
      <c r="F263" s="262" t="e">
        <f t="shared" si="49"/>
        <v>#NAME?</v>
      </c>
      <c r="G263" s="10">
        <v>709</v>
      </c>
      <c r="H263" s="10">
        <v>137</v>
      </c>
      <c r="I263" s="10">
        <v>0</v>
      </c>
      <c r="J263" s="10">
        <v>0</v>
      </c>
      <c r="K263" s="10">
        <v>0</v>
      </c>
      <c r="L263" s="10">
        <v>0</v>
      </c>
      <c r="M263" s="10">
        <v>137</v>
      </c>
      <c r="N263" s="10">
        <v>137</v>
      </c>
      <c r="O263" s="97">
        <f t="shared" si="50"/>
        <v>137</v>
      </c>
      <c r="P263" s="97">
        <f t="shared" si="51"/>
        <v>137</v>
      </c>
      <c r="Q263" s="97">
        <f t="shared" si="52"/>
        <v>0</v>
      </c>
      <c r="R263" s="97">
        <f t="shared" si="53"/>
        <v>0</v>
      </c>
      <c r="S263" s="97">
        <f t="shared" si="54"/>
        <v>0</v>
      </c>
      <c r="T263" s="97">
        <f t="shared" si="55"/>
        <v>0</v>
      </c>
    </row>
    <row r="264" spans="1:20" ht="15.75" hidden="1">
      <c r="A264" s="166">
        <v>4</v>
      </c>
      <c r="E264" s="89">
        <v>0.15</v>
      </c>
      <c r="F264" s="262" t="e">
        <f t="shared" si="49"/>
        <v>#NAME?</v>
      </c>
      <c r="G264" s="10">
        <v>860</v>
      </c>
      <c r="H264" s="10">
        <v>273</v>
      </c>
      <c r="I264" s="10">
        <v>364</v>
      </c>
      <c r="J264" s="10">
        <v>293</v>
      </c>
      <c r="K264" s="10">
        <v>273</v>
      </c>
      <c r="L264" s="10">
        <v>0</v>
      </c>
      <c r="M264" s="10">
        <v>333</v>
      </c>
      <c r="N264" s="10">
        <v>333</v>
      </c>
      <c r="O264" s="97">
        <f t="shared" si="50"/>
        <v>333</v>
      </c>
      <c r="P264" s="97">
        <f t="shared" si="51"/>
        <v>273</v>
      </c>
      <c r="Q264" s="97">
        <f t="shared" si="52"/>
        <v>364</v>
      </c>
      <c r="R264" s="97">
        <f t="shared" si="53"/>
        <v>293</v>
      </c>
      <c r="S264" s="97">
        <f t="shared" si="54"/>
        <v>293</v>
      </c>
      <c r="T264" s="97">
        <f t="shared" si="55"/>
        <v>293</v>
      </c>
    </row>
    <row r="265" spans="1:20" ht="15.75" hidden="1">
      <c r="A265" s="166">
        <v>4</v>
      </c>
      <c r="E265" s="89">
        <v>0.3</v>
      </c>
      <c r="F265" s="262" t="e">
        <f t="shared" si="49"/>
        <v>#NAME?</v>
      </c>
      <c r="G265" s="10">
        <v>894</v>
      </c>
      <c r="H265" s="10">
        <v>295</v>
      </c>
      <c r="I265" s="10">
        <v>364</v>
      </c>
      <c r="J265" s="10">
        <v>293</v>
      </c>
      <c r="K265" s="10">
        <v>273</v>
      </c>
      <c r="L265" s="10">
        <v>0</v>
      </c>
      <c r="M265" s="10">
        <v>576</v>
      </c>
      <c r="N265" s="10">
        <v>531</v>
      </c>
      <c r="O265" s="97">
        <f t="shared" si="50"/>
        <v>531</v>
      </c>
      <c r="P265" s="97">
        <f t="shared" si="51"/>
        <v>295</v>
      </c>
      <c r="Q265" s="97">
        <f t="shared" si="52"/>
        <v>364</v>
      </c>
      <c r="R265" s="97">
        <f t="shared" si="53"/>
        <v>293</v>
      </c>
      <c r="S265" s="97">
        <f t="shared" si="54"/>
        <v>293</v>
      </c>
      <c r="T265" s="97">
        <f t="shared" si="55"/>
        <v>293</v>
      </c>
    </row>
    <row r="266" spans="1:20" ht="15.75" hidden="1">
      <c r="A266" s="166">
        <v>4</v>
      </c>
      <c r="E266" s="89">
        <v>0.4</v>
      </c>
      <c r="F266" s="262" t="e">
        <f t="shared" si="49"/>
        <v>#NAME?</v>
      </c>
      <c r="G266" s="10">
        <v>806</v>
      </c>
      <c r="H266" s="10">
        <v>318</v>
      </c>
      <c r="I266" s="10">
        <v>379</v>
      </c>
      <c r="J266" s="10">
        <v>303</v>
      </c>
      <c r="K266" s="10">
        <v>273</v>
      </c>
      <c r="L266" s="10">
        <v>212</v>
      </c>
      <c r="M266" s="10">
        <v>666</v>
      </c>
      <c r="N266" s="10">
        <v>606</v>
      </c>
      <c r="O266" s="97">
        <f t="shared" si="50"/>
        <v>606</v>
      </c>
      <c r="P266" s="97">
        <f t="shared" si="51"/>
        <v>318</v>
      </c>
      <c r="Q266" s="97">
        <f t="shared" si="52"/>
        <v>379</v>
      </c>
      <c r="R266" s="97">
        <f t="shared" si="53"/>
        <v>303</v>
      </c>
      <c r="S266" s="97">
        <f t="shared" si="54"/>
        <v>303</v>
      </c>
      <c r="T266" s="97">
        <f t="shared" si="55"/>
        <v>303</v>
      </c>
    </row>
    <row r="267" spans="1:20" ht="15.75" hidden="1">
      <c r="A267" s="166">
        <v>4</v>
      </c>
      <c r="E267" s="89">
        <v>0.5</v>
      </c>
      <c r="F267" s="262" t="e">
        <f t="shared" si="49"/>
        <v>#NAME?</v>
      </c>
      <c r="G267" s="10">
        <v>702</v>
      </c>
      <c r="H267" s="10">
        <v>349</v>
      </c>
      <c r="I267" s="10">
        <v>379</v>
      </c>
      <c r="J267" s="10">
        <v>303</v>
      </c>
      <c r="K267" s="10">
        <v>273</v>
      </c>
      <c r="L267" s="10">
        <v>212</v>
      </c>
      <c r="M267" s="10">
        <v>720</v>
      </c>
      <c r="N267" s="10">
        <v>659</v>
      </c>
      <c r="O267" s="97">
        <f t="shared" si="50"/>
        <v>659</v>
      </c>
      <c r="P267" s="97">
        <f t="shared" si="51"/>
        <v>349</v>
      </c>
      <c r="Q267" s="97">
        <f t="shared" si="52"/>
        <v>379</v>
      </c>
      <c r="R267" s="97">
        <f t="shared" si="53"/>
        <v>303</v>
      </c>
      <c r="S267" s="97">
        <f t="shared" si="54"/>
        <v>303</v>
      </c>
      <c r="T267" s="97">
        <f t="shared" si="55"/>
        <v>303</v>
      </c>
    </row>
    <row r="268" spans="1:20" ht="15.75" hidden="1">
      <c r="A268" s="166">
        <v>4</v>
      </c>
      <c r="E268" s="89">
        <v>0.6</v>
      </c>
      <c r="F268" s="262" t="e">
        <f t="shared" si="49"/>
        <v>#NAME?</v>
      </c>
      <c r="G268" s="10">
        <v>705</v>
      </c>
      <c r="H268" s="10">
        <v>394</v>
      </c>
      <c r="I268" s="10">
        <v>394</v>
      </c>
      <c r="J268" s="10">
        <v>307</v>
      </c>
      <c r="K268" s="10">
        <v>288</v>
      </c>
      <c r="L268" s="10">
        <v>243</v>
      </c>
      <c r="M268" s="10">
        <v>772</v>
      </c>
      <c r="N268" s="10">
        <v>682</v>
      </c>
      <c r="O268" s="97">
        <f t="shared" si="50"/>
        <v>682</v>
      </c>
      <c r="P268" s="97">
        <f t="shared" si="51"/>
        <v>394</v>
      </c>
      <c r="Q268" s="97">
        <f t="shared" si="52"/>
        <v>394</v>
      </c>
      <c r="R268" s="97">
        <f t="shared" si="53"/>
        <v>307</v>
      </c>
      <c r="S268" s="97">
        <f t="shared" si="54"/>
        <v>307</v>
      </c>
      <c r="T268" s="97">
        <f t="shared" si="55"/>
        <v>307</v>
      </c>
    </row>
    <row r="269" spans="1:20" ht="15.75" hidden="1">
      <c r="A269" s="166">
        <v>4</v>
      </c>
      <c r="E269" s="89">
        <v>0.7</v>
      </c>
      <c r="F269" s="262" t="e">
        <f t="shared" si="49"/>
        <v>#NAME?</v>
      </c>
      <c r="G269" s="10">
        <v>675</v>
      </c>
      <c r="H269" s="10">
        <v>432</v>
      </c>
      <c r="I269" s="10">
        <v>553</v>
      </c>
      <c r="J269" s="10">
        <v>349</v>
      </c>
      <c r="K269" s="10">
        <v>288</v>
      </c>
      <c r="L269" s="10">
        <v>243</v>
      </c>
      <c r="M269" s="10">
        <v>795</v>
      </c>
      <c r="N269" s="10">
        <v>705</v>
      </c>
      <c r="O269" s="97">
        <f t="shared" si="50"/>
        <v>705</v>
      </c>
      <c r="P269" s="97">
        <f t="shared" si="51"/>
        <v>432</v>
      </c>
      <c r="Q269" s="97">
        <f t="shared" si="52"/>
        <v>553</v>
      </c>
      <c r="R269" s="97">
        <f t="shared" si="53"/>
        <v>349</v>
      </c>
      <c r="S269" s="97">
        <f t="shared" si="54"/>
        <v>349</v>
      </c>
      <c r="T269" s="97">
        <f t="shared" si="55"/>
        <v>349</v>
      </c>
    </row>
    <row r="270" spans="1:20" ht="15.75" hidden="1">
      <c r="A270" s="166">
        <v>4</v>
      </c>
      <c r="E270" s="89">
        <v>0.8</v>
      </c>
      <c r="F270" s="262" t="e">
        <f t="shared" si="49"/>
        <v>#NAME?</v>
      </c>
      <c r="G270" s="10">
        <v>810</v>
      </c>
      <c r="H270" s="10">
        <v>522</v>
      </c>
      <c r="I270" s="10">
        <v>599</v>
      </c>
      <c r="J270" s="10">
        <v>515</v>
      </c>
      <c r="K270" s="10">
        <v>425</v>
      </c>
      <c r="L270" s="10">
        <v>273</v>
      </c>
      <c r="M270" s="10">
        <v>841</v>
      </c>
      <c r="N270" s="10">
        <v>720</v>
      </c>
      <c r="O270" s="97">
        <f t="shared" si="50"/>
        <v>720</v>
      </c>
      <c r="P270" s="97">
        <f t="shared" si="51"/>
        <v>522</v>
      </c>
      <c r="Q270" s="97">
        <f t="shared" si="52"/>
        <v>599</v>
      </c>
      <c r="R270" s="97">
        <f t="shared" si="53"/>
        <v>515</v>
      </c>
      <c r="S270" s="97">
        <f t="shared" si="54"/>
        <v>515</v>
      </c>
      <c r="T270" s="97">
        <f t="shared" si="55"/>
        <v>515</v>
      </c>
    </row>
    <row r="271" spans="1:20" ht="15.75" hidden="1">
      <c r="A271" s="166">
        <v>4</v>
      </c>
      <c r="E271" s="89">
        <v>1</v>
      </c>
      <c r="F271" s="262" t="e">
        <f t="shared" si="49"/>
        <v>#NAME?</v>
      </c>
      <c r="G271" s="10">
        <v>1008</v>
      </c>
      <c r="H271" s="10">
        <v>659</v>
      </c>
      <c r="I271" s="10">
        <v>621</v>
      </c>
      <c r="J271" s="10">
        <v>500</v>
      </c>
      <c r="K271" s="10">
        <v>470</v>
      </c>
      <c r="L271" s="10">
        <v>273</v>
      </c>
      <c r="M271" s="10">
        <v>894</v>
      </c>
      <c r="N271" s="10">
        <v>743</v>
      </c>
      <c r="O271" s="97">
        <f t="shared" si="50"/>
        <v>743</v>
      </c>
      <c r="P271" s="97">
        <f t="shared" si="51"/>
        <v>659</v>
      </c>
      <c r="Q271" s="97">
        <f t="shared" si="52"/>
        <v>621</v>
      </c>
      <c r="R271" s="97">
        <f t="shared" si="53"/>
        <v>500</v>
      </c>
      <c r="S271" s="97">
        <f t="shared" si="54"/>
        <v>500</v>
      </c>
      <c r="T271" s="97">
        <f t="shared" si="55"/>
        <v>500</v>
      </c>
    </row>
    <row r="272" spans="1:20" ht="15.75" hidden="1">
      <c r="A272" s="166">
        <v>4</v>
      </c>
      <c r="E272" s="89">
        <v>1.1</v>
      </c>
      <c r="F272" s="262" t="e">
        <f t="shared" si="49"/>
        <v>#NAME?</v>
      </c>
      <c r="G272" s="285">
        <v>1129</v>
      </c>
      <c r="H272" s="286">
        <v>750</v>
      </c>
      <c r="I272" s="10">
        <v>651</v>
      </c>
      <c r="J272" s="10">
        <v>500</v>
      </c>
      <c r="K272" s="10">
        <v>484</v>
      </c>
      <c r="L272" s="10">
        <v>288</v>
      </c>
      <c r="M272" s="10">
        <v>932</v>
      </c>
      <c r="N272" s="10">
        <v>765</v>
      </c>
      <c r="O272" s="97">
        <f t="shared" si="50"/>
        <v>765</v>
      </c>
      <c r="P272" s="97">
        <f t="shared" si="51"/>
        <v>750</v>
      </c>
      <c r="Q272" s="97">
        <f t="shared" si="52"/>
        <v>651</v>
      </c>
      <c r="R272" s="97">
        <f t="shared" si="53"/>
        <v>500</v>
      </c>
      <c r="S272" s="97">
        <f t="shared" si="54"/>
        <v>500</v>
      </c>
      <c r="T272" s="97">
        <f t="shared" si="55"/>
        <v>500</v>
      </c>
    </row>
    <row r="273" spans="1:20" ht="16.5" hidden="1" thickBot="1">
      <c r="A273" s="166">
        <v>4</v>
      </c>
      <c r="E273" s="90">
        <v>1.2</v>
      </c>
      <c r="F273" s="262" t="e">
        <f t="shared" si="49"/>
        <v>#NAME?</v>
      </c>
      <c r="G273" s="10">
        <v>1166</v>
      </c>
      <c r="H273" s="10">
        <v>772</v>
      </c>
      <c r="I273" s="10">
        <v>727</v>
      </c>
      <c r="J273" s="10">
        <v>508</v>
      </c>
      <c r="K273" s="10">
        <v>500</v>
      </c>
      <c r="L273" s="10">
        <v>288</v>
      </c>
      <c r="M273" s="10">
        <v>939</v>
      </c>
      <c r="N273" s="10">
        <v>772</v>
      </c>
      <c r="O273" s="97">
        <f t="shared" si="50"/>
        <v>772</v>
      </c>
      <c r="P273" s="97">
        <f t="shared" si="51"/>
        <v>772</v>
      </c>
      <c r="Q273" s="97">
        <f t="shared" si="52"/>
        <v>727</v>
      </c>
      <c r="R273" s="97">
        <f t="shared" si="53"/>
        <v>508</v>
      </c>
      <c r="S273" s="97">
        <f t="shared" si="54"/>
        <v>508</v>
      </c>
      <c r="T273" s="97">
        <f t="shared" si="55"/>
        <v>508</v>
      </c>
    </row>
    <row r="274" spans="1:20" s="161" customFormat="1" ht="15.75" hidden="1">
      <c r="A274" s="166">
        <v>4</v>
      </c>
      <c r="E274" s="162"/>
      <c r="F274" s="104"/>
      <c r="G274" s="104"/>
      <c r="H274" s="163"/>
      <c r="I274" s="164"/>
      <c r="J274" s="164"/>
      <c r="K274" s="104"/>
      <c r="L274" s="11"/>
      <c r="M274" s="95"/>
      <c r="N274" s="95"/>
      <c r="O274" s="95"/>
      <c r="P274" s="95"/>
      <c r="Q274" s="95"/>
      <c r="R274" s="95"/>
      <c r="S274" s="95"/>
      <c r="T274" s="95"/>
    </row>
    <row r="275" spans="1:20" s="161" customFormat="1" ht="15.75" hidden="1">
      <c r="A275" s="166">
        <v>4</v>
      </c>
      <c r="E275" s="162"/>
      <c r="F275" s="104" t="s">
        <v>382</v>
      </c>
      <c r="G275" s="104" t="e">
        <f>LOOKUP(F292,porantvar4,cod06cargosvar4mar11)</f>
        <v>#NAME?</v>
      </c>
      <c r="H275" s="163"/>
      <c r="I275" s="164"/>
      <c r="J275" s="164"/>
      <c r="K275" s="104"/>
      <c r="L275" s="11"/>
      <c r="M275" s="95"/>
      <c r="N275" s="95"/>
      <c r="O275" s="95"/>
      <c r="P275" s="95"/>
      <c r="Q275" s="95"/>
      <c r="R275" s="95"/>
      <c r="S275" s="95"/>
      <c r="T275" s="95"/>
    </row>
    <row r="276" spans="1:20" s="161" customFormat="1" ht="15.75" hidden="1">
      <c r="A276" s="166"/>
      <c r="E276" s="162"/>
      <c r="F276" s="104"/>
      <c r="G276" s="104"/>
      <c r="H276" s="163"/>
      <c r="I276" s="164"/>
      <c r="J276" s="164"/>
      <c r="K276" s="104"/>
      <c r="L276" s="11"/>
      <c r="M276" s="95"/>
      <c r="N276" s="95"/>
      <c r="O276" s="95"/>
      <c r="P276" s="95"/>
      <c r="Q276" s="95"/>
      <c r="R276" s="95"/>
      <c r="S276" s="95"/>
      <c r="T276" s="95"/>
    </row>
    <row r="277" spans="1:20" s="161" customFormat="1" ht="15.75" hidden="1">
      <c r="A277" s="166"/>
      <c r="E277" s="162"/>
      <c r="F277" s="104"/>
      <c r="G277" s="104"/>
      <c r="H277" s="163"/>
      <c r="I277" s="164"/>
      <c r="J277" s="164"/>
      <c r="K277" s="104"/>
      <c r="L277" s="11"/>
      <c r="M277" s="95"/>
      <c r="N277" s="95"/>
      <c r="O277" s="95"/>
      <c r="P277" s="95"/>
      <c r="Q277" s="95"/>
      <c r="R277" s="95"/>
      <c r="S277" s="95"/>
      <c r="T277" s="95"/>
    </row>
    <row r="278" s="166" customFormat="1" ht="12.75" hidden="1">
      <c r="A278" s="166">
        <v>4</v>
      </c>
    </row>
    <row r="279" ht="12.75" hidden="1">
      <c r="A279" s="166">
        <v>4</v>
      </c>
    </row>
    <row r="280" spans="1:15" ht="12.75">
      <c r="A280" s="200">
        <v>4</v>
      </c>
      <c r="B280" s="201"/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</row>
    <row r="281" spans="1:17" ht="20.25">
      <c r="A281" s="200">
        <v>4</v>
      </c>
      <c r="B281" s="132"/>
      <c r="C281" s="133"/>
      <c r="D281" s="133"/>
      <c r="E281" s="53" t="s">
        <v>340</v>
      </c>
      <c r="F281" s="10"/>
      <c r="G281" s="10"/>
      <c r="H281" s="133"/>
      <c r="I281" s="133"/>
      <c r="J281" s="133"/>
      <c r="K281" s="133"/>
      <c r="L281" s="133"/>
      <c r="M281" s="133"/>
      <c r="N281" s="131"/>
      <c r="O281" s="208"/>
      <c r="P281" s="104"/>
      <c r="Q281" s="104"/>
    </row>
    <row r="282" spans="1:17" ht="12.75">
      <c r="A282" s="200">
        <v>4</v>
      </c>
      <c r="B282" s="132"/>
      <c r="C282" s="132"/>
      <c r="D282" s="132"/>
      <c r="E282" s="132"/>
      <c r="F282" s="132"/>
      <c r="G282" s="132"/>
      <c r="H282" s="203"/>
      <c r="I282" s="132"/>
      <c r="J282" s="132"/>
      <c r="K282" s="132"/>
      <c r="L282" s="132"/>
      <c r="M282" s="132"/>
      <c r="N282" s="131"/>
      <c r="O282" s="208"/>
      <c r="P282" s="104"/>
      <c r="Q282" s="104"/>
    </row>
    <row r="283" spans="1:17" ht="12.75">
      <c r="A283" s="200">
        <v>4</v>
      </c>
      <c r="B283" s="201"/>
      <c r="C283" s="201"/>
      <c r="D283" s="36" t="s">
        <v>30</v>
      </c>
      <c r="E283" s="36" t="s">
        <v>309</v>
      </c>
      <c r="F283" s="36" t="s">
        <v>310</v>
      </c>
      <c r="G283" s="36" t="s">
        <v>311</v>
      </c>
      <c r="H283" s="36" t="s">
        <v>312</v>
      </c>
      <c r="I283" s="73" t="s">
        <v>356</v>
      </c>
      <c r="J283" s="315" t="s">
        <v>383</v>
      </c>
      <c r="K283" s="132"/>
      <c r="L283" s="132"/>
      <c r="M283" s="132"/>
      <c r="N283" s="131"/>
      <c r="O283" s="208"/>
      <c r="P283" s="104"/>
      <c r="Q283" s="104"/>
    </row>
    <row r="284" spans="1:17" ht="16.5" thickBot="1">
      <c r="A284" s="200">
        <v>4</v>
      </c>
      <c r="B284" s="201"/>
      <c r="C284" s="201"/>
      <c r="D284" s="82">
        <v>727</v>
      </c>
      <c r="E284" s="54">
        <f>LOOKUP(D284,[0]!numerocargo,[0]!puntosbasicoscargo)</f>
        <v>1600</v>
      </c>
      <c r="F284" s="54" t="e">
        <f>LOOKUP(D284,[0]!numerocargo,[0]!tardifcargo)</f>
        <v>#NAME?</v>
      </c>
      <c r="G284" s="54">
        <f>LOOKUP(D284,[0]!numerocargo,[0]!proljorcargo)</f>
        <v>1921</v>
      </c>
      <c r="H284" s="54" t="e">
        <f>LOOKUP(D284,[0]!numerocargo,[0]!jorcomcargo)</f>
        <v>#NAME?</v>
      </c>
      <c r="I284" s="36">
        <f>LOOKUP(D284,Cargos!A1:A338,puntoscompbasico)</f>
        <v>76</v>
      </c>
      <c r="J284" s="314" t="e">
        <f>LOOKUP(D284,Cargos!A1:A338,puntosadicdir)</f>
        <v>#REF!</v>
      </c>
      <c r="K284" s="132"/>
      <c r="L284" s="132"/>
      <c r="M284" s="132"/>
      <c r="N284" s="131"/>
      <c r="O284" s="208"/>
      <c r="P284" s="104"/>
      <c r="Q284" s="104"/>
    </row>
    <row r="285" spans="1:17" ht="13.5" thickBot="1">
      <c r="A285" s="200">
        <v>4</v>
      </c>
      <c r="B285" s="201"/>
      <c r="C285" s="201"/>
      <c r="D285" s="55" t="s">
        <v>31</v>
      </c>
      <c r="E285" s="56" t="str">
        <f>LOOKUP(D284,[0]!numerocargo,[0]!nombrecargo)</f>
        <v> VICEDIRECTOR ESCUELA 2DA CATEGORIA</v>
      </c>
      <c r="F285" s="35"/>
      <c r="G285" s="35"/>
      <c r="H285" s="44"/>
      <c r="I285" s="132"/>
      <c r="J285" s="132"/>
      <c r="K285" s="132"/>
      <c r="L285" s="132"/>
      <c r="M285" s="132"/>
      <c r="N285" s="131"/>
      <c r="O285" s="208"/>
      <c r="P285" s="104"/>
      <c r="Q285" s="104"/>
    </row>
    <row r="286" spans="1:17" ht="13.5" thickBot="1">
      <c r="A286" s="200">
        <v>4</v>
      </c>
      <c r="B286" s="201"/>
      <c r="C286" s="201"/>
      <c r="D286" s="202"/>
      <c r="E286" s="203"/>
      <c r="F286" s="132"/>
      <c r="G286" s="132"/>
      <c r="H286" s="132"/>
      <c r="I286" s="91" t="s">
        <v>330</v>
      </c>
      <c r="J286" s="209"/>
      <c r="K286" s="209"/>
      <c r="L286" s="209"/>
      <c r="M286" s="132"/>
      <c r="N286" s="132"/>
      <c r="O286" s="132"/>
      <c r="P286" s="10"/>
      <c r="Q286" s="10"/>
    </row>
    <row r="287" spans="1:17" ht="19.5" thickBot="1" thickTop="1">
      <c r="A287" s="200">
        <v>4</v>
      </c>
      <c r="B287" s="201"/>
      <c r="C287" s="201"/>
      <c r="D287" s="105" t="s">
        <v>324</v>
      </c>
      <c r="E287" s="86"/>
      <c r="F287" s="86"/>
      <c r="G287" s="86"/>
      <c r="H287" s="106">
        <v>10</v>
      </c>
      <c r="I287" s="92">
        <f>H287/120</f>
        <v>0.08333333333333333</v>
      </c>
      <c r="J287" s="203"/>
      <c r="K287" s="203"/>
      <c r="L287" s="203"/>
      <c r="M287" s="132"/>
      <c r="N287" s="132"/>
      <c r="O287" s="132"/>
      <c r="P287" s="10"/>
      <c r="Q287" s="10"/>
    </row>
    <row r="288" spans="1:17" ht="17.25" thickBot="1" thickTop="1">
      <c r="A288" s="200">
        <v>4</v>
      </c>
      <c r="B288" s="202"/>
      <c r="C288" s="203"/>
      <c r="D288" s="132"/>
      <c r="E288" s="132"/>
      <c r="F288" s="247"/>
      <c r="G288" s="132"/>
      <c r="H288" s="326"/>
      <c r="I288" s="132"/>
      <c r="J288" s="132"/>
      <c r="K288" s="132"/>
      <c r="L288" s="132"/>
      <c r="M288" s="132"/>
      <c r="N288" s="132"/>
      <c r="O288" s="132"/>
      <c r="P288" s="10"/>
      <c r="Q288" s="10"/>
    </row>
    <row r="289" spans="1:17" ht="17.25" thickBot="1" thickTop="1">
      <c r="A289" s="200">
        <v>4</v>
      </c>
      <c r="B289" s="202"/>
      <c r="C289" s="201"/>
      <c r="D289" s="85" t="s">
        <v>332</v>
      </c>
      <c r="E289" s="93">
        <v>0</v>
      </c>
      <c r="F289" s="247"/>
      <c r="G289" s="132"/>
      <c r="H289" s="203"/>
      <c r="I289" s="132"/>
      <c r="J289" s="132"/>
      <c r="K289" s="132"/>
      <c r="L289" s="132"/>
      <c r="M289" s="132"/>
      <c r="N289" s="132"/>
      <c r="O289" s="132"/>
      <c r="P289" s="10"/>
      <c r="Q289" s="10"/>
    </row>
    <row r="290" spans="1:17" ht="14.25" thickBot="1" thickTop="1">
      <c r="A290" s="200">
        <v>4</v>
      </c>
      <c r="B290" s="202"/>
      <c r="C290" s="203"/>
      <c r="D290" s="132"/>
      <c r="E290" s="132"/>
      <c r="F290" s="132"/>
      <c r="G290" s="132"/>
      <c r="H290" s="203"/>
      <c r="I290" s="132"/>
      <c r="J290" s="132"/>
      <c r="K290" s="132"/>
      <c r="L290" s="132"/>
      <c r="M290" s="132"/>
      <c r="N290" s="132"/>
      <c r="O290" s="132"/>
      <c r="P290" s="10"/>
      <c r="Q290" s="10"/>
    </row>
    <row r="291" spans="1:17" ht="16.5" thickBot="1">
      <c r="A291" s="200">
        <v>4</v>
      </c>
      <c r="B291" s="132"/>
      <c r="C291" s="133"/>
      <c r="D291" s="57" t="s">
        <v>8</v>
      </c>
      <c r="E291" s="35"/>
      <c r="F291" s="58" t="e">
        <f>E284*indicesep2010</f>
        <v>#NAME?</v>
      </c>
      <c r="G291" s="10"/>
      <c r="H291" s="10"/>
      <c r="I291" s="133"/>
      <c r="J291" s="133"/>
      <c r="K291" s="133"/>
      <c r="L291" s="133"/>
      <c r="M291" s="134"/>
      <c r="N291" s="134"/>
      <c r="O291" s="133"/>
      <c r="P291" s="10"/>
      <c r="Q291" s="10"/>
    </row>
    <row r="292" spans="1:17" ht="16.5" thickBot="1">
      <c r="A292" s="200">
        <v>4</v>
      </c>
      <c r="B292" s="132"/>
      <c r="C292" s="133"/>
      <c r="D292" s="57" t="s">
        <v>9</v>
      </c>
      <c r="E292" s="35"/>
      <c r="F292" s="84">
        <v>1.2</v>
      </c>
      <c r="G292" s="10" t="s">
        <v>10</v>
      </c>
      <c r="H292" s="10"/>
      <c r="I292" s="133"/>
      <c r="J292" s="133"/>
      <c r="K292" s="133"/>
      <c r="L292" s="133"/>
      <c r="M292" s="133"/>
      <c r="N292" s="134"/>
      <c r="O292" s="133"/>
      <c r="P292" s="10"/>
      <c r="Q292" s="10"/>
    </row>
    <row r="293" spans="1:17" ht="15.75">
      <c r="A293" s="200">
        <v>4</v>
      </c>
      <c r="B293" s="132"/>
      <c r="C293" s="133"/>
      <c r="D293" s="132"/>
      <c r="E293" s="132"/>
      <c r="F293" s="135"/>
      <c r="G293" s="133"/>
      <c r="H293" s="133"/>
      <c r="I293" s="133"/>
      <c r="J293" s="133"/>
      <c r="K293" s="133"/>
      <c r="L293" s="133"/>
      <c r="M293" s="133"/>
      <c r="N293" s="136"/>
      <c r="O293" s="133"/>
      <c r="P293" s="10"/>
      <c r="Q293" s="10"/>
    </row>
    <row r="294" spans="1:17" ht="18.75" hidden="1" thickBot="1">
      <c r="A294" s="200">
        <v>4</v>
      </c>
      <c r="B294" s="132"/>
      <c r="C294" s="133"/>
      <c r="D294" s="60" t="s">
        <v>11</v>
      </c>
      <c r="E294" s="60"/>
      <c r="F294" s="61">
        <f>E284</f>
        <v>1600</v>
      </c>
      <c r="G294" s="10" t="s">
        <v>12</v>
      </c>
      <c r="H294" s="133"/>
      <c r="I294" s="59" t="e">
        <f>H284+G284</f>
        <v>#NAME?</v>
      </c>
      <c r="J294" s="134"/>
      <c r="K294" s="134"/>
      <c r="L294" s="134"/>
      <c r="M294" s="132"/>
      <c r="N294" s="133"/>
      <c r="O294" s="133"/>
      <c r="P294" s="10"/>
      <c r="Q294" s="10"/>
    </row>
    <row r="295" spans="1:17" ht="15.75" hidden="1">
      <c r="A295" s="200">
        <v>4</v>
      </c>
      <c r="B295" s="132"/>
      <c r="C295" s="133"/>
      <c r="D295" s="132"/>
      <c r="E295" s="132"/>
      <c r="F295" s="135"/>
      <c r="G295" s="133"/>
      <c r="H295" s="133"/>
      <c r="I295" s="132"/>
      <c r="J295" s="132"/>
      <c r="K295" s="132"/>
      <c r="L295" s="132"/>
      <c r="M295" s="248"/>
      <c r="N295" s="133"/>
      <c r="O295" s="133"/>
      <c r="P295" s="10"/>
      <c r="Q295" s="10"/>
    </row>
    <row r="296" spans="1:15" ht="15.75" hidden="1">
      <c r="A296" s="200">
        <v>4</v>
      </c>
      <c r="B296" s="132"/>
      <c r="C296" s="133"/>
      <c r="D296" s="10"/>
      <c r="E296" s="98" t="s">
        <v>373</v>
      </c>
      <c r="F296" s="10"/>
      <c r="G296" s="102"/>
      <c r="H296" s="10"/>
      <c r="I296" s="98" t="s">
        <v>374</v>
      </c>
      <c r="J296" s="10"/>
      <c r="K296" s="201"/>
      <c r="L296" s="11"/>
      <c r="M296" s="297"/>
      <c r="N296" s="11"/>
      <c r="O296" s="201"/>
    </row>
    <row r="297" spans="1:15" ht="12.75" hidden="1">
      <c r="A297" s="200">
        <v>4</v>
      </c>
      <c r="B297" s="132"/>
      <c r="C297" s="201"/>
      <c r="D297" s="16">
        <v>400</v>
      </c>
      <c r="E297" s="16" t="s">
        <v>13</v>
      </c>
      <c r="F297" s="62" t="e">
        <f>punbasjubvarios4*indicesep2010*porjubvarcar*frac4</f>
        <v>#NAME?</v>
      </c>
      <c r="G297" s="201"/>
      <c r="H297" s="16">
        <v>400</v>
      </c>
      <c r="I297" s="16" t="s">
        <v>13</v>
      </c>
      <c r="J297" s="62" t="e">
        <f>punbasjubvarios4*indicemar2011*porjubvarcar*frac4</f>
        <v>#NAME?</v>
      </c>
      <c r="K297" s="201"/>
      <c r="L297" s="11"/>
      <c r="M297" s="11"/>
      <c r="N297" s="298"/>
      <c r="O297" s="201"/>
    </row>
    <row r="298" spans="1:15" ht="12.75" hidden="1">
      <c r="A298" s="200">
        <v>4</v>
      </c>
      <c r="B298" s="132"/>
      <c r="C298" s="201"/>
      <c r="D298" s="16">
        <v>542</v>
      </c>
      <c r="E298" s="16" t="s">
        <v>360</v>
      </c>
      <c r="F298" s="160" t="e">
        <f>compbasicovarios4*indicesep2010*porjubvarcar*frac4</f>
        <v>#NAME?</v>
      </c>
      <c r="G298" s="201"/>
      <c r="H298" s="16">
        <v>542</v>
      </c>
      <c r="I298" s="16" t="s">
        <v>360</v>
      </c>
      <c r="J298" s="160" t="e">
        <f>compbasicovarios4*indicemar2011*porjubvarcar*frac4</f>
        <v>#NAME?</v>
      </c>
      <c r="K298" s="201"/>
      <c r="L298" s="11"/>
      <c r="M298" s="11"/>
      <c r="N298" s="298"/>
      <c r="O298" s="201"/>
    </row>
    <row r="299" spans="1:15" ht="12.75" hidden="1">
      <c r="A299" s="200"/>
      <c r="B299" s="132"/>
      <c r="C299" s="201"/>
      <c r="D299" s="287"/>
      <c r="E299" s="287"/>
      <c r="F299" s="316"/>
      <c r="G299" s="201"/>
      <c r="H299" s="288" t="s">
        <v>372</v>
      </c>
      <c r="I299" s="289" t="s">
        <v>371</v>
      </c>
      <c r="J299" s="313" t="e">
        <f>adicdirvarios4*indicemar2011*porjubvarcar*frac4</f>
        <v>#REF!</v>
      </c>
      <c r="K299" s="201"/>
      <c r="L299" s="11"/>
      <c r="M299" s="11"/>
      <c r="N299" s="298"/>
      <c r="O299" s="201"/>
    </row>
    <row r="300" spans="1:14" ht="12.75" hidden="1">
      <c r="A300" s="200">
        <v>4</v>
      </c>
      <c r="B300" s="132"/>
      <c r="C300" s="201"/>
      <c r="D300" s="16">
        <v>404</v>
      </c>
      <c r="E300" s="16" t="s">
        <v>314</v>
      </c>
      <c r="F300" s="62" t="e">
        <f>puntardifvar4*indicesep2010*porjubvarcar*frac4</f>
        <v>#NAME?</v>
      </c>
      <c r="G300" s="201"/>
      <c r="H300" s="16">
        <v>404</v>
      </c>
      <c r="I300" s="16" t="s">
        <v>314</v>
      </c>
      <c r="J300" s="62" t="e">
        <f>puntardifvar4*indicemar2011*porjubvarcar*frac4</f>
        <v>#NAME?</v>
      </c>
      <c r="L300" s="11"/>
      <c r="M300" s="11"/>
      <c r="N300" s="298"/>
    </row>
    <row r="301" spans="1:14" ht="12.75" hidden="1">
      <c r="A301" s="200">
        <v>4</v>
      </c>
      <c r="B301" s="132"/>
      <c r="C301" s="201"/>
      <c r="D301" s="16">
        <v>406</v>
      </c>
      <c r="E301" s="16" t="s">
        <v>14</v>
      </c>
      <c r="F301" s="62" t="e">
        <f>(F297+F298+F300+F303)*F292</f>
        <v>#NAME?</v>
      </c>
      <c r="G301" s="201"/>
      <c r="H301" s="16">
        <v>406</v>
      </c>
      <c r="I301" s="16" t="s">
        <v>14</v>
      </c>
      <c r="J301" s="62" t="e">
        <f>(J297+J298+J300+J303)*F292</f>
        <v>#NAME?</v>
      </c>
      <c r="L301" s="11"/>
      <c r="M301" s="11"/>
      <c r="N301" s="298"/>
    </row>
    <row r="302" spans="1:14" ht="12.75" hidden="1">
      <c r="A302" s="200">
        <v>4</v>
      </c>
      <c r="B302" s="132"/>
      <c r="C302" s="201"/>
      <c r="D302" s="16">
        <v>408</v>
      </c>
      <c r="E302" s="16" t="s">
        <v>331</v>
      </c>
      <c r="F302" s="62" t="e">
        <f>(F297+F298+F300+F303)*E289</f>
        <v>#NAME?</v>
      </c>
      <c r="G302" s="201"/>
      <c r="H302" s="16">
        <v>408</v>
      </c>
      <c r="I302" s="16" t="s">
        <v>331</v>
      </c>
      <c r="J302" s="62" t="e">
        <f>(J297+J298+J300+J303)*E289</f>
        <v>#NAME?</v>
      </c>
      <c r="L302" s="11"/>
      <c r="M302" s="11"/>
      <c r="N302" s="298"/>
    </row>
    <row r="303" spans="1:14" ht="12.75" hidden="1">
      <c r="A303" s="200">
        <v>4</v>
      </c>
      <c r="B303" s="132"/>
      <c r="C303" s="201"/>
      <c r="D303" s="16">
        <v>416</v>
      </c>
      <c r="E303" s="70" t="s">
        <v>315</v>
      </c>
      <c r="F303" s="62" t="e">
        <f>puntosproljorvarios4*proljorsep2010*porjubvarcar*frac4</f>
        <v>#NAME?</v>
      </c>
      <c r="G303" s="201"/>
      <c r="H303" s="16">
        <v>416</v>
      </c>
      <c r="I303" s="70" t="s">
        <v>315</v>
      </c>
      <c r="J303" s="62" t="e">
        <f>puntosproljorvarios4*proljormar2011*porjubvarcar*frac4</f>
        <v>#NAME?</v>
      </c>
      <c r="L303" s="11"/>
      <c r="M303" s="295"/>
      <c r="N303" s="298"/>
    </row>
    <row r="304" spans="1:14" ht="12.75" hidden="1">
      <c r="A304" s="200">
        <v>4</v>
      </c>
      <c r="B304" s="132"/>
      <c r="C304" s="201"/>
      <c r="D304" s="16">
        <v>432</v>
      </c>
      <c r="E304" s="16" t="s">
        <v>329</v>
      </c>
      <c r="F304" s="62" t="e">
        <f>cod06feb11varios4*porjubvarcar*frac4</f>
        <v>#NAME?</v>
      </c>
      <c r="G304" s="201"/>
      <c r="H304" s="16">
        <v>432</v>
      </c>
      <c r="I304" s="16" t="s">
        <v>329</v>
      </c>
      <c r="J304" s="62" t="e">
        <f>cod06mar11varios4*porjubvarcar*frac4</f>
        <v>#NAME?</v>
      </c>
      <c r="L304" s="11"/>
      <c r="M304" s="11"/>
      <c r="N304" s="298"/>
    </row>
    <row r="305" spans="1:14" ht="12.75" hidden="1">
      <c r="A305" s="200">
        <v>4</v>
      </c>
      <c r="B305" s="132"/>
      <c r="C305" s="201"/>
      <c r="D305" s="16">
        <v>434</v>
      </c>
      <c r="E305" s="16" t="s">
        <v>313</v>
      </c>
      <c r="F305" s="62" t="e">
        <f>(F297+F298+F300+F301+F303+F304+F302)*0.07*0.95</f>
        <v>#NAME?</v>
      </c>
      <c r="G305" s="201"/>
      <c r="H305" s="16">
        <v>434</v>
      </c>
      <c r="I305" s="16" t="s">
        <v>313</v>
      </c>
      <c r="J305" s="62" t="e">
        <f>(J297+J298+J300+J301+J303+J304+J302)*0.07*0.95</f>
        <v>#NAME?</v>
      </c>
      <c r="L305" s="11"/>
      <c r="M305" s="11"/>
      <c r="N305" s="298"/>
    </row>
    <row r="306" spans="1:14" ht="12.75" hidden="1">
      <c r="A306" s="200">
        <v>4</v>
      </c>
      <c r="B306" s="132"/>
      <c r="C306" s="201"/>
      <c r="D306" s="16"/>
      <c r="E306" s="64"/>
      <c r="F306" s="110"/>
      <c r="G306" s="201"/>
      <c r="H306" s="16"/>
      <c r="I306" s="64"/>
      <c r="J306" s="110"/>
      <c r="L306" s="11"/>
      <c r="M306" s="11"/>
      <c r="N306" s="298"/>
    </row>
    <row r="307" spans="1:14" ht="13.5" hidden="1" thickBot="1">
      <c r="A307" s="200">
        <v>4</v>
      </c>
      <c r="B307" s="132"/>
      <c r="C307" s="201"/>
      <c r="D307" s="16"/>
      <c r="E307" s="64" t="s">
        <v>327</v>
      </c>
      <c r="F307" s="83">
        <v>0</v>
      </c>
      <c r="G307" s="201"/>
      <c r="H307" s="16"/>
      <c r="I307" s="64" t="s">
        <v>327</v>
      </c>
      <c r="J307" s="83">
        <v>0</v>
      </c>
      <c r="L307" s="11"/>
      <c r="M307" s="11"/>
      <c r="N307" s="308"/>
    </row>
    <row r="308" spans="1:14" ht="16.5" hidden="1" thickBot="1">
      <c r="A308" s="200">
        <v>4</v>
      </c>
      <c r="B308" s="132"/>
      <c r="C308" s="201"/>
      <c r="D308" s="65"/>
      <c r="E308" s="66" t="s">
        <v>15</v>
      </c>
      <c r="F308" s="67" t="e">
        <f>SUM(F297:F307)</f>
        <v>#NAME?</v>
      </c>
      <c r="G308" s="201"/>
      <c r="H308" s="65"/>
      <c r="I308" s="66" t="s">
        <v>15</v>
      </c>
      <c r="J308" s="67" t="e">
        <f>SUM(J297:J307)</f>
        <v>#NAME?</v>
      </c>
      <c r="L308" s="11"/>
      <c r="M308" s="48"/>
      <c r="N308" s="306"/>
    </row>
    <row r="309" spans="1:14" ht="12.75" hidden="1">
      <c r="A309" s="200">
        <v>4</v>
      </c>
      <c r="B309" s="132"/>
      <c r="C309" s="201"/>
      <c r="D309" s="16">
        <v>703</v>
      </c>
      <c r="E309" s="68" t="s">
        <v>316</v>
      </c>
      <c r="F309" s="69" t="e">
        <f>(F308-F307)*0.0025</f>
        <v>#NAME?</v>
      </c>
      <c r="G309" s="201"/>
      <c r="H309" s="16">
        <v>703</v>
      </c>
      <c r="I309" s="68" t="s">
        <v>316</v>
      </c>
      <c r="J309" s="69" t="e">
        <f>(J308-J307)*0.0025</f>
        <v>#NAME?</v>
      </c>
      <c r="L309" s="11"/>
      <c r="M309" s="301"/>
      <c r="N309" s="302"/>
    </row>
    <row r="310" spans="1:14" ht="12.75" hidden="1">
      <c r="A310" s="200">
        <v>4</v>
      </c>
      <c r="B310" s="132"/>
      <c r="C310" s="201"/>
      <c r="D310" s="17">
        <v>707</v>
      </c>
      <c r="E310" s="70" t="s">
        <v>17</v>
      </c>
      <c r="F310" s="15" t="e">
        <f>(F308-F307)*0.03</f>
        <v>#NAME?</v>
      </c>
      <c r="G310" s="201"/>
      <c r="H310" s="17">
        <v>707</v>
      </c>
      <c r="I310" s="70" t="s">
        <v>17</v>
      </c>
      <c r="J310" s="15" t="e">
        <f>(J308-J307)*0.03</f>
        <v>#NAME?</v>
      </c>
      <c r="L310" s="11"/>
      <c r="M310" s="295"/>
      <c r="N310" s="302"/>
    </row>
    <row r="311" spans="1:14" ht="12.75" hidden="1">
      <c r="A311" s="200">
        <v>4</v>
      </c>
      <c r="B311" s="132"/>
      <c r="C311" s="201"/>
      <c r="D311" s="17">
        <v>709</v>
      </c>
      <c r="E311" s="70" t="s">
        <v>18</v>
      </c>
      <c r="F311" s="15" t="e">
        <f>(F308-F307)*0.0213</f>
        <v>#NAME?</v>
      </c>
      <c r="G311" s="201"/>
      <c r="H311" s="17">
        <v>709</v>
      </c>
      <c r="I311" s="70" t="s">
        <v>18</v>
      </c>
      <c r="J311" s="15" t="e">
        <f>(J308-J307)*0.0213</f>
        <v>#NAME?</v>
      </c>
      <c r="L311" s="11"/>
      <c r="M311" s="295"/>
      <c r="N311" s="302"/>
    </row>
    <row r="312" spans="1:14" ht="12.75" hidden="1">
      <c r="A312" s="200">
        <v>4</v>
      </c>
      <c r="B312" s="132"/>
      <c r="C312" s="201"/>
      <c r="D312" s="14">
        <v>710</v>
      </c>
      <c r="E312" s="70" t="s">
        <v>19</v>
      </c>
      <c r="F312" s="15" t="e">
        <f>(F308-F307)*0.00754</f>
        <v>#NAME?</v>
      </c>
      <c r="G312" s="201"/>
      <c r="H312" s="14">
        <v>710</v>
      </c>
      <c r="I312" s="70" t="s">
        <v>19</v>
      </c>
      <c r="J312" s="15" t="e">
        <f>(J308-J307)*0.00754</f>
        <v>#NAME?</v>
      </c>
      <c r="L312" s="295"/>
      <c r="M312" s="295"/>
      <c r="N312" s="302"/>
    </row>
    <row r="313" spans="1:14" ht="12.75" hidden="1">
      <c r="A313" s="200">
        <v>4</v>
      </c>
      <c r="B313" s="132"/>
      <c r="C313" s="201"/>
      <c r="D313" s="14">
        <v>713</v>
      </c>
      <c r="E313" s="70" t="s">
        <v>20</v>
      </c>
      <c r="F313" s="15" t="e">
        <f>(F308-F307)*0.007</f>
        <v>#NAME?</v>
      </c>
      <c r="G313" s="201"/>
      <c r="H313" s="14">
        <v>713</v>
      </c>
      <c r="I313" s="70" t="s">
        <v>20</v>
      </c>
      <c r="J313" s="15" t="e">
        <f>(J308-J307)*0.007</f>
        <v>#NAME?</v>
      </c>
      <c r="L313" s="295"/>
      <c r="M313" s="295"/>
      <c r="N313" s="302"/>
    </row>
    <row r="314" spans="1:14" ht="13.5" hidden="1" thickBot="1">
      <c r="A314" s="200">
        <v>4</v>
      </c>
      <c r="B314" s="132"/>
      <c r="C314" s="201"/>
      <c r="D314" s="14"/>
      <c r="E314" s="71" t="s">
        <v>21</v>
      </c>
      <c r="F314" s="39">
        <v>0</v>
      </c>
      <c r="G314" s="201"/>
      <c r="H314" s="14"/>
      <c r="I314" s="71" t="s">
        <v>21</v>
      </c>
      <c r="J314" s="39">
        <v>0</v>
      </c>
      <c r="L314" s="295"/>
      <c r="M314" s="295"/>
      <c r="N314" s="309"/>
    </row>
    <row r="315" spans="1:14" ht="16.5" hidden="1" thickBot="1">
      <c r="A315" s="200">
        <v>4</v>
      </c>
      <c r="B315" s="132"/>
      <c r="C315" s="201"/>
      <c r="D315" s="72"/>
      <c r="E315" s="66" t="s">
        <v>22</v>
      </c>
      <c r="F315" s="67" t="e">
        <f>SUM(F309:F314)</f>
        <v>#NAME?</v>
      </c>
      <c r="G315" s="201"/>
      <c r="H315" s="72"/>
      <c r="I315" s="66" t="s">
        <v>22</v>
      </c>
      <c r="J315" s="67" t="e">
        <f>SUM(J309:J314)</f>
        <v>#NAME?</v>
      </c>
      <c r="L315" s="11"/>
      <c r="M315" s="48"/>
      <c r="N315" s="306"/>
    </row>
    <row r="316" spans="1:14" ht="13.5" hidden="1" thickBot="1">
      <c r="A316" s="200">
        <v>4</v>
      </c>
      <c r="B316" s="132"/>
      <c r="C316" s="201"/>
      <c r="D316" s="73"/>
      <c r="E316" s="74"/>
      <c r="F316" s="75"/>
      <c r="G316" s="201"/>
      <c r="H316" s="73"/>
      <c r="I316" s="74"/>
      <c r="J316" s="75"/>
      <c r="L316" s="48"/>
      <c r="M316" s="11"/>
      <c r="N316" s="310"/>
    </row>
    <row r="317" spans="1:14" ht="16.5" hidden="1" thickBot="1">
      <c r="A317" s="200">
        <v>4</v>
      </c>
      <c r="B317" s="133"/>
      <c r="C317" s="201"/>
      <c r="D317" s="76"/>
      <c r="E317" s="77" t="s">
        <v>23</v>
      </c>
      <c r="F317" s="78" t="e">
        <f>F308-F315</f>
        <v>#NAME?</v>
      </c>
      <c r="G317" s="201"/>
      <c r="H317" s="76"/>
      <c r="I317" s="77" t="s">
        <v>23</v>
      </c>
      <c r="J317" s="78" t="e">
        <f>J308-J315</f>
        <v>#NAME?</v>
      </c>
      <c r="L317" s="170"/>
      <c r="M317" s="305"/>
      <c r="N317" s="311"/>
    </row>
    <row r="318" spans="1:7" s="166" customFormat="1" ht="12.75" hidden="1">
      <c r="A318" s="200">
        <v>4</v>
      </c>
      <c r="B318" s="132"/>
      <c r="C318" s="204"/>
      <c r="G318" s="200"/>
    </row>
    <row r="319" spans="1:15" ht="15.75" hidden="1">
      <c r="A319" s="200">
        <v>4</v>
      </c>
      <c r="B319" s="133"/>
      <c r="C319" s="133"/>
      <c r="D319" s="205"/>
      <c r="E319" s="206"/>
      <c r="F319" s="207"/>
      <c r="G319" s="133"/>
      <c r="H319" s="205"/>
      <c r="I319" s="206"/>
      <c r="J319" s="207"/>
      <c r="K319" s="201"/>
      <c r="L319" s="201"/>
      <c r="M319" s="201"/>
      <c r="N319" s="201"/>
      <c r="O319" s="201"/>
    </row>
    <row r="320" spans="1:17" ht="12.75">
      <c r="A320">
        <v>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3"/>
      <c r="N320" s="11"/>
      <c r="O320" s="80"/>
      <c r="P320" s="10"/>
      <c r="Q320" s="10"/>
    </row>
    <row r="321" spans="2:17" ht="33.75">
      <c r="B321" s="10"/>
      <c r="C321" s="10"/>
      <c r="E321" s="10"/>
      <c r="F321" s="10"/>
      <c r="G321" s="231" t="s">
        <v>358</v>
      </c>
      <c r="H321" s="10"/>
      <c r="I321" s="10"/>
      <c r="J321" s="10"/>
      <c r="K321" s="10"/>
      <c r="L321" s="10"/>
      <c r="M321" s="13"/>
      <c r="N321" s="11"/>
      <c r="O321" s="80"/>
      <c r="P321" s="10"/>
      <c r="Q321" s="10"/>
    </row>
    <row r="322" spans="2:17" ht="13.5" thickBo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3"/>
      <c r="N322" s="11"/>
      <c r="O322" s="80"/>
      <c r="P322" s="10"/>
      <c r="Q322" s="10"/>
    </row>
    <row r="323" spans="5:11" ht="21" thickBot="1">
      <c r="E323" s="137" t="s">
        <v>336</v>
      </c>
      <c r="F323" s="138"/>
      <c r="G323" s="139"/>
      <c r="H323" s="140">
        <f>H51+H129+H208+H287</f>
        <v>120</v>
      </c>
      <c r="I323" s="141" t="s">
        <v>367</v>
      </c>
      <c r="J323" s="144"/>
      <c r="K323" s="144"/>
    </row>
    <row r="324" spans="5:11" ht="16.5" customHeight="1">
      <c r="E324" s="45"/>
      <c r="F324" s="255"/>
      <c r="G324" s="256"/>
      <c r="H324" s="327"/>
      <c r="I324" s="257"/>
      <c r="J324" s="45"/>
      <c r="K324" s="45"/>
    </row>
    <row r="325" spans="4:14" ht="15.75">
      <c r="D325" s="10"/>
      <c r="E325" s="98" t="s">
        <v>373</v>
      </c>
      <c r="F325" s="10"/>
      <c r="G325" s="102"/>
      <c r="H325" s="10"/>
      <c r="I325" s="98" t="s">
        <v>374</v>
      </c>
      <c r="J325" s="10"/>
      <c r="K325" s="161"/>
      <c r="L325" s="11"/>
      <c r="M325" s="297"/>
      <c r="N325" s="11"/>
    </row>
    <row r="326" spans="2:14" ht="12.75">
      <c r="B326" s="2"/>
      <c r="C326" s="10"/>
      <c r="D326" s="16">
        <v>400</v>
      </c>
      <c r="E326" s="16" t="s">
        <v>13</v>
      </c>
      <c r="F326" s="62" t="e">
        <f>F61+F139+F218+F297</f>
        <v>#NAME?</v>
      </c>
      <c r="G326" s="214"/>
      <c r="H326" s="16">
        <v>400</v>
      </c>
      <c r="I326" s="16" t="s">
        <v>13</v>
      </c>
      <c r="J326" s="62" t="e">
        <f aca="true" t="shared" si="56" ref="J326:J334">J61+J139+J218+J297</f>
        <v>#NAME?</v>
      </c>
      <c r="L326" s="11"/>
      <c r="M326" s="11"/>
      <c r="N326" s="298"/>
    </row>
    <row r="327" spans="2:14" ht="12.75">
      <c r="B327" s="2"/>
      <c r="C327" s="10"/>
      <c r="D327" s="16">
        <v>542</v>
      </c>
      <c r="E327" s="16" t="s">
        <v>360</v>
      </c>
      <c r="F327" s="62" t="e">
        <f>F62+F140+F219+F298</f>
        <v>#NAME?</v>
      </c>
      <c r="G327" s="214"/>
      <c r="H327" s="16">
        <v>542</v>
      </c>
      <c r="I327" s="16" t="s">
        <v>360</v>
      </c>
      <c r="J327" s="62" t="e">
        <f t="shared" si="56"/>
        <v>#NAME?</v>
      </c>
      <c r="L327" s="11"/>
      <c r="M327" s="11"/>
      <c r="N327" s="298"/>
    </row>
    <row r="328" spans="2:14" ht="12.75">
      <c r="B328" s="2"/>
      <c r="C328" s="10"/>
      <c r="D328" s="287"/>
      <c r="E328" s="287"/>
      <c r="F328" s="317"/>
      <c r="G328" s="214"/>
      <c r="H328" s="329" t="s">
        <v>385</v>
      </c>
      <c r="I328" s="329" t="s">
        <v>386</v>
      </c>
      <c r="J328" s="330" t="e">
        <f t="shared" si="56"/>
        <v>#REF!</v>
      </c>
      <c r="L328" s="11"/>
      <c r="M328" s="11"/>
      <c r="N328" s="298"/>
    </row>
    <row r="329" spans="2:14" ht="12.75">
      <c r="B329" s="2"/>
      <c r="C329" s="10"/>
      <c r="D329" s="16">
        <v>404</v>
      </c>
      <c r="E329" s="16" t="s">
        <v>314</v>
      </c>
      <c r="F329" s="62" t="e">
        <f aca="true" t="shared" si="57" ref="F329:F334">F64+F142+F221+F300</f>
        <v>#NAME?</v>
      </c>
      <c r="G329" s="214"/>
      <c r="H329" s="16">
        <v>404</v>
      </c>
      <c r="I329" s="16" t="s">
        <v>314</v>
      </c>
      <c r="J329" s="62" t="e">
        <f t="shared" si="56"/>
        <v>#NAME?</v>
      </c>
      <c r="L329" s="11"/>
      <c r="M329" s="11"/>
      <c r="N329" s="298"/>
    </row>
    <row r="330" spans="2:14" ht="12.75">
      <c r="B330" s="2"/>
      <c r="C330" s="10"/>
      <c r="D330" s="16">
        <v>406</v>
      </c>
      <c r="E330" s="16" t="s">
        <v>14</v>
      </c>
      <c r="F330" s="62" t="e">
        <f t="shared" si="57"/>
        <v>#NAME?</v>
      </c>
      <c r="G330" s="214"/>
      <c r="H330" s="16">
        <v>406</v>
      </c>
      <c r="I330" s="16" t="s">
        <v>14</v>
      </c>
      <c r="J330" s="62" t="e">
        <f t="shared" si="56"/>
        <v>#NAME?</v>
      </c>
      <c r="L330" s="11"/>
      <c r="M330" s="11"/>
      <c r="N330" s="298"/>
    </row>
    <row r="331" spans="2:14" ht="12.75">
      <c r="B331" s="2"/>
      <c r="C331" s="10"/>
      <c r="D331" s="16">
        <v>408</v>
      </c>
      <c r="E331" s="16" t="s">
        <v>331</v>
      </c>
      <c r="F331" s="62" t="e">
        <f t="shared" si="57"/>
        <v>#NAME?</v>
      </c>
      <c r="G331" s="214"/>
      <c r="H331" s="16">
        <v>408</v>
      </c>
      <c r="I331" s="16" t="s">
        <v>331</v>
      </c>
      <c r="J331" s="62" t="e">
        <f t="shared" si="56"/>
        <v>#NAME?</v>
      </c>
      <c r="L331" s="11"/>
      <c r="M331" s="11"/>
      <c r="N331" s="298"/>
    </row>
    <row r="332" spans="2:14" ht="12.75">
      <c r="B332" s="2"/>
      <c r="C332" s="13"/>
      <c r="D332" s="16">
        <v>416</v>
      </c>
      <c r="E332" s="70" t="s">
        <v>315</v>
      </c>
      <c r="F332" s="62" t="e">
        <f t="shared" si="57"/>
        <v>#NAME?</v>
      </c>
      <c r="G332" s="214"/>
      <c r="H332" s="16">
        <v>416</v>
      </c>
      <c r="I332" s="70" t="s">
        <v>315</v>
      </c>
      <c r="J332" s="62" t="e">
        <f t="shared" si="56"/>
        <v>#NAME?</v>
      </c>
      <c r="L332" s="11"/>
      <c r="M332" s="295"/>
      <c r="N332" s="298"/>
    </row>
    <row r="333" spans="2:14" ht="12.75">
      <c r="B333" s="2"/>
      <c r="C333" s="13"/>
      <c r="D333" s="16">
        <v>432</v>
      </c>
      <c r="E333" s="16" t="s">
        <v>329</v>
      </c>
      <c r="F333" s="62" t="e">
        <f t="shared" si="57"/>
        <v>#NAME?</v>
      </c>
      <c r="G333" s="214"/>
      <c r="H333" s="16">
        <v>432</v>
      </c>
      <c r="I333" s="16" t="s">
        <v>329</v>
      </c>
      <c r="J333" s="62" t="e">
        <f t="shared" si="56"/>
        <v>#NAME?</v>
      </c>
      <c r="L333" s="11"/>
      <c r="M333" s="11"/>
      <c r="N333" s="298"/>
    </row>
    <row r="334" spans="2:14" ht="12.75">
      <c r="B334" s="2"/>
      <c r="C334" s="13"/>
      <c r="D334" s="16">
        <v>434</v>
      </c>
      <c r="E334" s="16" t="s">
        <v>313</v>
      </c>
      <c r="F334" s="62" t="e">
        <f t="shared" si="57"/>
        <v>#NAME?</v>
      </c>
      <c r="G334" s="214"/>
      <c r="H334" s="16">
        <v>434</v>
      </c>
      <c r="I334" s="16" t="s">
        <v>313</v>
      </c>
      <c r="J334" s="62" t="e">
        <f t="shared" si="56"/>
        <v>#NAME?</v>
      </c>
      <c r="L334" s="11"/>
      <c r="M334" s="11"/>
      <c r="N334" s="298"/>
    </row>
    <row r="335" spans="2:14" ht="13.5" thickBot="1">
      <c r="B335" s="2"/>
      <c r="C335" s="13"/>
      <c r="D335" s="16"/>
      <c r="E335" s="64" t="s">
        <v>327</v>
      </c>
      <c r="F335" s="230">
        <v>0</v>
      </c>
      <c r="G335" s="214"/>
      <c r="H335" s="16"/>
      <c r="I335" s="64" t="s">
        <v>327</v>
      </c>
      <c r="J335" s="230">
        <v>0</v>
      </c>
      <c r="L335" s="11"/>
      <c r="M335" s="11"/>
      <c r="N335" s="299"/>
    </row>
    <row r="336" spans="2:14" ht="13.5" thickBot="1">
      <c r="B336" s="2"/>
      <c r="C336" s="13"/>
      <c r="D336" s="65"/>
      <c r="E336" s="66" t="s">
        <v>15</v>
      </c>
      <c r="F336" s="172" t="e">
        <f>SUM(F326:F335)</f>
        <v>#NAME?</v>
      </c>
      <c r="G336" s="216"/>
      <c r="H336" s="65"/>
      <c r="I336" s="66" t="s">
        <v>15</v>
      </c>
      <c r="J336" s="172" t="e">
        <f>SUM(J326:J335)</f>
        <v>#NAME?</v>
      </c>
      <c r="L336" s="11"/>
      <c r="M336" s="48"/>
      <c r="N336" s="300"/>
    </row>
    <row r="337" spans="2:14" ht="12.75">
      <c r="B337" s="2"/>
      <c r="C337" s="13"/>
      <c r="D337" s="16">
        <v>703</v>
      </c>
      <c r="E337" s="68" t="s">
        <v>316</v>
      </c>
      <c r="F337" s="15" t="e">
        <f>F73+F151+F230+F309</f>
        <v>#NAME?</v>
      </c>
      <c r="G337" s="213"/>
      <c r="H337" s="16">
        <v>703</v>
      </c>
      <c r="I337" s="68" t="s">
        <v>316</v>
      </c>
      <c r="J337" s="15" t="e">
        <f>J73+J151+J230+J309</f>
        <v>#NAME?</v>
      </c>
      <c r="L337" s="11"/>
      <c r="M337" s="301"/>
      <c r="N337" s="302"/>
    </row>
    <row r="338" spans="2:14" ht="12.75">
      <c r="B338" s="2"/>
      <c r="C338" s="13"/>
      <c r="D338" s="17">
        <v>707</v>
      </c>
      <c r="E338" s="70" t="s">
        <v>17</v>
      </c>
      <c r="F338" s="15" t="e">
        <f>F74+F152+F231+F310</f>
        <v>#NAME?</v>
      </c>
      <c r="G338" s="213"/>
      <c r="H338" s="17">
        <v>707</v>
      </c>
      <c r="I338" s="70" t="s">
        <v>17</v>
      </c>
      <c r="J338" s="15" t="e">
        <f>J74+J152+J231+J310</f>
        <v>#NAME?</v>
      </c>
      <c r="L338" s="11"/>
      <c r="M338" s="295"/>
      <c r="N338" s="302"/>
    </row>
    <row r="339" spans="2:14" ht="12.75">
      <c r="B339" s="2"/>
      <c r="C339" s="13"/>
      <c r="D339" s="17">
        <v>709</v>
      </c>
      <c r="E339" s="70" t="s">
        <v>18</v>
      </c>
      <c r="F339" s="15" t="e">
        <f>F75+F153+F232+F311</f>
        <v>#NAME?</v>
      </c>
      <c r="G339" s="213"/>
      <c r="H339" s="17">
        <v>709</v>
      </c>
      <c r="I339" s="70" t="s">
        <v>18</v>
      </c>
      <c r="J339" s="15" t="e">
        <f>J75+J153+J232+J311</f>
        <v>#NAME?</v>
      </c>
      <c r="L339" s="11"/>
      <c r="M339" s="295"/>
      <c r="N339" s="302"/>
    </row>
    <row r="340" spans="2:14" ht="12.75">
      <c r="B340" s="2"/>
      <c r="C340" s="13"/>
      <c r="D340" s="14">
        <v>710</v>
      </c>
      <c r="E340" s="70" t="s">
        <v>19</v>
      </c>
      <c r="F340" s="15" t="e">
        <f>F76+F154+F233+F312</f>
        <v>#NAME?</v>
      </c>
      <c r="G340" s="213"/>
      <c r="H340" s="14">
        <v>710</v>
      </c>
      <c r="I340" s="70" t="s">
        <v>19</v>
      </c>
      <c r="J340" s="15" t="e">
        <f>J76+J154+J233+J312</f>
        <v>#NAME?</v>
      </c>
      <c r="L340" s="295"/>
      <c r="M340" s="295"/>
      <c r="N340" s="302"/>
    </row>
    <row r="341" spans="2:14" ht="12.75">
      <c r="B341" s="2"/>
      <c r="C341" s="10"/>
      <c r="D341" s="14">
        <v>713</v>
      </c>
      <c r="E341" s="70" t="s">
        <v>20</v>
      </c>
      <c r="F341" s="15" t="e">
        <f>F77+F155+F234+F313</f>
        <v>#NAME?</v>
      </c>
      <c r="G341" s="213"/>
      <c r="H341" s="14">
        <v>713</v>
      </c>
      <c r="I341" s="70" t="s">
        <v>20</v>
      </c>
      <c r="J341" s="15" t="e">
        <f>J77+J155+J234+J313</f>
        <v>#NAME?</v>
      </c>
      <c r="L341" s="295"/>
      <c r="M341" s="295"/>
      <c r="N341" s="302"/>
    </row>
    <row r="342" spans="2:14" ht="13.5" thickBot="1">
      <c r="B342" s="2"/>
      <c r="C342" s="111"/>
      <c r="D342" s="14"/>
      <c r="E342" s="71" t="s">
        <v>21</v>
      </c>
      <c r="F342" s="212">
        <v>0</v>
      </c>
      <c r="G342" s="213"/>
      <c r="H342" s="14"/>
      <c r="I342" s="71" t="s">
        <v>21</v>
      </c>
      <c r="J342" s="212">
        <v>0</v>
      </c>
      <c r="L342" s="295"/>
      <c r="M342" s="295"/>
      <c r="N342" s="303"/>
    </row>
    <row r="343" spans="2:14" ht="13.5" thickBot="1">
      <c r="B343" s="2"/>
      <c r="C343" s="111"/>
      <c r="D343" s="72"/>
      <c r="E343" s="66" t="s">
        <v>22</v>
      </c>
      <c r="F343" s="171" t="e">
        <f>SUM(F337:F342)</f>
        <v>#NAME?</v>
      </c>
      <c r="G343" s="213"/>
      <c r="H343" s="72"/>
      <c r="I343" s="66" t="s">
        <v>22</v>
      </c>
      <c r="J343" s="171" t="e">
        <f>SUM(J337:J342)</f>
        <v>#NAME?</v>
      </c>
      <c r="L343" s="11"/>
      <c r="M343" s="48"/>
      <c r="N343" s="304"/>
    </row>
    <row r="344" spans="2:14" ht="13.5" thickBot="1">
      <c r="B344" s="2"/>
      <c r="C344" s="111"/>
      <c r="D344" s="73"/>
      <c r="E344" s="74"/>
      <c r="F344" s="62"/>
      <c r="G344" s="213"/>
      <c r="H344" s="73"/>
      <c r="I344" s="74"/>
      <c r="J344" s="62"/>
      <c r="L344" s="48"/>
      <c r="M344" s="11"/>
      <c r="N344" s="298"/>
    </row>
    <row r="345" spans="2:14" ht="16.5" thickBot="1">
      <c r="B345" s="2"/>
      <c r="C345" s="112"/>
      <c r="D345" s="76"/>
      <c r="E345" s="77" t="s">
        <v>23</v>
      </c>
      <c r="F345" s="173" t="e">
        <f>F336-F343</f>
        <v>#NAME?</v>
      </c>
      <c r="G345" s="215"/>
      <c r="H345" s="76"/>
      <c r="I345" s="77" t="s">
        <v>23</v>
      </c>
      <c r="J345" s="173" t="e">
        <f>J336-J343</f>
        <v>#NAME?</v>
      </c>
      <c r="L345" s="170"/>
      <c r="M345" s="305"/>
      <c r="N345" s="306"/>
    </row>
    <row r="346" spans="2:14" ht="16.5" thickBot="1">
      <c r="B346" s="2"/>
      <c r="C346" s="112"/>
      <c r="D346" s="4"/>
      <c r="E346" s="143"/>
      <c r="F346" s="263"/>
      <c r="G346" s="215"/>
      <c r="H346" s="4"/>
      <c r="I346" s="143"/>
      <c r="J346" s="263"/>
      <c r="L346" s="170"/>
      <c r="M346" s="305"/>
      <c r="N346" s="306"/>
    </row>
    <row r="347" spans="2:14" ht="15.75">
      <c r="B347" s="2"/>
      <c r="C347" s="112"/>
      <c r="D347" s="4"/>
      <c r="E347" s="143"/>
      <c r="F347" s="263"/>
      <c r="G347" s="215"/>
      <c r="H347" s="4"/>
      <c r="I347" s="265" t="s">
        <v>362</v>
      </c>
      <c r="J347" s="266" t="e">
        <f>J345-F345</f>
        <v>#NAME?</v>
      </c>
      <c r="L347" s="170"/>
      <c r="M347" s="305"/>
      <c r="N347" s="306"/>
    </row>
    <row r="348" spans="2:14" ht="16.5" thickBot="1">
      <c r="B348" s="2"/>
      <c r="C348" s="112"/>
      <c r="D348" s="4"/>
      <c r="E348" s="143"/>
      <c r="F348" s="263"/>
      <c r="G348" s="215"/>
      <c r="H348" s="4"/>
      <c r="I348" s="267" t="s">
        <v>363</v>
      </c>
      <c r="J348" s="268" t="e">
        <f>J347/F345</f>
        <v>#NAME?</v>
      </c>
      <c r="L348" s="170"/>
      <c r="M348" s="305"/>
      <c r="N348" s="307"/>
    </row>
    <row r="349" spans="2:14" ht="15.75">
      <c r="B349" s="2"/>
      <c r="C349" s="112"/>
      <c r="D349" s="4"/>
      <c r="E349" s="143"/>
      <c r="F349" s="263"/>
      <c r="G349" s="215"/>
      <c r="H349" s="4"/>
      <c r="I349" s="143"/>
      <c r="J349" s="263"/>
      <c r="L349" s="170"/>
      <c r="M349" s="305"/>
      <c r="N349" s="307"/>
    </row>
    <row r="350" spans="2:14" ht="15.75">
      <c r="B350" s="2"/>
      <c r="C350" s="112"/>
      <c r="D350" s="4"/>
      <c r="E350" s="143"/>
      <c r="F350" s="263"/>
      <c r="G350" s="215"/>
      <c r="H350" s="328"/>
      <c r="I350" s="143"/>
      <c r="J350" s="264"/>
      <c r="L350" s="170"/>
      <c r="M350" s="305"/>
      <c r="N350" s="306"/>
    </row>
    <row r="351" spans="2:14" ht="15.75">
      <c r="B351" s="10"/>
      <c r="C351" s="10"/>
      <c r="L351" s="166"/>
      <c r="M351" s="305"/>
      <c r="N351" s="307"/>
    </row>
    <row r="352" spans="2:17" ht="15.75">
      <c r="B352" s="79"/>
      <c r="C352" s="235"/>
      <c r="D352" s="236"/>
      <c r="E352" s="237"/>
      <c r="F352" s="228"/>
      <c r="G352" s="235"/>
      <c r="H352" s="184"/>
      <c r="I352" s="185"/>
      <c r="J352" s="185"/>
      <c r="K352" s="185"/>
      <c r="L352" s="185"/>
      <c r="M352" s="10"/>
      <c r="N352" s="48"/>
      <c r="O352" s="11"/>
      <c r="P352" s="10"/>
      <c r="Q352" s="10"/>
    </row>
    <row r="353" spans="2:17" ht="15.75">
      <c r="B353" s="79"/>
      <c r="C353" s="181"/>
      <c r="D353" s="182"/>
      <c r="E353" s="183"/>
      <c r="F353" s="124"/>
      <c r="G353" s="181"/>
      <c r="H353" s="238"/>
      <c r="I353" s="239"/>
      <c r="J353" s="239"/>
      <c r="K353" s="239"/>
      <c r="L353" s="239"/>
      <c r="M353" s="10"/>
      <c r="N353" s="48"/>
      <c r="O353" s="11"/>
      <c r="P353" s="10"/>
      <c r="Q353" s="10"/>
    </row>
    <row r="354" ht="13.5" thickBot="1"/>
    <row r="355" ht="17.25" thickBot="1" thickTop="1">
      <c r="D355" s="241" t="s">
        <v>359</v>
      </c>
    </row>
    <row r="356" spans="4:6" ht="15.75" thickTop="1">
      <c r="D356" s="218" t="s">
        <v>6</v>
      </c>
      <c r="E356" s="217"/>
      <c r="F356" s="232"/>
    </row>
    <row r="357" spans="4:6" ht="15">
      <c r="D357" s="218" t="s">
        <v>7</v>
      </c>
      <c r="E357" s="219"/>
      <c r="F357" s="233"/>
    </row>
    <row r="358" spans="4:6" ht="15">
      <c r="D358" s="220" t="s">
        <v>335</v>
      </c>
      <c r="E358" s="219"/>
      <c r="F358" s="233"/>
    </row>
    <row r="359" spans="4:6" ht="15">
      <c r="D359" s="221" t="s">
        <v>326</v>
      </c>
      <c r="E359" s="219"/>
      <c r="F359" s="233"/>
    </row>
    <row r="360" spans="4:6" ht="15.75" thickBot="1">
      <c r="D360" s="240"/>
      <c r="E360" s="222"/>
      <c r="F360" s="234"/>
    </row>
    <row r="361" ht="13.5" thickTop="1"/>
  </sheetData>
  <sheetProtection selectLockedCells="1"/>
  <hyperlinks>
    <hyperlink ref="D359" r:id="rId1" display="www.agmeruruguay.com.ar"/>
    <hyperlink ref="D358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4:F27"/>
  <sheetViews>
    <sheetView zoomScalePageLayoutView="0" workbookViewId="0" topLeftCell="A4">
      <selection activeCell="D28" sqref="D28"/>
    </sheetView>
  </sheetViews>
  <sheetFormatPr defaultColWidth="11.421875" defaultRowHeight="12.75"/>
  <cols>
    <col min="3" max="3" width="18.00390625" style="0" customWidth="1"/>
  </cols>
  <sheetData>
    <row r="4" spans="2:4" ht="12.75">
      <c r="B4">
        <v>400</v>
      </c>
      <c r="C4" s="402" t="s">
        <v>450</v>
      </c>
      <c r="D4">
        <v>1978.92</v>
      </c>
    </row>
    <row r="5" spans="2:4" ht="12.75">
      <c r="B5">
        <v>404</v>
      </c>
      <c r="C5" s="402" t="s">
        <v>314</v>
      </c>
      <c r="D5">
        <v>305.7</v>
      </c>
    </row>
    <row r="6" spans="2:4" ht="12.75">
      <c r="B6">
        <v>406</v>
      </c>
      <c r="C6" s="402" t="s">
        <v>451</v>
      </c>
      <c r="D6">
        <v>3246.15</v>
      </c>
    </row>
    <row r="7" spans="2:4" ht="12.75">
      <c r="B7">
        <v>432</v>
      </c>
      <c r="C7" s="402" t="s">
        <v>452</v>
      </c>
      <c r="D7">
        <v>1831.88</v>
      </c>
    </row>
    <row r="8" spans="2:4" ht="12.75">
      <c r="B8">
        <v>434</v>
      </c>
      <c r="C8" s="402" t="s">
        <v>453</v>
      </c>
      <c r="D8">
        <v>533.93</v>
      </c>
    </row>
    <row r="9" spans="2:4" ht="12.75">
      <c r="B9">
        <v>542</v>
      </c>
      <c r="C9" s="402" t="s">
        <v>454</v>
      </c>
      <c r="D9">
        <v>666.43</v>
      </c>
    </row>
    <row r="10" spans="2:4" ht="12.75">
      <c r="B10">
        <v>402</v>
      </c>
      <c r="C10" s="402" t="s">
        <v>455</v>
      </c>
      <c r="D10">
        <v>1169.12</v>
      </c>
    </row>
    <row r="11" spans="2:4" ht="12.75">
      <c r="B11">
        <v>406</v>
      </c>
      <c r="C11" s="402" t="s">
        <v>456</v>
      </c>
      <c r="D11">
        <v>1286.03</v>
      </c>
    </row>
    <row r="12" spans="2:4" ht="12.75">
      <c r="B12">
        <v>432</v>
      </c>
      <c r="C12" s="402" t="s">
        <v>452</v>
      </c>
      <c r="D12">
        <v>164.77</v>
      </c>
    </row>
    <row r="13" spans="2:5" ht="12.75">
      <c r="B13">
        <v>434</v>
      </c>
      <c r="C13" s="402" t="s">
        <v>453</v>
      </c>
      <c r="D13">
        <v>174.22</v>
      </c>
      <c r="E13">
        <f>SUM(D4:D13)</f>
        <v>11357.150000000001</v>
      </c>
    </row>
    <row r="14" spans="2:4" ht="12.75">
      <c r="B14">
        <v>599</v>
      </c>
      <c r="C14" s="402" t="s">
        <v>457</v>
      </c>
      <c r="D14">
        <v>0.04</v>
      </c>
    </row>
    <row r="15" spans="2:4" ht="12.75">
      <c r="B15">
        <v>552</v>
      </c>
      <c r="C15" s="402" t="s">
        <v>458</v>
      </c>
      <c r="D15">
        <v>260</v>
      </c>
    </row>
    <row r="16" spans="2:5" ht="12.75">
      <c r="B16">
        <v>554</v>
      </c>
      <c r="C16" s="402" t="s">
        <v>459</v>
      </c>
      <c r="D16">
        <v>700</v>
      </c>
      <c r="E16">
        <f>SUM(D4:D16)</f>
        <v>12317.190000000002</v>
      </c>
    </row>
    <row r="17" spans="2:6" ht="12.75">
      <c r="B17">
        <v>703</v>
      </c>
      <c r="C17" s="402" t="s">
        <v>460</v>
      </c>
      <c r="D17">
        <v>-28.39</v>
      </c>
      <c r="E17" s="213">
        <f>E13*0.0025</f>
        <v>28.392875000000004</v>
      </c>
      <c r="F17" t="s">
        <v>466</v>
      </c>
    </row>
    <row r="18" spans="2:6" ht="12.75">
      <c r="B18">
        <v>718</v>
      </c>
      <c r="C18" s="402" t="s">
        <v>461</v>
      </c>
      <c r="D18">
        <v>-79.5</v>
      </c>
      <c r="E18" s="213">
        <f>E13*0.007</f>
        <v>79.50005000000002</v>
      </c>
      <c r="F18" t="s">
        <v>467</v>
      </c>
    </row>
    <row r="19" spans="2:6" ht="12.75">
      <c r="B19">
        <v>723</v>
      </c>
      <c r="C19" s="402" t="s">
        <v>462</v>
      </c>
      <c r="D19">
        <v>-340.71</v>
      </c>
      <c r="E19" s="213">
        <f>E13*0.03</f>
        <v>340.71450000000004</v>
      </c>
      <c r="F19" t="s">
        <v>468</v>
      </c>
    </row>
    <row r="20" spans="2:6" ht="12.75">
      <c r="B20">
        <v>787</v>
      </c>
      <c r="C20" s="402" t="s">
        <v>463</v>
      </c>
      <c r="D20">
        <v>-113.57</v>
      </c>
      <c r="E20" s="213">
        <f>E13*0.01</f>
        <v>113.57150000000001</v>
      </c>
      <c r="F20" t="s">
        <v>469</v>
      </c>
    </row>
    <row r="21" spans="2:5" ht="12.75">
      <c r="B21">
        <v>960</v>
      </c>
      <c r="C21" s="402" t="s">
        <v>464</v>
      </c>
      <c r="D21">
        <v>-2436.02</v>
      </c>
      <c r="E21" s="213">
        <f>SUM(E17:E20)</f>
        <v>562.178925</v>
      </c>
    </row>
    <row r="22" spans="2:4" ht="12.75">
      <c r="B22">
        <v>982</v>
      </c>
      <c r="C22" s="402" t="s">
        <v>465</v>
      </c>
      <c r="D22">
        <v>-831</v>
      </c>
    </row>
    <row r="23" spans="4:5" ht="12.75">
      <c r="D23">
        <f>SUM(D4:D22)</f>
        <v>8488.000000000004</v>
      </c>
      <c r="E23" s="213">
        <f>E13-E21</f>
        <v>10794.971075000001</v>
      </c>
    </row>
    <row r="27" ht="12.75">
      <c r="D27">
        <f>13.24/83.09*0.01</f>
        <v>0.0015934528824166566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2023-07-28T17:10:39Z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