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traspaso\AGMER\Simuladores hasta 2022\"/>
    </mc:Choice>
  </mc:AlternateContent>
  <xr:revisionPtr revIDLastSave="0" documentId="13_ncr:1_{BAC45888-EBF2-4D94-8CFF-B3927EE04A1D}" xr6:coauthVersionLast="47" xr6:coauthVersionMax="47" xr10:uidLastSave="{00000000-0000-0000-0000-000000000000}"/>
  <bookViews>
    <workbookView xWindow="-120" yWindow="-120" windowWidth="20730" windowHeight="11760" tabRatio="288" xr2:uid="{00000000-000D-0000-FFFF-FFFF00000000}"/>
  </bookViews>
  <sheets>
    <sheet name="Recibo" sheetId="1" r:id="rId1"/>
    <sheet name="cargos" sheetId="2" r:id="rId2"/>
  </sheets>
  <definedNames>
    <definedName name="adicdir2016">cargos!$F$3:$F$372</definedName>
    <definedName name="adicdir2022">cargos!$G$3:$G$372</definedName>
    <definedName name="adichsmedia">Recibo!$D$232</definedName>
    <definedName name="adicnina">cargos!$J$3:$J$372</definedName>
    <definedName name="Aumentoabr25respene25">Recibo!$G$65</definedName>
    <definedName name="Aumentoago24">Recibo!$D$62</definedName>
    <definedName name="Aumentoago25respene25">Recibo!$I$63</definedName>
    <definedName name="Aumentodic24">Recibo!$D$66</definedName>
    <definedName name="Aumentodic25respene25">Recibo!$I$67</definedName>
    <definedName name="aumentoene25">Recibo!$D$67</definedName>
    <definedName name="Aumentoene25respdic24">Recibo!$G$62</definedName>
    <definedName name="Aumentofeb25respene25">Recibo!$G$63</definedName>
    <definedName name="Aumentojul25respene25">Recibo!$I$62</definedName>
    <definedName name="Aumentojun25respene25">Recibo!$G$67</definedName>
    <definedName name="Aumentomar25respene25">Recibo!$G$64</definedName>
    <definedName name="Aumentomay25respene25">Recibo!$G$66</definedName>
    <definedName name="Aumentonov24">Recibo!$D$65</definedName>
    <definedName name="Aumentonov25respene25">Recibo!$I$66</definedName>
    <definedName name="Aumentooct24">Recibo!$D$64</definedName>
    <definedName name="Aumentooct25respene25">Recibo!$I$65</definedName>
    <definedName name="Aumentosep24">Recibo!$D$63</definedName>
    <definedName name="Aumentosep25respene25">Recibo!$I$64</definedName>
    <definedName name="canthor06med">Recibo!$D$230</definedName>
    <definedName name="canthor06sup">Recibo!$D$360</definedName>
    <definedName name="canthorincmed">Recibo!$D$231</definedName>
    <definedName name="canthorincsup">Recibo!$D$361</definedName>
    <definedName name="canthormed">Recibo!$D$226</definedName>
    <definedName name="canthorsup">Recibo!$D$356</definedName>
    <definedName name="cantkm">Recibo!$D$86</definedName>
    <definedName name="cantkmhm">Recibo!$D$234</definedName>
    <definedName name="cantkmhs">Recibo!$D$363</definedName>
    <definedName name="codigo06cargosene25">Recibo!$I$33:$I$44</definedName>
    <definedName name="codigo06cargossep24">Recibo!$I$16:$I$27</definedName>
    <definedName name="compbas16">cargos!$D$3:$D$372</definedName>
    <definedName name="compbas2016">Recibo!$E$79</definedName>
    <definedName name="compdir16">Recibo!$G$79</definedName>
    <definedName name="compdir22">Recibo!$H$79</definedName>
    <definedName name="escalaañosantig">Recibo!$D$33:$D$44</definedName>
    <definedName name="escalaporcantig">Recibo!$E$33:$E$44</definedName>
    <definedName name="exten">Recibo!$D$89</definedName>
    <definedName name="indiceabr25">Recibo!$O$58</definedName>
    <definedName name="indiceago25">Recibo!$W$58</definedName>
    <definedName name="indicedic24">Recibo!$G$58</definedName>
    <definedName name="indicedic25">Recibo!$AE$58</definedName>
    <definedName name="indiceene25">Recibo!$I$58</definedName>
    <definedName name="indicefeb25">Recibo!$K$58</definedName>
    <definedName name="indicejul25">Recibo!$U$58</definedName>
    <definedName name="indicejun25">Recibo!$S$58</definedName>
    <definedName name="indicemar25">Recibo!$M$58</definedName>
    <definedName name="indicemay25">Recibo!$Q$58</definedName>
    <definedName name="indicenov25">Recibo!$AC$58</definedName>
    <definedName name="indiceoct25">Recibo!$AA$58</definedName>
    <definedName name="Indiceproljorabr25">Recibo!$O$59</definedName>
    <definedName name="Indiceproljorago25">Recibo!$W$59</definedName>
    <definedName name="Indiceproljordic24">Recibo!$G$59</definedName>
    <definedName name="Indiceproljordic25">Recibo!$AE$59</definedName>
    <definedName name="Indiceproljorene25">Recibo!$I$59</definedName>
    <definedName name="Indiceproljorfeb25">Recibo!$K$59</definedName>
    <definedName name="Indiceproljorjul25">Recibo!$U$59</definedName>
    <definedName name="Indiceproljorjun25">Recibo!$S$59</definedName>
    <definedName name="Indiceproljormar25">Recibo!$M$59</definedName>
    <definedName name="Indiceproljormay25">Recibo!$Q$59</definedName>
    <definedName name="Indiceproljornov25">Recibo!$AC$59</definedName>
    <definedName name="Indiceproljoroct25">Recibo!$AA$59</definedName>
    <definedName name="Indiceproljorsep24">Recibo!#REF!</definedName>
    <definedName name="Indiceproljorsep25">Recibo!$Y$59</definedName>
    <definedName name="indicesep25">Recibo!$Y$58</definedName>
    <definedName name="kmsem">Recibo!$C$175</definedName>
    <definedName name="kmsemhsmed">Recibo!$C$307</definedName>
    <definedName name="kmsemhssup">Recibo!$C$424</definedName>
    <definedName name="ncargo">#REF!</definedName>
    <definedName name="ndir16">#REF!</definedName>
    <definedName name="nina">Recibo!$D$83</definedName>
    <definedName name="nombrecargo">cargos!$B$3:$B$372</definedName>
    <definedName name="numcargo">cargos!$A$3:$A$372</definedName>
    <definedName name="poragmer">Recibo!$C$437</definedName>
    <definedName name="porant">Recibo!$H$16:$H$27</definedName>
    <definedName name="porantigcargo">Recibo!$D$85</definedName>
    <definedName name="porantighormed">Recibo!$D$228</definedName>
    <definedName name="porantighorsup">Recibo!$D$358</definedName>
    <definedName name="porjub">Recibo!$C$435</definedName>
    <definedName name="porley">Recibo!#REF!</definedName>
    <definedName name="poros">Recibo!$C$436</definedName>
    <definedName name="porzonacargo">Recibo!$C$171</definedName>
    <definedName name="porzonahsmed">Recibo!$C$306</definedName>
    <definedName name="punbascar">Recibo!$D$87</definedName>
    <definedName name="punbascargo">cargos!$C$3:$C$372</definedName>
    <definedName name="punbashormed">Recibo!$D$236</definedName>
    <definedName name="punbashorsup">Recibo!$D$364</definedName>
    <definedName name="punexten">cargos!$K$3:$K$372</definedName>
    <definedName name="punjorcomcargo">cargos!#REF!</definedName>
    <definedName name="punproljorcargo">cargos!$I$3:$I$372</definedName>
    <definedName name="puntardifcargo">cargos!$H$3:$H$372</definedName>
    <definedName name="puntosadicnina">Recibo!$F$79</definedName>
    <definedName name="PUNTOSbasicos">Recibo!$B$79</definedName>
    <definedName name="puntosexten">Recibo!$I$79</definedName>
    <definedName name="puntosproljor">Recibo!$D$88</definedName>
    <definedName name="puntostardif">Recibo!$C$79</definedName>
    <definedName name="totalremabr25">Recibo!$AC$194</definedName>
    <definedName name="totalremago25">Recibo!$Q$194</definedName>
    <definedName name="totalremdic24">Recibo!$AR$194</definedName>
    <definedName name="totalremdic25">Recibo!$E$194</definedName>
    <definedName name="totalremene25">Recibo!$AO$194</definedName>
    <definedName name="totalremfeb25">Recibo!$AL$194</definedName>
    <definedName name="totalremfebparit25">Recibo!$AI$194</definedName>
    <definedName name="totalremjul25">Recibo!$T$194</definedName>
    <definedName name="totalremjun25">Recibo!$W$194</definedName>
    <definedName name="totalremmar25">Recibo!$AF$194</definedName>
    <definedName name="totalremmayo25">Recibo!$Z$194</definedName>
    <definedName name="totalremnov25">Recibo!$H$194</definedName>
    <definedName name="totalremoct25">Recibo!$K$194</definedName>
    <definedName name="totalremsep25">Recibo!$N$194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AD61" i="1" l="1"/>
  <c r="G79" i="1" l="1"/>
  <c r="E372" i="2"/>
  <c r="E371" i="2"/>
  <c r="E370" i="2"/>
  <c r="E369" i="2"/>
  <c r="E368" i="2"/>
  <c r="E365" i="2"/>
  <c r="E364" i="2"/>
  <c r="E363" i="2"/>
  <c r="E361" i="2"/>
  <c r="E360" i="2"/>
  <c r="E359" i="2"/>
  <c r="E358" i="2"/>
  <c r="E357" i="2"/>
  <c r="E356" i="2"/>
  <c r="E355" i="2"/>
  <c r="E354" i="2"/>
  <c r="E353" i="2"/>
  <c r="E352" i="2"/>
  <c r="E351" i="2"/>
  <c r="E350" i="2"/>
  <c r="E349" i="2"/>
  <c r="E348" i="2"/>
  <c r="E345" i="2"/>
  <c r="E344" i="2"/>
  <c r="E343" i="2"/>
  <c r="E340" i="2"/>
  <c r="E339" i="2"/>
  <c r="E338" i="2"/>
  <c r="E337" i="2"/>
  <c r="E336" i="2"/>
  <c r="E335" i="2"/>
  <c r="E334" i="2"/>
  <c r="E333" i="2"/>
  <c r="E332" i="2"/>
  <c r="E331" i="2"/>
  <c r="E330" i="2"/>
  <c r="E329" i="2"/>
  <c r="E328" i="2"/>
  <c r="E327" i="2"/>
  <c r="E326" i="2"/>
  <c r="E325" i="2"/>
  <c r="E324" i="2"/>
  <c r="E323" i="2"/>
  <c r="E322" i="2"/>
  <c r="E321" i="2"/>
  <c r="E320" i="2"/>
  <c r="E319" i="2"/>
  <c r="E318" i="2"/>
  <c r="E317" i="2"/>
  <c r="E316" i="2"/>
  <c r="E315" i="2"/>
  <c r="E314" i="2"/>
  <c r="E313" i="2"/>
  <c r="E312" i="2"/>
  <c r="E311" i="2"/>
  <c r="E310" i="2"/>
  <c r="E309" i="2"/>
  <c r="E308" i="2"/>
  <c r="E307" i="2"/>
  <c r="E306" i="2"/>
  <c r="E305" i="2"/>
  <c r="E304" i="2"/>
  <c r="E303" i="2"/>
  <c r="E302" i="2"/>
  <c r="E301" i="2"/>
  <c r="E300" i="2"/>
  <c r="E299" i="2"/>
  <c r="E298" i="2"/>
  <c r="E297" i="2"/>
  <c r="E296" i="2"/>
  <c r="E295" i="2"/>
  <c r="E294" i="2"/>
  <c r="E293" i="2"/>
  <c r="E292" i="2"/>
  <c r="E291" i="2"/>
  <c r="E290" i="2"/>
  <c r="E289" i="2"/>
  <c r="E288" i="2"/>
  <c r="E287" i="2"/>
  <c r="E286" i="2"/>
  <c r="E285" i="2"/>
  <c r="E284" i="2"/>
  <c r="E283" i="2"/>
  <c r="E282" i="2"/>
  <c r="E281" i="2"/>
  <c r="E280" i="2"/>
  <c r="E279" i="2"/>
  <c r="E278" i="2"/>
  <c r="E277" i="2"/>
  <c r="E276" i="2"/>
  <c r="E275" i="2"/>
  <c r="E274" i="2"/>
  <c r="E273" i="2"/>
  <c r="E272" i="2"/>
  <c r="E271" i="2"/>
  <c r="E270" i="2"/>
  <c r="E269" i="2"/>
  <c r="E268" i="2"/>
  <c r="E267" i="2"/>
  <c r="E266" i="2"/>
  <c r="E265" i="2"/>
  <c r="E264" i="2"/>
  <c r="E263" i="2"/>
  <c r="E262" i="2"/>
  <c r="E261" i="2"/>
  <c r="E260" i="2"/>
  <c r="E259" i="2"/>
  <c r="E258" i="2"/>
  <c r="E257" i="2"/>
  <c r="E256" i="2"/>
  <c r="E255" i="2"/>
  <c r="E254" i="2"/>
  <c r="E253" i="2"/>
  <c r="E252" i="2"/>
  <c r="E251" i="2"/>
  <c r="E250" i="2"/>
  <c r="E249" i="2"/>
  <c r="E248" i="2"/>
  <c r="E247" i="2"/>
  <c r="E246" i="2"/>
  <c r="E245" i="2"/>
  <c r="E244" i="2"/>
  <c r="E243" i="2"/>
  <c r="E242" i="2"/>
  <c r="E241" i="2"/>
  <c r="E240" i="2"/>
  <c r="E239" i="2"/>
  <c r="E238" i="2"/>
  <c r="E237" i="2"/>
  <c r="E236" i="2"/>
  <c r="E235" i="2"/>
  <c r="E234" i="2"/>
  <c r="E233" i="2"/>
  <c r="E232" i="2"/>
  <c r="E231" i="2"/>
  <c r="E230" i="2"/>
  <c r="E229" i="2"/>
  <c r="E228" i="2"/>
  <c r="E227" i="2"/>
  <c r="E226" i="2"/>
  <c r="E225" i="2"/>
  <c r="E224" i="2"/>
  <c r="E223" i="2"/>
  <c r="E222" i="2"/>
  <c r="E221" i="2"/>
  <c r="E220" i="2"/>
  <c r="E219" i="2"/>
  <c r="E218" i="2"/>
  <c r="E217" i="2"/>
  <c r="E216" i="2"/>
  <c r="E215" i="2"/>
  <c r="E214" i="2"/>
  <c r="E213" i="2"/>
  <c r="E212" i="2"/>
  <c r="E211" i="2"/>
  <c r="E210" i="2"/>
  <c r="E209" i="2"/>
  <c r="E208" i="2"/>
  <c r="E207" i="2"/>
  <c r="E206" i="2"/>
  <c r="E205" i="2"/>
  <c r="E204" i="2"/>
  <c r="E203" i="2"/>
  <c r="E202" i="2"/>
  <c r="E201" i="2"/>
  <c r="E200" i="2"/>
  <c r="E199" i="2"/>
  <c r="E198" i="2"/>
  <c r="E197" i="2"/>
  <c r="E196" i="2"/>
  <c r="E195" i="2"/>
  <c r="E194" i="2"/>
  <c r="E193" i="2"/>
  <c r="E192" i="2"/>
  <c r="E191" i="2"/>
  <c r="E190" i="2"/>
  <c r="E189" i="2"/>
  <c r="E188" i="2"/>
  <c r="E187" i="2"/>
  <c r="E186" i="2"/>
  <c r="E185" i="2"/>
  <c r="E184" i="2"/>
  <c r="E183" i="2"/>
  <c r="E182" i="2"/>
  <c r="E181" i="2"/>
  <c r="E180" i="2"/>
  <c r="E179" i="2"/>
  <c r="E178" i="2"/>
  <c r="E177" i="2"/>
  <c r="E176" i="2"/>
  <c r="E175" i="2"/>
  <c r="E174" i="2"/>
  <c r="E173" i="2"/>
  <c r="E171" i="2"/>
  <c r="E170" i="2"/>
  <c r="E169" i="2"/>
  <c r="E168" i="2"/>
  <c r="E167" i="2"/>
  <c r="E166" i="2"/>
  <c r="E165" i="2"/>
  <c r="E164" i="2"/>
  <c r="E163" i="2"/>
  <c r="E162" i="2"/>
  <c r="E161" i="2"/>
  <c r="E160" i="2"/>
  <c r="E159" i="2"/>
  <c r="E158" i="2"/>
  <c r="E157" i="2"/>
  <c r="E156" i="2"/>
  <c r="E155" i="2"/>
  <c r="E154" i="2"/>
  <c r="E153" i="2"/>
  <c r="E152" i="2"/>
  <c r="E151" i="2"/>
  <c r="E150" i="2"/>
  <c r="E149" i="2"/>
  <c r="E148" i="2"/>
  <c r="E147" i="2"/>
  <c r="E146" i="2"/>
  <c r="E145" i="2"/>
  <c r="E144" i="2"/>
  <c r="E143" i="2"/>
  <c r="E142" i="2"/>
  <c r="E141" i="2"/>
  <c r="E140" i="2"/>
  <c r="E139" i="2"/>
  <c r="E138" i="2"/>
  <c r="E137" i="2"/>
  <c r="E136" i="2"/>
  <c r="E135" i="2"/>
  <c r="E134" i="2"/>
  <c r="E133" i="2"/>
  <c r="E132" i="2"/>
  <c r="E131" i="2"/>
  <c r="E130" i="2"/>
  <c r="E129" i="2"/>
  <c r="E128" i="2"/>
  <c r="E127" i="2"/>
  <c r="E126" i="2"/>
  <c r="E125" i="2"/>
  <c r="E124" i="2"/>
  <c r="E123" i="2"/>
  <c r="E122" i="2"/>
  <c r="E121" i="2"/>
  <c r="E120" i="2"/>
  <c r="E119" i="2"/>
  <c r="E118" i="2"/>
  <c r="E117" i="2"/>
  <c r="E116" i="2"/>
  <c r="E115" i="2"/>
  <c r="E114" i="2"/>
  <c r="E113" i="2"/>
  <c r="E112" i="2"/>
  <c r="E111" i="2"/>
  <c r="E110" i="2"/>
  <c r="E109" i="2"/>
  <c r="E108" i="2"/>
  <c r="E107" i="2"/>
  <c r="E106" i="2"/>
  <c r="E105" i="2"/>
  <c r="E104" i="2"/>
  <c r="E103" i="2"/>
  <c r="E102" i="2"/>
  <c r="E101" i="2"/>
  <c r="E100" i="2"/>
  <c r="E99" i="2"/>
  <c r="E98" i="2"/>
  <c r="E97" i="2"/>
  <c r="E96" i="2"/>
  <c r="E95" i="2"/>
  <c r="E94" i="2"/>
  <c r="E93" i="2"/>
  <c r="E92" i="2"/>
  <c r="E91" i="2"/>
  <c r="E90" i="2"/>
  <c r="E89" i="2"/>
  <c r="E88" i="2"/>
  <c r="E87" i="2"/>
  <c r="E86" i="2"/>
  <c r="E85" i="2"/>
  <c r="E84" i="2"/>
  <c r="E83" i="2"/>
  <c r="E82" i="2"/>
  <c r="E81" i="2"/>
  <c r="E80" i="2"/>
  <c r="E79" i="2"/>
  <c r="E78" i="2"/>
  <c r="E77" i="2"/>
  <c r="E76" i="2"/>
  <c r="E75" i="2"/>
  <c r="E74" i="2"/>
  <c r="E73" i="2"/>
  <c r="E72" i="2"/>
  <c r="E71" i="2"/>
  <c r="E70" i="2"/>
  <c r="E69" i="2"/>
  <c r="E68" i="2"/>
  <c r="E67" i="2"/>
  <c r="E66" i="2"/>
  <c r="E65" i="2"/>
  <c r="E64" i="2"/>
  <c r="E63" i="2"/>
  <c r="E62" i="2"/>
  <c r="E61" i="2"/>
  <c r="E60" i="2"/>
  <c r="E59" i="2"/>
  <c r="E58" i="2"/>
  <c r="E57" i="2"/>
  <c r="E56" i="2"/>
  <c r="E55" i="2"/>
  <c r="E54" i="2"/>
  <c r="E53" i="2"/>
  <c r="E52" i="2"/>
  <c r="E51" i="2"/>
  <c r="E50" i="2"/>
  <c r="E49" i="2"/>
  <c r="E48" i="2"/>
  <c r="E47" i="2"/>
  <c r="E46" i="2"/>
  <c r="E45" i="2"/>
  <c r="E44" i="2"/>
  <c r="E43" i="2"/>
  <c r="E42" i="2"/>
  <c r="E41" i="2"/>
  <c r="E40" i="2"/>
  <c r="E39" i="2"/>
  <c r="E38" i="2"/>
  <c r="E37" i="2"/>
  <c r="E36" i="2"/>
  <c r="E35" i="2"/>
  <c r="E34" i="2"/>
  <c r="E33" i="2"/>
  <c r="E32" i="2"/>
  <c r="E31" i="2"/>
  <c r="E30" i="2"/>
  <c r="E29" i="2"/>
  <c r="E28" i="2"/>
  <c r="E27" i="2"/>
  <c r="E26" i="2"/>
  <c r="E25" i="2"/>
  <c r="E24" i="2"/>
  <c r="E23" i="2"/>
  <c r="E22" i="2"/>
  <c r="E21" i="2"/>
  <c r="E20" i="2"/>
  <c r="E19" i="2"/>
  <c r="E18" i="2"/>
  <c r="E17" i="2"/>
  <c r="E16" i="2"/>
  <c r="E15" i="2"/>
  <c r="E14" i="2"/>
  <c r="E13" i="2"/>
  <c r="E12" i="2"/>
  <c r="E11" i="2"/>
  <c r="E10" i="2"/>
  <c r="E9" i="2"/>
  <c r="E8" i="2"/>
  <c r="E7" i="2"/>
  <c r="E6" i="2"/>
  <c r="E5" i="2"/>
  <c r="E4" i="2"/>
  <c r="E3" i="2"/>
  <c r="F171" i="1" l="1"/>
  <c r="F75" i="1"/>
  <c r="F74" i="1"/>
  <c r="G75" i="1" s="1"/>
  <c r="I74" i="1"/>
  <c r="I75" i="1"/>
  <c r="AD62" i="1"/>
  <c r="I67" i="1"/>
  <c r="E308" i="1" s="1"/>
  <c r="E434" i="1"/>
  <c r="F434" i="1" s="1"/>
  <c r="F383" i="1" s="1"/>
  <c r="E431" i="1"/>
  <c r="E430" i="1"/>
  <c r="E379" i="1" s="1"/>
  <c r="E428" i="1"/>
  <c r="F424" i="1"/>
  <c r="E412" i="1"/>
  <c r="E410" i="1"/>
  <c r="E408" i="1"/>
  <c r="E407" i="1"/>
  <c r="E406" i="1"/>
  <c r="E405" i="1"/>
  <c r="F404" i="1"/>
  <c r="E404" i="1"/>
  <c r="E403" i="1"/>
  <c r="E402" i="1"/>
  <c r="E400" i="1"/>
  <c r="E399" i="1"/>
  <c r="E397" i="1"/>
  <c r="E396" i="1"/>
  <c r="E394" i="1"/>
  <c r="E393" i="1"/>
  <c r="E390" i="1"/>
  <c r="E381" i="1"/>
  <c r="E380" i="1"/>
  <c r="E378" i="1"/>
  <c r="H378" i="1"/>
  <c r="H381" i="1"/>
  <c r="H390" i="1"/>
  <c r="H393" i="1"/>
  <c r="H394" i="1"/>
  <c r="H396" i="1"/>
  <c r="H397" i="1"/>
  <c r="H399" i="1"/>
  <c r="H400" i="1"/>
  <c r="H402" i="1"/>
  <c r="H403" i="1"/>
  <c r="H404" i="1"/>
  <c r="I404" i="1"/>
  <c r="H405" i="1"/>
  <c r="H406" i="1"/>
  <c r="H407" i="1"/>
  <c r="H408" i="1"/>
  <c r="H410" i="1"/>
  <c r="H412" i="1"/>
  <c r="I424" i="1"/>
  <c r="H428" i="1"/>
  <c r="H430" i="1"/>
  <c r="H379" i="1" s="1"/>
  <c r="H431" i="1"/>
  <c r="H380" i="1" s="1"/>
  <c r="H434" i="1"/>
  <c r="I434" i="1" s="1"/>
  <c r="I383" i="1" s="1"/>
  <c r="E317" i="1"/>
  <c r="F317" i="1" s="1"/>
  <c r="F258" i="1" s="1"/>
  <c r="E314" i="1"/>
  <c r="E255" i="1" s="1"/>
  <c r="E313" i="1"/>
  <c r="E254" i="1" s="1"/>
  <c r="E312" i="1"/>
  <c r="E294" i="1"/>
  <c r="E293" i="1"/>
  <c r="E288" i="1"/>
  <c r="E286" i="1"/>
  <c r="E284" i="1"/>
  <c r="E283" i="1"/>
  <c r="E282" i="1"/>
  <c r="E281" i="1"/>
  <c r="F280" i="1"/>
  <c r="E280" i="1"/>
  <c r="E279" i="1"/>
  <c r="E278" i="1"/>
  <c r="E273" i="1"/>
  <c r="E272" i="1"/>
  <c r="E270" i="1"/>
  <c r="E269" i="1"/>
  <c r="E265" i="1"/>
  <c r="E256" i="1"/>
  <c r="G234" i="1"/>
  <c r="E187" i="1"/>
  <c r="F187" i="1" s="1"/>
  <c r="F120" i="1" s="1"/>
  <c r="E185" i="1"/>
  <c r="F185" i="1" s="1"/>
  <c r="F118" i="1" s="1"/>
  <c r="E182" i="1"/>
  <c r="F182" i="1" s="1"/>
  <c r="F115" i="1" s="1"/>
  <c r="E179" i="1"/>
  <c r="E176" i="1"/>
  <c r="F175" i="1"/>
  <c r="F169" i="1"/>
  <c r="F166" i="1"/>
  <c r="E151" i="1"/>
  <c r="E149" i="1"/>
  <c r="E147" i="1"/>
  <c r="E146" i="1"/>
  <c r="E145" i="1"/>
  <c r="E144" i="1"/>
  <c r="F143" i="1"/>
  <c r="E143" i="1"/>
  <c r="E142" i="1"/>
  <c r="F141" i="1"/>
  <c r="E141" i="1"/>
  <c r="E136" i="1"/>
  <c r="E135" i="1"/>
  <c r="E133" i="1"/>
  <c r="E132" i="1"/>
  <c r="E130" i="1"/>
  <c r="E129" i="1"/>
  <c r="F128" i="1"/>
  <c r="E128" i="1"/>
  <c r="F127" i="1"/>
  <c r="E126" i="1"/>
  <c r="E123" i="1"/>
  <c r="G108" i="1"/>
  <c r="G104" i="1"/>
  <c r="G102" i="1"/>
  <c r="F96" i="1"/>
  <c r="J102" i="1"/>
  <c r="I171" i="1"/>
  <c r="L75" i="1"/>
  <c r="H317" i="1"/>
  <c r="I317" i="1" s="1"/>
  <c r="I258" i="1" s="1"/>
  <c r="H314" i="1"/>
  <c r="H255" i="1" s="1"/>
  <c r="H313" i="1"/>
  <c r="H254" i="1" s="1"/>
  <c r="H312" i="1"/>
  <c r="H294" i="1"/>
  <c r="H293" i="1"/>
  <c r="H288" i="1"/>
  <c r="H286" i="1"/>
  <c r="H284" i="1"/>
  <c r="H283" i="1"/>
  <c r="H282" i="1"/>
  <c r="H281" i="1"/>
  <c r="I280" i="1"/>
  <c r="H280" i="1"/>
  <c r="H279" i="1"/>
  <c r="H278" i="1"/>
  <c r="H273" i="1"/>
  <c r="H272" i="1"/>
  <c r="H270" i="1"/>
  <c r="H269" i="1"/>
  <c r="H265" i="1"/>
  <c r="H256" i="1"/>
  <c r="J234" i="1"/>
  <c r="H187" i="1"/>
  <c r="I187" i="1" s="1"/>
  <c r="I120" i="1" s="1"/>
  <c r="H185" i="1"/>
  <c r="I185" i="1" s="1"/>
  <c r="I118" i="1" s="1"/>
  <c r="H182" i="1"/>
  <c r="I182" i="1" s="1"/>
  <c r="H179" i="1"/>
  <c r="H176" i="1"/>
  <c r="I175" i="1"/>
  <c r="I169" i="1"/>
  <c r="I166" i="1"/>
  <c r="H151" i="1"/>
  <c r="H149" i="1"/>
  <c r="H147" i="1"/>
  <c r="H146" i="1"/>
  <c r="H145" i="1"/>
  <c r="H144" i="1"/>
  <c r="I143" i="1"/>
  <c r="H143" i="1"/>
  <c r="H142" i="1"/>
  <c r="I141" i="1"/>
  <c r="H141" i="1"/>
  <c r="H136" i="1"/>
  <c r="H135" i="1"/>
  <c r="H133" i="1"/>
  <c r="H132" i="1"/>
  <c r="H130" i="1"/>
  <c r="H129" i="1"/>
  <c r="I128" i="1"/>
  <c r="H128" i="1"/>
  <c r="I127" i="1"/>
  <c r="H126" i="1"/>
  <c r="H123" i="1"/>
  <c r="J108" i="1"/>
  <c r="J104" i="1"/>
  <c r="I96" i="1"/>
  <c r="I66" i="1"/>
  <c r="AB62" i="1"/>
  <c r="AB61" i="1"/>
  <c r="L169" i="1"/>
  <c r="L171" i="1"/>
  <c r="L74" i="1"/>
  <c r="I65" i="1"/>
  <c r="L415" i="1" s="1" a="1"/>
  <c r="L415" i="1" s="1"/>
  <c r="AA62" i="1"/>
  <c r="AA61" i="1"/>
  <c r="K434" i="1"/>
  <c r="L434" i="1" s="1"/>
  <c r="L383" i="1" s="1"/>
  <c r="K431" i="1"/>
  <c r="K380" i="1" s="1"/>
  <c r="K430" i="1"/>
  <c r="K379" i="1" s="1"/>
  <c r="K428" i="1"/>
  <c r="L424" i="1"/>
  <c r="K412" i="1"/>
  <c r="K410" i="1"/>
  <c r="K408" i="1"/>
  <c r="K407" i="1"/>
  <c r="K406" i="1"/>
  <c r="K405" i="1"/>
  <c r="L404" i="1"/>
  <c r="K404" i="1"/>
  <c r="K403" i="1"/>
  <c r="K402" i="1"/>
  <c r="K400" i="1"/>
  <c r="K399" i="1"/>
  <c r="K397" i="1"/>
  <c r="K396" i="1"/>
  <c r="K394" i="1"/>
  <c r="K393" i="1"/>
  <c r="K390" i="1"/>
  <c r="K381" i="1"/>
  <c r="K378" i="1"/>
  <c r="K317" i="1"/>
  <c r="L317" i="1" s="1"/>
  <c r="L258" i="1" s="1"/>
  <c r="K314" i="1"/>
  <c r="K255" i="1" s="1"/>
  <c r="K313" i="1"/>
  <c r="K254" i="1" s="1"/>
  <c r="K312" i="1"/>
  <c r="K294" i="1"/>
  <c r="K293" i="1"/>
  <c r="K288" i="1"/>
  <c r="K286" i="1"/>
  <c r="K284" i="1"/>
  <c r="K283" i="1"/>
  <c r="K282" i="1"/>
  <c r="K281" i="1"/>
  <c r="L280" i="1"/>
  <c r="K280" i="1"/>
  <c r="K279" i="1"/>
  <c r="K278" i="1"/>
  <c r="K273" i="1"/>
  <c r="K272" i="1"/>
  <c r="K270" i="1"/>
  <c r="K269" i="1"/>
  <c r="K265" i="1"/>
  <c r="K256" i="1"/>
  <c r="M234" i="1"/>
  <c r="P234" i="1"/>
  <c r="N256" i="1"/>
  <c r="N265" i="1"/>
  <c r="N269" i="1"/>
  <c r="N270" i="1"/>
  <c r="N272" i="1"/>
  <c r="N273" i="1"/>
  <c r="N278" i="1"/>
  <c r="N279" i="1"/>
  <c r="N280" i="1"/>
  <c r="O280" i="1"/>
  <c r="N281" i="1"/>
  <c r="N282" i="1"/>
  <c r="N283" i="1"/>
  <c r="N284" i="1"/>
  <c r="N286" i="1"/>
  <c r="N288" i="1"/>
  <c r="N293" i="1"/>
  <c r="N294" i="1"/>
  <c r="N312" i="1"/>
  <c r="N313" i="1"/>
  <c r="N254" i="1" s="1"/>
  <c r="N314" i="1"/>
  <c r="N255" i="1" s="1"/>
  <c r="N317" i="1"/>
  <c r="O317" i="1" s="1"/>
  <c r="O258" i="1" s="1"/>
  <c r="K187" i="1"/>
  <c r="L187" i="1" s="1"/>
  <c r="L120" i="1" s="1"/>
  <c r="K185" i="1"/>
  <c r="L185" i="1" s="1"/>
  <c r="L118" i="1" s="1"/>
  <c r="K182" i="1"/>
  <c r="L182" i="1" s="1"/>
  <c r="K179" i="1"/>
  <c r="K176" i="1"/>
  <c r="L175" i="1"/>
  <c r="L166" i="1"/>
  <c r="K151" i="1"/>
  <c r="K149" i="1"/>
  <c r="K147" i="1"/>
  <c r="K146" i="1"/>
  <c r="K145" i="1"/>
  <c r="K144" i="1"/>
  <c r="L143" i="1"/>
  <c r="K143" i="1"/>
  <c r="K142" i="1"/>
  <c r="L141" i="1"/>
  <c r="K141" i="1"/>
  <c r="K136" i="1"/>
  <c r="K135" i="1"/>
  <c r="K133" i="1"/>
  <c r="K132" i="1"/>
  <c r="K130" i="1"/>
  <c r="K129" i="1"/>
  <c r="L128" i="1"/>
  <c r="K128" i="1"/>
  <c r="L127" i="1"/>
  <c r="K126" i="1"/>
  <c r="K123" i="1"/>
  <c r="M108" i="1"/>
  <c r="M104" i="1"/>
  <c r="M102" i="1"/>
  <c r="L96" i="1"/>
  <c r="O171" i="1"/>
  <c r="X62" i="1"/>
  <c r="X61" i="1"/>
  <c r="I64" i="1"/>
  <c r="O466" i="1" s="1" a="1"/>
  <c r="O466" i="1" s="1"/>
  <c r="O75" i="1"/>
  <c r="O74" i="1"/>
  <c r="N434" i="1"/>
  <c r="O434" i="1" s="1"/>
  <c r="O383" i="1" s="1"/>
  <c r="N431" i="1"/>
  <c r="N380" i="1" s="1"/>
  <c r="N430" i="1"/>
  <c r="N379" i="1" s="1"/>
  <c r="N428" i="1"/>
  <c r="O424" i="1"/>
  <c r="N412" i="1"/>
  <c r="N410" i="1"/>
  <c r="N408" i="1"/>
  <c r="N407" i="1"/>
  <c r="N406" i="1"/>
  <c r="N405" i="1"/>
  <c r="O404" i="1"/>
  <c r="N404" i="1"/>
  <c r="N403" i="1"/>
  <c r="N402" i="1"/>
  <c r="N400" i="1"/>
  <c r="N399" i="1"/>
  <c r="N397" i="1"/>
  <c r="N396" i="1"/>
  <c r="N394" i="1"/>
  <c r="N393" i="1"/>
  <c r="N390" i="1"/>
  <c r="N381" i="1"/>
  <c r="N378" i="1"/>
  <c r="N187" i="1"/>
  <c r="O187" i="1" s="1"/>
  <c r="O120" i="1" s="1"/>
  <c r="N185" i="1"/>
  <c r="O185" i="1" s="1"/>
  <c r="O118" i="1" s="1"/>
  <c r="N182" i="1"/>
  <c r="O182" i="1" s="1"/>
  <c r="N179" i="1"/>
  <c r="N176" i="1"/>
  <c r="O175" i="1"/>
  <c r="O169" i="1"/>
  <c r="O166" i="1"/>
  <c r="N151" i="1"/>
  <c r="N149" i="1"/>
  <c r="N147" i="1"/>
  <c r="N146" i="1"/>
  <c r="N145" i="1"/>
  <c r="N144" i="1"/>
  <c r="O143" i="1"/>
  <c r="N143" i="1"/>
  <c r="N142" i="1"/>
  <c r="O141" i="1"/>
  <c r="N141" i="1"/>
  <c r="N136" i="1"/>
  <c r="N135" i="1"/>
  <c r="N133" i="1"/>
  <c r="N132" i="1"/>
  <c r="N130" i="1"/>
  <c r="N129" i="1"/>
  <c r="O128" i="1"/>
  <c r="N128" i="1"/>
  <c r="O127" i="1"/>
  <c r="N126" i="1"/>
  <c r="N123" i="1"/>
  <c r="P108" i="1"/>
  <c r="P104" i="1"/>
  <c r="P102" i="1"/>
  <c r="O96" i="1"/>
  <c r="R75" i="1"/>
  <c r="R74" i="1"/>
  <c r="R171" i="1"/>
  <c r="Q434" i="1"/>
  <c r="R434" i="1" s="1"/>
  <c r="R383" i="1" s="1"/>
  <c r="Q431" i="1"/>
  <c r="Q380" i="1" s="1"/>
  <c r="Q430" i="1"/>
  <c r="Q379" i="1" s="1"/>
  <c r="Q428" i="1"/>
  <c r="R424" i="1"/>
  <c r="Q412" i="1"/>
  <c r="Q410" i="1"/>
  <c r="Q408" i="1"/>
  <c r="Q407" i="1"/>
  <c r="Q406" i="1"/>
  <c r="Q405" i="1"/>
  <c r="R404" i="1"/>
  <c r="Q404" i="1"/>
  <c r="Q403" i="1"/>
  <c r="Q402" i="1"/>
  <c r="Q400" i="1"/>
  <c r="Q399" i="1"/>
  <c r="Q397" i="1"/>
  <c r="Q396" i="1"/>
  <c r="Q394" i="1"/>
  <c r="Q393" i="1"/>
  <c r="Q390" i="1"/>
  <c r="Q381" i="1"/>
  <c r="Q378" i="1"/>
  <c r="Q317" i="1"/>
  <c r="R317" i="1" s="1"/>
  <c r="R258" i="1" s="1"/>
  <c r="Q314" i="1"/>
  <c r="Q255" i="1" s="1"/>
  <c r="Q313" i="1"/>
  <c r="Q254" i="1" s="1"/>
  <c r="Q312" i="1"/>
  <c r="Q294" i="1"/>
  <c r="Q293" i="1"/>
  <c r="Q288" i="1"/>
  <c r="Q286" i="1"/>
  <c r="Q284" i="1"/>
  <c r="Q283" i="1"/>
  <c r="Q282" i="1"/>
  <c r="Q281" i="1"/>
  <c r="R280" i="1"/>
  <c r="Q280" i="1"/>
  <c r="Q279" i="1"/>
  <c r="Q278" i="1"/>
  <c r="Q273" i="1"/>
  <c r="Q272" i="1"/>
  <c r="Q270" i="1"/>
  <c r="Q269" i="1"/>
  <c r="Q265" i="1"/>
  <c r="Q256" i="1"/>
  <c r="S234" i="1"/>
  <c r="Q187" i="1"/>
  <c r="R187" i="1" s="1"/>
  <c r="R120" i="1" s="1"/>
  <c r="Q185" i="1"/>
  <c r="R185" i="1" s="1"/>
  <c r="R118" i="1" s="1"/>
  <c r="Q182" i="1"/>
  <c r="R182" i="1" s="1"/>
  <c r="Q179" i="1"/>
  <c r="Q176" i="1"/>
  <c r="R175" i="1"/>
  <c r="R169" i="1"/>
  <c r="R166" i="1"/>
  <c r="Q151" i="1"/>
  <c r="Q149" i="1"/>
  <c r="Q147" i="1"/>
  <c r="Q146" i="1"/>
  <c r="Q145" i="1"/>
  <c r="Q144" i="1"/>
  <c r="R143" i="1"/>
  <c r="Q143" i="1"/>
  <c r="Q142" i="1"/>
  <c r="R141" i="1"/>
  <c r="Q141" i="1"/>
  <c r="Q136" i="1"/>
  <c r="Q135" i="1"/>
  <c r="Q133" i="1"/>
  <c r="Q132" i="1"/>
  <c r="Q130" i="1"/>
  <c r="Q129" i="1"/>
  <c r="R128" i="1"/>
  <c r="Q128" i="1"/>
  <c r="R127" i="1"/>
  <c r="Q126" i="1"/>
  <c r="Q123" i="1"/>
  <c r="S108" i="1"/>
  <c r="S104" i="1"/>
  <c r="S102" i="1"/>
  <c r="R96" i="1"/>
  <c r="I63" i="1"/>
  <c r="R1" i="1" s="1" a="1"/>
  <c r="R1" i="1" s="1"/>
  <c r="V62" i="1"/>
  <c r="V61" i="1"/>
  <c r="T62" i="1"/>
  <c r="T61" i="1"/>
  <c r="U171" i="1"/>
  <c r="I62" i="1"/>
  <c r="U415" i="1" s="1"/>
  <c r="T434" i="1"/>
  <c r="U434" i="1" s="1"/>
  <c r="U383" i="1" s="1"/>
  <c r="T431" i="1"/>
  <c r="T380" i="1" s="1"/>
  <c r="T430" i="1"/>
  <c r="T379" i="1" s="1"/>
  <c r="T428" i="1"/>
  <c r="U424" i="1"/>
  <c r="T412" i="1"/>
  <c r="T410" i="1"/>
  <c r="T408" i="1"/>
  <c r="T407" i="1"/>
  <c r="T406" i="1"/>
  <c r="T405" i="1"/>
  <c r="U404" i="1"/>
  <c r="T404" i="1"/>
  <c r="T403" i="1"/>
  <c r="T402" i="1"/>
  <c r="T400" i="1"/>
  <c r="T399" i="1"/>
  <c r="T397" i="1"/>
  <c r="T396" i="1"/>
  <c r="T394" i="1"/>
  <c r="T393" i="1"/>
  <c r="T390" i="1"/>
  <c r="T381" i="1"/>
  <c r="T378" i="1"/>
  <c r="T317" i="1"/>
  <c r="U317" i="1" s="1"/>
  <c r="U258" i="1" s="1"/>
  <c r="T314" i="1"/>
  <c r="T255" i="1" s="1"/>
  <c r="T313" i="1"/>
  <c r="T254" i="1" s="1"/>
  <c r="T312" i="1"/>
  <c r="T294" i="1"/>
  <c r="T293" i="1"/>
  <c r="T288" i="1"/>
  <c r="T286" i="1"/>
  <c r="T284" i="1"/>
  <c r="T283" i="1"/>
  <c r="T282" i="1"/>
  <c r="T281" i="1"/>
  <c r="U280" i="1"/>
  <c r="T280" i="1"/>
  <c r="T279" i="1"/>
  <c r="T278" i="1"/>
  <c r="T273" i="1"/>
  <c r="T272" i="1"/>
  <c r="T270" i="1"/>
  <c r="T269" i="1"/>
  <c r="T265" i="1"/>
  <c r="T256" i="1"/>
  <c r="V234" i="1"/>
  <c r="T187" i="1"/>
  <c r="U187" i="1" s="1"/>
  <c r="U120" i="1" s="1"/>
  <c r="T185" i="1"/>
  <c r="U185" i="1" s="1"/>
  <c r="U118" i="1" s="1"/>
  <c r="T182" i="1"/>
  <c r="U182" i="1" s="1"/>
  <c r="U115" i="1" s="1"/>
  <c r="T179" i="1"/>
  <c r="T176" i="1"/>
  <c r="U175" i="1"/>
  <c r="U169" i="1"/>
  <c r="U166" i="1"/>
  <c r="T151" i="1"/>
  <c r="T149" i="1"/>
  <c r="T147" i="1"/>
  <c r="T146" i="1"/>
  <c r="T145" i="1"/>
  <c r="T144" i="1"/>
  <c r="U143" i="1"/>
  <c r="T143" i="1"/>
  <c r="T142" i="1"/>
  <c r="U141" i="1"/>
  <c r="T141" i="1"/>
  <c r="T136" i="1"/>
  <c r="T135" i="1"/>
  <c r="T133" i="1"/>
  <c r="T132" i="1"/>
  <c r="T130" i="1"/>
  <c r="T129" i="1"/>
  <c r="U128" i="1"/>
  <c r="T128" i="1"/>
  <c r="U127" i="1"/>
  <c r="T126" i="1"/>
  <c r="T123" i="1"/>
  <c r="V108" i="1"/>
  <c r="V104" i="1"/>
  <c r="V102" i="1"/>
  <c r="U96" i="1"/>
  <c r="U75" i="1" a="1"/>
  <c r="U75" i="1" s="1"/>
  <c r="U74" i="1" a="1"/>
  <c r="U74" i="1" s="1"/>
  <c r="X171" i="1"/>
  <c r="W434" i="1"/>
  <c r="X434" i="1" s="1"/>
  <c r="X383" i="1" s="1"/>
  <c r="W431" i="1"/>
  <c r="W380" i="1" s="1"/>
  <c r="W430" i="1"/>
  <c r="W379" i="1" s="1"/>
  <c r="W428" i="1"/>
  <c r="X424" i="1"/>
  <c r="W412" i="1"/>
  <c r="W410" i="1"/>
  <c r="W408" i="1"/>
  <c r="W407" i="1"/>
  <c r="W406" i="1"/>
  <c r="W405" i="1"/>
  <c r="X404" i="1"/>
  <c r="W404" i="1"/>
  <c r="W403" i="1"/>
  <c r="W402" i="1"/>
  <c r="W400" i="1"/>
  <c r="W399" i="1"/>
  <c r="W397" i="1"/>
  <c r="W396" i="1"/>
  <c r="W394" i="1"/>
  <c r="W393" i="1"/>
  <c r="W390" i="1"/>
  <c r="W381" i="1"/>
  <c r="W378" i="1"/>
  <c r="W317" i="1"/>
  <c r="X317" i="1" s="1"/>
  <c r="X258" i="1" s="1"/>
  <c r="W314" i="1"/>
  <c r="W255" i="1" s="1"/>
  <c r="W313" i="1"/>
  <c r="W312" i="1"/>
  <c r="W294" i="1"/>
  <c r="W293" i="1"/>
  <c r="W288" i="1"/>
  <c r="W286" i="1"/>
  <c r="W284" i="1"/>
  <c r="W283" i="1"/>
  <c r="W282" i="1"/>
  <c r="W281" i="1"/>
  <c r="X280" i="1"/>
  <c r="W280" i="1"/>
  <c r="W279" i="1"/>
  <c r="W278" i="1"/>
  <c r="W273" i="1"/>
  <c r="W272" i="1"/>
  <c r="W270" i="1"/>
  <c r="W269" i="1"/>
  <c r="W265" i="1"/>
  <c r="W256" i="1"/>
  <c r="W254" i="1"/>
  <c r="Y234" i="1"/>
  <c r="W187" i="1"/>
  <c r="X187" i="1" s="1"/>
  <c r="X120" i="1" s="1"/>
  <c r="W185" i="1"/>
  <c r="X185" i="1" s="1"/>
  <c r="X118" i="1" s="1"/>
  <c r="W182" i="1"/>
  <c r="X182" i="1" s="1"/>
  <c r="W179" i="1"/>
  <c r="W176" i="1"/>
  <c r="X175" i="1"/>
  <c r="X169" i="1"/>
  <c r="X166" i="1"/>
  <c r="W151" i="1"/>
  <c r="W149" i="1"/>
  <c r="W147" i="1"/>
  <c r="W146" i="1"/>
  <c r="W145" i="1"/>
  <c r="W144" i="1"/>
  <c r="X143" i="1"/>
  <c r="W143" i="1"/>
  <c r="W142" i="1"/>
  <c r="X141" i="1"/>
  <c r="W141" i="1"/>
  <c r="W136" i="1"/>
  <c r="W135" i="1"/>
  <c r="W133" i="1"/>
  <c r="W132" i="1"/>
  <c r="W130" i="1"/>
  <c r="W129" i="1"/>
  <c r="X128" i="1"/>
  <c r="W128" i="1"/>
  <c r="X127" i="1"/>
  <c r="W126" i="1"/>
  <c r="W123" i="1"/>
  <c r="Y108" i="1"/>
  <c r="Y104" i="1"/>
  <c r="Y102" i="1"/>
  <c r="X96" i="1"/>
  <c r="X75" i="1"/>
  <c r="X74" i="1"/>
  <c r="G67" i="1"/>
  <c r="X466" i="1" s="1"/>
  <c r="R62" i="1"/>
  <c r="R61" i="1"/>
  <c r="AA75" i="1"/>
  <c r="AA74" i="1"/>
  <c r="P62" i="1"/>
  <c r="P61" i="1"/>
  <c r="G66" i="1"/>
  <c r="AA466" i="1" s="1" a="1"/>
  <c r="AA466" i="1" s="1"/>
  <c r="AA175" i="1"/>
  <c r="AA171" i="1"/>
  <c r="Z434" i="1"/>
  <c r="AA434" i="1" s="1"/>
  <c r="AA383" i="1" s="1"/>
  <c r="Z431" i="1"/>
  <c r="Z380" i="1" s="1"/>
  <c r="Z430" i="1"/>
  <c r="Z379" i="1" s="1"/>
  <c r="Z428" i="1"/>
  <c r="AA424" i="1"/>
  <c r="Z412" i="1"/>
  <c r="Z410" i="1"/>
  <c r="Z408" i="1"/>
  <c r="Z407" i="1"/>
  <c r="Z406" i="1"/>
  <c r="Z405" i="1"/>
  <c r="AA404" i="1"/>
  <c r="Z404" i="1"/>
  <c r="Z403" i="1"/>
  <c r="Z402" i="1"/>
  <c r="Z400" i="1"/>
  <c r="Z399" i="1"/>
  <c r="Z397" i="1"/>
  <c r="Z396" i="1"/>
  <c r="Z394" i="1"/>
  <c r="Z393" i="1"/>
  <c r="Z390" i="1"/>
  <c r="Z381" i="1"/>
  <c r="Z378" i="1"/>
  <c r="Z317" i="1"/>
  <c r="AA317" i="1" s="1"/>
  <c r="AA258" i="1" s="1"/>
  <c r="Z314" i="1"/>
  <c r="Z255" i="1" s="1"/>
  <c r="Z313" i="1"/>
  <c r="Z254" i="1" s="1"/>
  <c r="Z312" i="1"/>
  <c r="Z294" i="1"/>
  <c r="Z293" i="1"/>
  <c r="Z288" i="1"/>
  <c r="Z286" i="1"/>
  <c r="Z284" i="1"/>
  <c r="Z283" i="1"/>
  <c r="Z282" i="1"/>
  <c r="Z281" i="1"/>
  <c r="AA280" i="1"/>
  <c r="Z280" i="1"/>
  <c r="Z279" i="1"/>
  <c r="Z278" i="1"/>
  <c r="Z273" i="1"/>
  <c r="Z272" i="1"/>
  <c r="Z270" i="1"/>
  <c r="Z269" i="1"/>
  <c r="Z265" i="1"/>
  <c r="Z256" i="1"/>
  <c r="AB234" i="1"/>
  <c r="Z187" i="1"/>
  <c r="AA187" i="1" s="1"/>
  <c r="AA120" i="1" s="1"/>
  <c r="Z185" i="1"/>
  <c r="AA185" i="1" s="1"/>
  <c r="AA118" i="1" s="1"/>
  <c r="Z182" i="1"/>
  <c r="AA182" i="1" s="1"/>
  <c r="AA115" i="1" s="1"/>
  <c r="Z179" i="1"/>
  <c r="Z176" i="1"/>
  <c r="AA169" i="1"/>
  <c r="AA166" i="1"/>
  <c r="Z151" i="1"/>
  <c r="Z149" i="1"/>
  <c r="Z147" i="1"/>
  <c r="Z146" i="1"/>
  <c r="Z145" i="1"/>
  <c r="Z144" i="1"/>
  <c r="AA143" i="1"/>
  <c r="Z143" i="1"/>
  <c r="Z142" i="1"/>
  <c r="AA141" i="1"/>
  <c r="Z141" i="1"/>
  <c r="Z136" i="1"/>
  <c r="Z135" i="1"/>
  <c r="Z133" i="1"/>
  <c r="Z132" i="1"/>
  <c r="Z130" i="1"/>
  <c r="Z129" i="1"/>
  <c r="AA128" i="1"/>
  <c r="Z128" i="1"/>
  <c r="AA127" i="1"/>
  <c r="Z126" i="1"/>
  <c r="Z123" i="1"/>
  <c r="AB108" i="1"/>
  <c r="AB104" i="1"/>
  <c r="AB102" i="1"/>
  <c r="AA96" i="1"/>
  <c r="AC256" i="1"/>
  <c r="AC265" i="1"/>
  <c r="AC269" i="1"/>
  <c r="AC270" i="1"/>
  <c r="AC272" i="1"/>
  <c r="AC273" i="1"/>
  <c r="AC278" i="1"/>
  <c r="AC279" i="1"/>
  <c r="AC280" i="1"/>
  <c r="AD280" i="1"/>
  <c r="AC281" i="1"/>
  <c r="AC282" i="1"/>
  <c r="AC283" i="1"/>
  <c r="AC284" i="1"/>
  <c r="AC286" i="1"/>
  <c r="AC288" i="1"/>
  <c r="AC293" i="1"/>
  <c r="AC294" i="1"/>
  <c r="AC312" i="1"/>
  <c r="AC313" i="1"/>
  <c r="AC254" i="1" s="1"/>
  <c r="AC314" i="1"/>
  <c r="AC255" i="1" s="1"/>
  <c r="AC317" i="1"/>
  <c r="AD317" i="1" s="1"/>
  <c r="AD258" i="1" s="1"/>
  <c r="AD127" i="1"/>
  <c r="B79" i="1"/>
  <c r="AD175" i="1"/>
  <c r="AD169" i="1"/>
  <c r="AD171" i="1"/>
  <c r="AD166" i="1"/>
  <c r="G65" i="1"/>
  <c r="AD466" i="1" s="1"/>
  <c r="AC434" i="1"/>
  <c r="AD434" i="1" s="1"/>
  <c r="AD383" i="1" s="1"/>
  <c r="AC431" i="1"/>
  <c r="AC380" i="1" s="1"/>
  <c r="AC430" i="1"/>
  <c r="AC379" i="1" s="1"/>
  <c r="AC428" i="1"/>
  <c r="AD424" i="1"/>
  <c r="AC412" i="1"/>
  <c r="AC410" i="1"/>
  <c r="AC408" i="1"/>
  <c r="AC407" i="1"/>
  <c r="AC406" i="1"/>
  <c r="AC405" i="1"/>
  <c r="AD404" i="1"/>
  <c r="AC404" i="1"/>
  <c r="AC403" i="1"/>
  <c r="AC402" i="1"/>
  <c r="AC400" i="1"/>
  <c r="AC399" i="1"/>
  <c r="AC397" i="1"/>
  <c r="AC396" i="1"/>
  <c r="AC394" i="1"/>
  <c r="AC393" i="1"/>
  <c r="AC390" i="1"/>
  <c r="AC381" i="1"/>
  <c r="AC378" i="1"/>
  <c r="AE234" i="1"/>
  <c r="AC187" i="1"/>
  <c r="AD187" i="1" s="1"/>
  <c r="AD120" i="1" s="1"/>
  <c r="AC185" i="1"/>
  <c r="AD185" i="1" s="1"/>
  <c r="AD118" i="1" s="1"/>
  <c r="AC182" i="1"/>
  <c r="AD182" i="1" s="1"/>
  <c r="AC179" i="1"/>
  <c r="AC176" i="1"/>
  <c r="AC151" i="1"/>
  <c r="AC149" i="1"/>
  <c r="AC147" i="1"/>
  <c r="AC146" i="1"/>
  <c r="AC145" i="1"/>
  <c r="AC144" i="1"/>
  <c r="AD143" i="1"/>
  <c r="AC143" i="1"/>
  <c r="AC142" i="1"/>
  <c r="AD141" i="1"/>
  <c r="AC141" i="1"/>
  <c r="AC136" i="1"/>
  <c r="AC135" i="1"/>
  <c r="AC133" i="1"/>
  <c r="AC132" i="1"/>
  <c r="AC130" i="1"/>
  <c r="AC129" i="1"/>
  <c r="AD128" i="1"/>
  <c r="AC128" i="1"/>
  <c r="AC126" i="1"/>
  <c r="AC123" i="1"/>
  <c r="AE108" i="1"/>
  <c r="AE104" i="1"/>
  <c r="AE102" i="1"/>
  <c r="AD96" i="1"/>
  <c r="N62" i="1"/>
  <c r="N61" i="1"/>
  <c r="C310" i="1"/>
  <c r="C426" i="1"/>
  <c r="C174" i="1"/>
  <c r="AG175" i="1"/>
  <c r="AG169" i="1"/>
  <c r="AG96" i="1"/>
  <c r="AL308" i="1"/>
  <c r="AL248" i="1" s="1"/>
  <c r="G64" i="1"/>
  <c r="AG365" i="1" s="1"/>
  <c r="L62" i="1"/>
  <c r="L61" i="1"/>
  <c r="AM466" i="1"/>
  <c r="AM415" i="1"/>
  <c r="AM365" i="1"/>
  <c r="AM348" i="1"/>
  <c r="AM298" i="1"/>
  <c r="AM291" i="1"/>
  <c r="AM238" i="1"/>
  <c r="AM220" i="1"/>
  <c r="AM158" i="1"/>
  <c r="AM91" i="1"/>
  <c r="AI431" i="1"/>
  <c r="AI380" i="1" s="1"/>
  <c r="AI430" i="1"/>
  <c r="AI379" i="1" s="1"/>
  <c r="AI314" i="1"/>
  <c r="AI255" i="1" s="1"/>
  <c r="AI313" i="1"/>
  <c r="AI434" i="1"/>
  <c r="AJ434" i="1" s="1"/>
  <c r="AJ383" i="1" s="1"/>
  <c r="AI428" i="1"/>
  <c r="AI423" i="1"/>
  <c r="AI372" i="1" s="1"/>
  <c r="AI412" i="1"/>
  <c r="AI410" i="1"/>
  <c r="AI408" i="1"/>
  <c r="AI407" i="1"/>
  <c r="AI406" i="1"/>
  <c r="AI405" i="1"/>
  <c r="AJ404" i="1"/>
  <c r="AI404" i="1"/>
  <c r="AI403" i="1"/>
  <c r="AI402" i="1"/>
  <c r="AI400" i="1"/>
  <c r="AI399" i="1"/>
  <c r="AI397" i="1"/>
  <c r="AI396" i="1"/>
  <c r="AI394" i="1"/>
  <c r="AI393" i="1"/>
  <c r="AI390" i="1"/>
  <c r="AI381" i="1"/>
  <c r="AI378" i="1"/>
  <c r="AI317" i="1"/>
  <c r="AJ317" i="1" s="1"/>
  <c r="AJ258" i="1" s="1"/>
  <c r="AI312" i="1"/>
  <c r="AI308" i="1"/>
  <c r="AI248" i="1" s="1"/>
  <c r="AI304" i="1"/>
  <c r="AI244" i="1" s="1"/>
  <c r="AI294" i="1"/>
  <c r="AI293" i="1"/>
  <c r="AI288" i="1"/>
  <c r="AI286" i="1"/>
  <c r="AI284" i="1"/>
  <c r="AI283" i="1"/>
  <c r="AI282" i="1"/>
  <c r="AI281" i="1"/>
  <c r="AJ280" i="1"/>
  <c r="AI280" i="1"/>
  <c r="AI279" i="1"/>
  <c r="AI278" i="1"/>
  <c r="AI273" i="1"/>
  <c r="AI272" i="1"/>
  <c r="AI270" i="1"/>
  <c r="AI269" i="1"/>
  <c r="AI265" i="1"/>
  <c r="AI256" i="1"/>
  <c r="AK234" i="1"/>
  <c r="AI187" i="1"/>
  <c r="AJ187" i="1" s="1"/>
  <c r="AJ120" i="1" s="1"/>
  <c r="AI185" i="1"/>
  <c r="AJ185" i="1" s="1"/>
  <c r="AJ118" i="1" s="1"/>
  <c r="AI182" i="1"/>
  <c r="AJ182" i="1" s="1"/>
  <c r="AJ115" i="1" s="1"/>
  <c r="AI179" i="1"/>
  <c r="AI176" i="1"/>
  <c r="AJ175" i="1"/>
  <c r="AJ171" i="1"/>
  <c r="AJ169" i="1"/>
  <c r="AI151" i="1"/>
  <c r="AI149" i="1"/>
  <c r="AI147" i="1"/>
  <c r="AI146" i="1"/>
  <c r="AI145" i="1"/>
  <c r="AI144" i="1"/>
  <c r="AJ143" i="1"/>
  <c r="AI143" i="1"/>
  <c r="AI142" i="1"/>
  <c r="AJ141" i="1"/>
  <c r="AI141" i="1"/>
  <c r="AI136" i="1"/>
  <c r="AI135" i="1"/>
  <c r="AI133" i="1"/>
  <c r="AI132" i="1"/>
  <c r="AI130" i="1"/>
  <c r="AI129" i="1"/>
  <c r="AJ128" i="1"/>
  <c r="AI128" i="1"/>
  <c r="AJ127" i="1"/>
  <c r="AI126" i="1"/>
  <c r="AI123" i="1"/>
  <c r="AK108" i="1"/>
  <c r="AK104" i="1"/>
  <c r="AK102" i="1"/>
  <c r="AF431" i="1"/>
  <c r="AF380" i="1" s="1"/>
  <c r="AF430" i="1"/>
  <c r="AF379" i="1" s="1"/>
  <c r="AF314" i="1"/>
  <c r="AF255" i="1" s="1"/>
  <c r="AF313" i="1"/>
  <c r="AG172" i="1"/>
  <c r="AF434" i="1"/>
  <c r="AG434" i="1" s="1"/>
  <c r="AG383" i="1" s="1"/>
  <c r="AF428" i="1"/>
  <c r="AG424" i="1"/>
  <c r="AF412" i="1"/>
  <c r="AF410" i="1"/>
  <c r="AF408" i="1"/>
  <c r="AF407" i="1"/>
  <c r="AF406" i="1"/>
  <c r="AF405" i="1"/>
  <c r="AG404" i="1"/>
  <c r="AF404" i="1"/>
  <c r="AF403" i="1"/>
  <c r="AF402" i="1"/>
  <c r="AF400" i="1"/>
  <c r="AF399" i="1"/>
  <c r="AF397" i="1"/>
  <c r="AF396" i="1"/>
  <c r="AF394" i="1"/>
  <c r="AF393" i="1"/>
  <c r="AF390" i="1"/>
  <c r="AF381" i="1"/>
  <c r="AF378" i="1"/>
  <c r="AF256" i="1"/>
  <c r="AF265" i="1"/>
  <c r="AF269" i="1"/>
  <c r="AF270" i="1"/>
  <c r="AF272" i="1"/>
  <c r="AF273" i="1"/>
  <c r="AF278" i="1"/>
  <c r="AF279" i="1"/>
  <c r="AF280" i="1"/>
  <c r="AG280" i="1"/>
  <c r="AF281" i="1"/>
  <c r="AF282" i="1"/>
  <c r="AF283" i="1"/>
  <c r="AF284" i="1"/>
  <c r="AF286" i="1"/>
  <c r="AF288" i="1"/>
  <c r="AF293" i="1"/>
  <c r="AF294" i="1"/>
  <c r="AF312" i="1"/>
  <c r="AF317" i="1"/>
  <c r="AG317" i="1" s="1"/>
  <c r="AG258" i="1" s="1"/>
  <c r="AH234" i="1"/>
  <c r="AF187" i="1"/>
  <c r="AG187" i="1" s="1"/>
  <c r="AG120" i="1" s="1"/>
  <c r="AF185" i="1"/>
  <c r="AG185" i="1" s="1"/>
  <c r="AG118" i="1" s="1"/>
  <c r="AF182" i="1"/>
  <c r="AG182" i="1" s="1"/>
  <c r="AG115" i="1" s="1"/>
  <c r="AF179" i="1"/>
  <c r="AF176" i="1"/>
  <c r="AG171" i="1"/>
  <c r="AF151" i="1"/>
  <c r="AF149" i="1"/>
  <c r="AF147" i="1"/>
  <c r="AF146" i="1"/>
  <c r="AF145" i="1"/>
  <c r="AF144" i="1"/>
  <c r="AG143" i="1"/>
  <c r="AF143" i="1"/>
  <c r="AF142" i="1"/>
  <c r="AG141" i="1"/>
  <c r="AF141" i="1"/>
  <c r="AF136" i="1"/>
  <c r="AF135" i="1"/>
  <c r="AF133" i="1"/>
  <c r="AF132" i="1"/>
  <c r="AF130" i="1"/>
  <c r="AF129" i="1"/>
  <c r="AG128" i="1"/>
  <c r="AF128" i="1"/>
  <c r="AG127" i="1"/>
  <c r="AF126" i="1"/>
  <c r="AF123" i="1"/>
  <c r="AH108" i="1"/>
  <c r="AH104" i="1"/>
  <c r="AH102" i="1"/>
  <c r="AL423" i="1"/>
  <c r="AL372" i="1" s="1"/>
  <c r="AL304" i="1"/>
  <c r="AL244" i="1" s="1"/>
  <c r="AM175" i="1"/>
  <c r="AL434" i="1"/>
  <c r="AM434" i="1" s="1"/>
  <c r="AM383" i="1" s="1"/>
  <c r="AL431" i="1"/>
  <c r="AL380" i="1" s="1"/>
  <c r="AL430" i="1"/>
  <c r="C430" i="1" s="1"/>
  <c r="AL428" i="1"/>
  <c r="AM424" i="1"/>
  <c r="AL412" i="1"/>
  <c r="AL410" i="1"/>
  <c r="AL408" i="1"/>
  <c r="AL407" i="1"/>
  <c r="AL406" i="1"/>
  <c r="AL405" i="1"/>
  <c r="AM404" i="1"/>
  <c r="AL404" i="1"/>
  <c r="AL403" i="1"/>
  <c r="AL402" i="1"/>
  <c r="AL400" i="1"/>
  <c r="AL399" i="1"/>
  <c r="AL397" i="1"/>
  <c r="AL396" i="1"/>
  <c r="AL394" i="1"/>
  <c r="AL393" i="1"/>
  <c r="AL390" i="1"/>
  <c r="AL381" i="1"/>
  <c r="AL378" i="1"/>
  <c r="AL317" i="1"/>
  <c r="AM317" i="1" s="1"/>
  <c r="AM258" i="1" s="1"/>
  <c r="AL314" i="1"/>
  <c r="AL255" i="1" s="1"/>
  <c r="AL313" i="1"/>
  <c r="AL254" i="1" s="1"/>
  <c r="AL312" i="1"/>
  <c r="AL294" i="1"/>
  <c r="AL293" i="1"/>
  <c r="AL288" i="1"/>
  <c r="AL286" i="1"/>
  <c r="AL284" i="1"/>
  <c r="AL283" i="1"/>
  <c r="AL282" i="1"/>
  <c r="AL281" i="1"/>
  <c r="AM280" i="1"/>
  <c r="AL280" i="1"/>
  <c r="AL279" i="1"/>
  <c r="AL278" i="1"/>
  <c r="AL273" i="1"/>
  <c r="AL272" i="1"/>
  <c r="AL270" i="1"/>
  <c r="AL269" i="1"/>
  <c r="AL265" i="1"/>
  <c r="AL256" i="1"/>
  <c r="AN234" i="1"/>
  <c r="J62" i="1"/>
  <c r="J61" i="1"/>
  <c r="AM1" i="1"/>
  <c r="AL187" i="1"/>
  <c r="AM187" i="1" s="1"/>
  <c r="AM120" i="1" s="1"/>
  <c r="AL185" i="1"/>
  <c r="AM185" i="1" s="1"/>
  <c r="AM118" i="1" s="1"/>
  <c r="AL182" i="1"/>
  <c r="AM182" i="1" s="1"/>
  <c r="AM115" i="1" s="1"/>
  <c r="AL179" i="1"/>
  <c r="AL176" i="1"/>
  <c r="AM171" i="1"/>
  <c r="AM169" i="1"/>
  <c r="AL151" i="1"/>
  <c r="AL149" i="1"/>
  <c r="AL147" i="1"/>
  <c r="AL146" i="1"/>
  <c r="AL145" i="1"/>
  <c r="AL144" i="1"/>
  <c r="AM143" i="1"/>
  <c r="AL143" i="1"/>
  <c r="AL142" i="1"/>
  <c r="AM141" i="1"/>
  <c r="AL141" i="1"/>
  <c r="AL136" i="1"/>
  <c r="AL135" i="1"/>
  <c r="AL133" i="1"/>
  <c r="AL132" i="1"/>
  <c r="AL130" i="1"/>
  <c r="AL129" i="1"/>
  <c r="AM128" i="1"/>
  <c r="AL128" i="1"/>
  <c r="AM127" i="1"/>
  <c r="AL126" i="1"/>
  <c r="AL123" i="1"/>
  <c r="AN108" i="1"/>
  <c r="AN104" i="1"/>
  <c r="AN102" i="1"/>
  <c r="AP424" i="1"/>
  <c r="AO304" i="1"/>
  <c r="AO423" i="1"/>
  <c r="AO308" i="1"/>
  <c r="D64" i="1"/>
  <c r="D65" i="1" s="1"/>
  <c r="D63" i="1"/>
  <c r="D62" i="1"/>
  <c r="AS129" i="1"/>
  <c r="AS130" i="1"/>
  <c r="AS132" i="1"/>
  <c r="AS133" i="1"/>
  <c r="AS135" i="1"/>
  <c r="AS136" i="1"/>
  <c r="AS138" i="1"/>
  <c r="AS139" i="1"/>
  <c r="AP175" i="1"/>
  <c r="E67" i="1"/>
  <c r="AR155" i="1"/>
  <c r="AP169" i="1"/>
  <c r="AP171" i="1"/>
  <c r="F291" i="1" l="1"/>
  <c r="F348" i="1"/>
  <c r="F91" i="1"/>
  <c r="F415" i="1"/>
  <c r="F220" i="1"/>
  <c r="F158" i="1"/>
  <c r="F298" i="1"/>
  <c r="F466" i="1"/>
  <c r="E304" i="1"/>
  <c r="E244" i="1" s="1"/>
  <c r="E423" i="1"/>
  <c r="E372" i="1" s="1"/>
  <c r="F1" i="1"/>
  <c r="F238" i="1"/>
  <c r="F365" i="1"/>
  <c r="I365" i="1"/>
  <c r="H423" i="1"/>
  <c r="H372" i="1" s="1"/>
  <c r="I466" i="1"/>
  <c r="I415" i="1"/>
  <c r="E248" i="1"/>
  <c r="H304" i="1"/>
  <c r="H244" i="1" s="1"/>
  <c r="I1" i="1"/>
  <c r="I238" i="1"/>
  <c r="J75" i="1"/>
  <c r="I348" i="1"/>
  <c r="I91" i="1"/>
  <c r="I291" i="1"/>
  <c r="L348" i="1" a="1"/>
  <c r="L348" i="1" s="1"/>
  <c r="L466" i="1" a="1"/>
  <c r="L466" i="1" s="1"/>
  <c r="H308" i="1"/>
  <c r="H248" i="1" s="1"/>
  <c r="I158" i="1"/>
  <c r="I298" i="1"/>
  <c r="I220" i="1"/>
  <c r="L1" i="1" a="1"/>
  <c r="L1" i="1" s="1"/>
  <c r="K308" i="1" a="1"/>
  <c r="K308" i="1" s="1"/>
  <c r="K248" i="1" s="1"/>
  <c r="I115" i="1"/>
  <c r="L298" i="1" a="1"/>
  <c r="L298" i="1" s="1"/>
  <c r="L158" i="1" a="1"/>
  <c r="L158" i="1" s="1"/>
  <c r="L220" i="1" a="1"/>
  <c r="L220" i="1" s="1"/>
  <c r="L365" i="1" a="1"/>
  <c r="L365" i="1" s="1"/>
  <c r="M75" i="1"/>
  <c r="K423" i="1" a="1"/>
  <c r="K423" i="1" s="1"/>
  <c r="K372" i="1" s="1"/>
  <c r="L238" i="1" a="1"/>
  <c r="L238" i="1" s="1"/>
  <c r="K304" i="1" a="1"/>
  <c r="K304" i="1" s="1"/>
  <c r="K244" i="1" s="1"/>
  <c r="L91" i="1" a="1"/>
  <c r="L91" i="1" s="1"/>
  <c r="L291" i="1" a="1"/>
  <c r="L291" i="1" s="1"/>
  <c r="O291" i="1" a="1"/>
  <c r="O291" i="1" s="1"/>
  <c r="O298" i="1" a="1"/>
  <c r="O298" i="1" s="1"/>
  <c r="N304" i="1"/>
  <c r="N244" i="1" s="1"/>
  <c r="O348" i="1" a="1"/>
  <c r="O348" i="1" s="1"/>
  <c r="N308" i="1"/>
  <c r="N248" i="1" s="1"/>
  <c r="O238" i="1" a="1"/>
  <c r="O238" i="1" s="1"/>
  <c r="L115" i="1"/>
  <c r="O1" i="1" a="1"/>
  <c r="O1" i="1" s="1"/>
  <c r="O220" i="1" a="1"/>
  <c r="O220" i="1" s="1"/>
  <c r="O365" i="1" a="1"/>
  <c r="O365" i="1" s="1"/>
  <c r="O91" i="1" a="1"/>
  <c r="O91" i="1" s="1"/>
  <c r="O415" i="1" a="1"/>
  <c r="O415" i="1" s="1"/>
  <c r="P75" i="1"/>
  <c r="N423" i="1"/>
  <c r="N372" i="1" s="1"/>
  <c r="O158" i="1" a="1"/>
  <c r="O158" i="1" s="1"/>
  <c r="O115" i="1"/>
  <c r="S75" i="1"/>
  <c r="R158" i="1" a="1"/>
  <c r="R158" i="1" s="1"/>
  <c r="R348" i="1" a="1"/>
  <c r="R348" i="1" s="1"/>
  <c r="Q304" i="1"/>
  <c r="Q244" i="1" s="1"/>
  <c r="Q423" i="1"/>
  <c r="Q372" i="1" s="1"/>
  <c r="R220" i="1" a="1"/>
  <c r="R220" i="1" s="1"/>
  <c r="R365" i="1" a="1"/>
  <c r="R365" i="1" s="1"/>
  <c r="Q308" i="1"/>
  <c r="Q248" i="1" s="1"/>
  <c r="R238" i="1" a="1"/>
  <c r="R238" i="1" s="1"/>
  <c r="R415" i="1" a="1"/>
  <c r="R415" i="1" s="1"/>
  <c r="R91" i="1" a="1"/>
  <c r="R91" i="1" s="1"/>
  <c r="R291" i="1" a="1"/>
  <c r="R291" i="1" s="1"/>
  <c r="R466" i="1" a="1"/>
  <c r="R466" i="1" s="1"/>
  <c r="R298" i="1"/>
  <c r="R115" i="1"/>
  <c r="U1" i="1"/>
  <c r="X238" i="1"/>
  <c r="X365" i="1"/>
  <c r="X298" i="1"/>
  <c r="X158" i="1"/>
  <c r="X1" i="1"/>
  <c r="W304" i="1"/>
  <c r="W244" i="1" s="1"/>
  <c r="T308" i="1"/>
  <c r="T248" i="1" s="1"/>
  <c r="U158" i="1"/>
  <c r="U298" i="1"/>
  <c r="U91" i="1"/>
  <c r="U466" i="1"/>
  <c r="X220" i="1"/>
  <c r="X348" i="1"/>
  <c r="W423" i="1"/>
  <c r="W372" i="1" s="1"/>
  <c r="T304" i="1"/>
  <c r="T244" i="1" s="1"/>
  <c r="T423" i="1"/>
  <c r="T372" i="1" s="1"/>
  <c r="U220" i="1"/>
  <c r="U348" i="1"/>
  <c r="U238" i="1"/>
  <c r="U365" i="1"/>
  <c r="X91" i="1"/>
  <c r="X291" i="1"/>
  <c r="W308" i="1"/>
  <c r="W248" i="1" s="1"/>
  <c r="X415" i="1"/>
  <c r="U291" i="1"/>
  <c r="X115" i="1"/>
  <c r="Z423" i="1"/>
  <c r="Z372" i="1" s="1"/>
  <c r="AA348" i="1" a="1"/>
  <c r="AA348" i="1" s="1"/>
  <c r="AA365" i="1" a="1"/>
  <c r="AA365" i="1" s="1"/>
  <c r="AA1" i="1" a="1"/>
  <c r="AA1" i="1" s="1"/>
  <c r="Z304" i="1"/>
  <c r="Z244" i="1" s="1"/>
  <c r="AA220" i="1" a="1"/>
  <c r="AA220" i="1" s="1"/>
  <c r="Z308" i="1"/>
  <c r="Z248" i="1" s="1"/>
  <c r="AA238" i="1" a="1"/>
  <c r="AA238" i="1" s="1"/>
  <c r="AA91" i="1" a="1"/>
  <c r="AA91" i="1" s="1"/>
  <c r="AA291" i="1" a="1"/>
  <c r="AA291" i="1" s="1"/>
  <c r="AA415" i="1" a="1"/>
  <c r="AA415" i="1" s="1"/>
  <c r="AA158" i="1" a="1"/>
  <c r="AA158" i="1" s="1"/>
  <c r="AA298" i="1" a="1"/>
  <c r="AA298" i="1" s="1"/>
  <c r="AD348" i="1"/>
  <c r="AC308" i="1"/>
  <c r="AC248" i="1" s="1"/>
  <c r="AD291" i="1"/>
  <c r="AC304" i="1"/>
  <c r="AC244" i="1" s="1"/>
  <c r="AD298" i="1"/>
  <c r="AD238" i="1"/>
  <c r="AD220" i="1"/>
  <c r="AD1" i="1"/>
  <c r="AD365" i="1"/>
  <c r="AD91" i="1"/>
  <c r="AD415" i="1"/>
  <c r="AC423" i="1"/>
  <c r="AC372" i="1" s="1"/>
  <c r="AD158" i="1"/>
  <c r="AD115" i="1"/>
  <c r="AF304" i="1"/>
  <c r="AF244" i="1" s="1"/>
  <c r="AF308" i="1"/>
  <c r="AF248" i="1" s="1"/>
  <c r="AG220" i="1"/>
  <c r="AG348" i="1"/>
  <c r="AG158" i="1"/>
  <c r="AG298" i="1"/>
  <c r="AG466" i="1"/>
  <c r="AG91" i="1"/>
  <c r="AG291" i="1"/>
  <c r="AG415" i="1"/>
  <c r="AG238" i="1"/>
  <c r="AI254" i="1"/>
  <c r="AG1" i="1"/>
  <c r="AF423" i="1"/>
  <c r="AF372" i="1" s="1"/>
  <c r="AF254" i="1"/>
  <c r="AL379" i="1"/>
  <c r="C431" i="1"/>
  <c r="C380" i="1" s="1"/>
  <c r="AC66" i="1"/>
  <c r="AB69" i="1"/>
  <c r="AF71" i="1" s="1"/>
  <c r="E65" i="1"/>
  <c r="E66" i="1"/>
  <c r="X68" i="1"/>
  <c r="V69" i="1"/>
  <c r="AR434" i="1"/>
  <c r="AS434" i="1" s="1"/>
  <c r="AS383" i="1" s="1"/>
  <c r="AR431" i="1"/>
  <c r="AR380" i="1" s="1"/>
  <c r="AR430" i="1"/>
  <c r="AR379" i="1" s="1"/>
  <c r="AR428" i="1"/>
  <c r="AR412" i="1"/>
  <c r="AR410" i="1"/>
  <c r="AR408" i="1"/>
  <c r="AR407" i="1"/>
  <c r="AR406" i="1"/>
  <c r="AR405" i="1"/>
  <c r="AS404" i="1"/>
  <c r="AR404" i="1"/>
  <c r="AR403" i="1"/>
  <c r="AR402" i="1"/>
  <c r="AR400" i="1"/>
  <c r="AR399" i="1"/>
  <c r="AR397" i="1"/>
  <c r="AR396" i="1"/>
  <c r="AR394" i="1"/>
  <c r="AR393" i="1"/>
  <c r="AR390" i="1"/>
  <c r="AR381" i="1"/>
  <c r="AR378" i="1"/>
  <c r="AO434" i="1"/>
  <c r="AP434" i="1" s="1"/>
  <c r="AP383" i="1" s="1"/>
  <c r="AO431" i="1"/>
  <c r="AO380" i="1" s="1"/>
  <c r="AO430" i="1"/>
  <c r="AO379" i="1" s="1"/>
  <c r="AO428" i="1"/>
  <c r="AO412" i="1"/>
  <c r="AO410" i="1"/>
  <c r="AO408" i="1"/>
  <c r="AO407" i="1"/>
  <c r="AO406" i="1"/>
  <c r="AO405" i="1"/>
  <c r="AP404" i="1"/>
  <c r="AO404" i="1"/>
  <c r="AO403" i="1"/>
  <c r="AO402" i="1"/>
  <c r="AO400" i="1"/>
  <c r="AO399" i="1"/>
  <c r="AO397" i="1"/>
  <c r="AO396" i="1"/>
  <c r="AO394" i="1"/>
  <c r="AO393" i="1"/>
  <c r="AO390" i="1"/>
  <c r="AO381" i="1"/>
  <c r="AO378" i="1"/>
  <c r="AR317" i="1"/>
  <c r="AS317" i="1" s="1"/>
  <c r="AS258" i="1" s="1"/>
  <c r="AR314" i="1"/>
  <c r="AR255" i="1" s="1"/>
  <c r="AR313" i="1"/>
  <c r="AR254" i="1" s="1"/>
  <c r="AR312" i="1"/>
  <c r="AS302" i="1"/>
  <c r="AR294" i="1"/>
  <c r="AR293" i="1"/>
  <c r="AR288" i="1"/>
  <c r="AR286" i="1"/>
  <c r="AR284" i="1"/>
  <c r="AR283" i="1"/>
  <c r="AR282" i="1"/>
  <c r="AR281" i="1"/>
  <c r="AS280" i="1"/>
  <c r="AR280" i="1"/>
  <c r="AR279" i="1"/>
  <c r="AR278" i="1"/>
  <c r="AR276" i="1"/>
  <c r="AR275" i="1"/>
  <c r="AR273" i="1"/>
  <c r="AR272" i="1"/>
  <c r="AR270" i="1"/>
  <c r="AR269" i="1"/>
  <c r="AR265" i="1"/>
  <c r="AR256" i="1"/>
  <c r="AT234" i="1"/>
  <c r="AO317" i="1"/>
  <c r="AP317" i="1" s="1"/>
  <c r="AP258" i="1" s="1"/>
  <c r="AO314" i="1"/>
  <c r="AO313" i="1"/>
  <c r="AO312" i="1"/>
  <c r="AO294" i="1"/>
  <c r="AO293" i="1"/>
  <c r="AO288" i="1"/>
  <c r="AO286" i="1"/>
  <c r="AO284" i="1"/>
  <c r="AO283" i="1"/>
  <c r="AO282" i="1"/>
  <c r="AO281" i="1"/>
  <c r="AP280" i="1"/>
  <c r="AO280" i="1"/>
  <c r="AO279" i="1"/>
  <c r="AO278" i="1"/>
  <c r="AO273" i="1"/>
  <c r="AO272" i="1"/>
  <c r="AO270" i="1"/>
  <c r="AO269" i="1"/>
  <c r="AO265" i="1"/>
  <c r="AO256" i="1"/>
  <c r="AQ234" i="1"/>
  <c r="AR187" i="1"/>
  <c r="AS187" i="1" s="1"/>
  <c r="AS120" i="1" s="1"/>
  <c r="AR185" i="1"/>
  <c r="AS185" i="1" s="1"/>
  <c r="AS118" i="1" s="1"/>
  <c r="AR182" i="1"/>
  <c r="AS182" i="1" s="1"/>
  <c r="AS115" i="1" s="1"/>
  <c r="AR179" i="1"/>
  <c r="AR176" i="1"/>
  <c r="AR151" i="1"/>
  <c r="AR149" i="1"/>
  <c r="AR147" i="1"/>
  <c r="AR146" i="1"/>
  <c r="AR145" i="1"/>
  <c r="AR144" i="1"/>
  <c r="AS143" i="1"/>
  <c r="AR143" i="1"/>
  <c r="AR142" i="1"/>
  <c r="AS141" i="1"/>
  <c r="AR141" i="1"/>
  <c r="AR136" i="1"/>
  <c r="AR135" i="1"/>
  <c r="AR133" i="1"/>
  <c r="AR132" i="1"/>
  <c r="AR130" i="1"/>
  <c r="AR129" i="1"/>
  <c r="AS128" i="1"/>
  <c r="AR128" i="1"/>
  <c r="AS127" i="1"/>
  <c r="AR126" i="1"/>
  <c r="AR123" i="1"/>
  <c r="AT108" i="1"/>
  <c r="AT104" i="1"/>
  <c r="AT102" i="1"/>
  <c r="AO187" i="1"/>
  <c r="AP187" i="1" s="1"/>
  <c r="AP120" i="1" s="1"/>
  <c r="AO185" i="1"/>
  <c r="AP185" i="1" s="1"/>
  <c r="AP118" i="1" s="1"/>
  <c r="AO182" i="1"/>
  <c r="AP182" i="1" s="1"/>
  <c r="AO179" i="1"/>
  <c r="AO176" i="1"/>
  <c r="AO151" i="1"/>
  <c r="AO149" i="1"/>
  <c r="AO147" i="1"/>
  <c r="AO146" i="1"/>
  <c r="AO145" i="1"/>
  <c r="AO144" i="1"/>
  <c r="AP143" i="1"/>
  <c r="AO143" i="1"/>
  <c r="AO142" i="1"/>
  <c r="AP141" i="1"/>
  <c r="AO141" i="1"/>
  <c r="AO136" i="1"/>
  <c r="AO135" i="1"/>
  <c r="AO133" i="1"/>
  <c r="AO132" i="1"/>
  <c r="AO130" i="1"/>
  <c r="AO129" i="1"/>
  <c r="AP128" i="1"/>
  <c r="AO128" i="1"/>
  <c r="AP127" i="1"/>
  <c r="AO126" i="1"/>
  <c r="AO123" i="1"/>
  <c r="AQ108" i="1"/>
  <c r="AQ104" i="1"/>
  <c r="AQ102" i="1"/>
  <c r="X64" i="1"/>
  <c r="C443" i="1"/>
  <c r="C438" i="1"/>
  <c r="C437" i="1"/>
  <c r="C379" i="1"/>
  <c r="C424" i="1"/>
  <c r="C418" i="1"/>
  <c r="C367" i="1" s="1"/>
  <c r="A378" i="1"/>
  <c r="C374" i="1"/>
  <c r="C425" i="1" s="1"/>
  <c r="E425" i="1" s="1"/>
  <c r="C373" i="1"/>
  <c r="D364" i="1"/>
  <c r="E418" i="1" s="1"/>
  <c r="D358" i="1"/>
  <c r="E420" i="1" s="1"/>
  <c r="I352" i="1"/>
  <c r="C321" i="1"/>
  <c r="C320" i="1"/>
  <c r="AV309" i="1"/>
  <c r="C307" i="1"/>
  <c r="E307" i="1" s="1"/>
  <c r="E247" i="1" s="1"/>
  <c r="C306" i="1"/>
  <c r="C300" i="1"/>
  <c r="D296" i="1"/>
  <c r="C249" i="1"/>
  <c r="C309" i="1" s="1"/>
  <c r="E309" i="1" s="1"/>
  <c r="C244" i="1"/>
  <c r="C240" i="1"/>
  <c r="D236" i="1"/>
  <c r="E300" i="1" s="1"/>
  <c r="D228" i="1"/>
  <c r="E302" i="1" s="1"/>
  <c r="I222" i="1"/>
  <c r="C186" i="1"/>
  <c r="C175" i="1"/>
  <c r="E175" i="1" s="1"/>
  <c r="E108" i="1" s="1"/>
  <c r="C173" i="1"/>
  <c r="AV171" i="1"/>
  <c r="C171" i="1"/>
  <c r="AV169" i="1"/>
  <c r="C108" i="1"/>
  <c r="D85" i="1"/>
  <c r="H80" i="1"/>
  <c r="C80" i="1"/>
  <c r="I80" i="1" s="1"/>
  <c r="I79" i="1"/>
  <c r="H79" i="1"/>
  <c r="F79" i="1"/>
  <c r="E79" i="1"/>
  <c r="D79" i="1"/>
  <c r="D88" i="1" s="1"/>
  <c r="C79" i="1"/>
  <c r="Q70" i="1"/>
  <c r="P70" i="1"/>
  <c r="O70" i="1"/>
  <c r="N70" i="1"/>
  <c r="M70" i="1"/>
  <c r="D67" i="1"/>
  <c r="D56" i="1"/>
  <c r="C56" i="1"/>
  <c r="D55" i="1"/>
  <c r="C55" i="1"/>
  <c r="D49" i="1"/>
  <c r="E162" i="1" l="1"/>
  <c r="E95" i="1" s="1"/>
  <c r="E161" i="1"/>
  <c r="E94" i="1" s="1"/>
  <c r="E170" i="1"/>
  <c r="E103" i="1" s="1"/>
  <c r="E164" i="1"/>
  <c r="E97" i="1" s="1"/>
  <c r="E163" i="1"/>
  <c r="E96" i="1" s="1"/>
  <c r="H425" i="1"/>
  <c r="H374" i="1" s="1"/>
  <c r="E374" i="1"/>
  <c r="H420" i="1"/>
  <c r="E426" i="1"/>
  <c r="E375" i="1" s="1"/>
  <c r="H426" i="1"/>
  <c r="H375" i="1" s="1"/>
  <c r="H418" i="1"/>
  <c r="E424" i="1"/>
  <c r="E373" i="1" s="1"/>
  <c r="H424" i="1"/>
  <c r="H373" i="1" s="1"/>
  <c r="H300" i="1"/>
  <c r="H302" i="1"/>
  <c r="E310" i="1"/>
  <c r="E250" i="1" s="1"/>
  <c r="H309" i="1"/>
  <c r="E249" i="1"/>
  <c r="E174" i="1"/>
  <c r="E107" i="1" s="1"/>
  <c r="H170" i="1"/>
  <c r="H103" i="1" s="1"/>
  <c r="K424" i="1"/>
  <c r="K373" i="1" s="1"/>
  <c r="H164" i="1"/>
  <c r="H97" i="1" s="1"/>
  <c r="H163" i="1"/>
  <c r="H96" i="1" s="1"/>
  <c r="H161" i="1"/>
  <c r="H94" i="1" s="1"/>
  <c r="H307" i="1"/>
  <c r="H247" i="1" s="1"/>
  <c r="K307" i="1"/>
  <c r="K247" i="1" s="1"/>
  <c r="K175" i="1"/>
  <c r="K108" i="1" s="1"/>
  <c r="H175" i="1"/>
  <c r="H108" i="1" s="1"/>
  <c r="H162" i="1"/>
  <c r="H95" i="1" s="1"/>
  <c r="K418" i="1"/>
  <c r="K425" i="1" a="1"/>
  <c r="K425" i="1" s="1"/>
  <c r="K374" i="1" s="1"/>
  <c r="K420" i="1" a="1"/>
  <c r="K420" i="1" s="1"/>
  <c r="K300" i="1"/>
  <c r="K302" i="1" a="1"/>
  <c r="K302" i="1" s="1"/>
  <c r="H310" i="1"/>
  <c r="H250" i="1" s="1"/>
  <c r="K309" i="1" a="1"/>
  <c r="K309" i="1" s="1"/>
  <c r="K249" i="1" s="1"/>
  <c r="H249" i="1"/>
  <c r="H174" i="1"/>
  <c r="H107" i="1" s="1"/>
  <c r="K161" i="1"/>
  <c r="K94" i="1" s="1"/>
  <c r="K163" i="1"/>
  <c r="K96" i="1" s="1"/>
  <c r="K170" i="1"/>
  <c r="K103" i="1" s="1"/>
  <c r="K164" i="1"/>
  <c r="K97" i="1" s="1"/>
  <c r="K162" i="1"/>
  <c r="K95" i="1" s="1"/>
  <c r="N418" i="1"/>
  <c r="N424" i="1"/>
  <c r="N373" i="1" s="1"/>
  <c r="N420" i="1"/>
  <c r="K426" i="1"/>
  <c r="K375" i="1" s="1"/>
  <c r="N425" i="1"/>
  <c r="N374" i="1" s="1"/>
  <c r="N302" i="1"/>
  <c r="N310" i="1"/>
  <c r="N250" i="1" s="1"/>
  <c r="K310" i="1"/>
  <c r="K250" i="1" s="1"/>
  <c r="N309" i="1"/>
  <c r="N249" i="1" s="1"/>
  <c r="N307" i="1"/>
  <c r="N247" i="1" s="1"/>
  <c r="N300" i="1"/>
  <c r="K174" i="1"/>
  <c r="K107" i="1" s="1"/>
  <c r="N175" i="1"/>
  <c r="N108" i="1" s="1"/>
  <c r="N162" i="1"/>
  <c r="N95" i="1" s="1"/>
  <c r="N170" i="1"/>
  <c r="N103" i="1" s="1"/>
  <c r="N164" i="1"/>
  <c r="N97" i="1" s="1"/>
  <c r="N161" i="1"/>
  <c r="N94" i="1" s="1"/>
  <c r="N163" i="1"/>
  <c r="N96" i="1" s="1"/>
  <c r="Q420" i="1"/>
  <c r="N426" i="1"/>
  <c r="N375" i="1" s="1"/>
  <c r="Q418" i="1"/>
  <c r="Q425" i="1"/>
  <c r="Q374" i="1" s="1"/>
  <c r="Q302" i="1"/>
  <c r="Q309" i="1"/>
  <c r="Q249" i="1" s="1"/>
  <c r="Q300" i="1"/>
  <c r="N174" i="1"/>
  <c r="N107" i="1" s="1"/>
  <c r="Q161" i="1"/>
  <c r="Q94" i="1" s="1"/>
  <c r="Q162" i="1"/>
  <c r="Q95" i="1" s="1"/>
  <c r="Q170" i="1"/>
  <c r="Q103" i="1" s="1"/>
  <c r="Q164" i="1"/>
  <c r="Q97" i="1" s="1"/>
  <c r="Q163" i="1"/>
  <c r="Q96" i="1" s="1"/>
  <c r="T418" i="1"/>
  <c r="T424" i="1"/>
  <c r="T373" i="1" s="1"/>
  <c r="Q424" i="1"/>
  <c r="Q373" i="1" s="1"/>
  <c r="W425" i="1"/>
  <c r="W374" i="1" s="1"/>
  <c r="Q426" i="1"/>
  <c r="Q375" i="1" s="1"/>
  <c r="Q310" i="1"/>
  <c r="Q250" i="1" s="1"/>
  <c r="T309" i="1"/>
  <c r="T249" i="1" s="1"/>
  <c r="T307" i="1"/>
  <c r="T247" i="1" s="1"/>
  <c r="Q307" i="1"/>
  <c r="Q247" i="1" s="1"/>
  <c r="T300" i="1"/>
  <c r="Q174" i="1"/>
  <c r="Q107" i="1" s="1"/>
  <c r="T175" i="1"/>
  <c r="T108" i="1" s="1"/>
  <c r="Q175" i="1"/>
  <c r="Q108" i="1" s="1"/>
  <c r="T425" i="1"/>
  <c r="T374" i="1" s="1"/>
  <c r="W309" i="1"/>
  <c r="W249" i="1" s="1"/>
  <c r="W302" i="1"/>
  <c r="T302" i="1"/>
  <c r="T420" i="1"/>
  <c r="W420" i="1"/>
  <c r="T161" i="1"/>
  <c r="T94" i="1" s="1"/>
  <c r="T164" i="1"/>
  <c r="T97" i="1" s="1"/>
  <c r="T170" i="1"/>
  <c r="T103" i="1" s="1"/>
  <c r="T163" i="1"/>
  <c r="T96" i="1" s="1"/>
  <c r="T162" i="1"/>
  <c r="T95" i="1" s="1"/>
  <c r="T426" i="1"/>
  <c r="T375" i="1" s="1"/>
  <c r="W418" i="1"/>
  <c r="W367" i="1" s="1"/>
  <c r="W300" i="1"/>
  <c r="W240" i="1" s="1"/>
  <c r="T310" i="1"/>
  <c r="T250" i="1" s="1"/>
  <c r="T174" i="1"/>
  <c r="T107" i="1" s="1"/>
  <c r="W164" i="1"/>
  <c r="W97" i="1" s="1"/>
  <c r="W161" i="1"/>
  <c r="W94" i="1" s="1"/>
  <c r="W162" i="1"/>
  <c r="W95" i="1" s="1"/>
  <c r="W170" i="1"/>
  <c r="W103" i="1" s="1"/>
  <c r="W163" i="1"/>
  <c r="W96" i="1" s="1"/>
  <c r="Z420" i="1"/>
  <c r="W426" i="1"/>
  <c r="W375" i="1" s="1"/>
  <c r="Z424" i="1"/>
  <c r="Z373" i="1" s="1"/>
  <c r="W424" i="1"/>
  <c r="W373" i="1" s="1"/>
  <c r="Z302" i="1"/>
  <c r="W310" i="1"/>
  <c r="W250" i="1" s="1"/>
  <c r="Z307" i="1"/>
  <c r="Z247" i="1" s="1"/>
  <c r="W307" i="1"/>
  <c r="W247" i="1" s="1"/>
  <c r="W174" i="1"/>
  <c r="W107" i="1" s="1"/>
  <c r="Z175" i="1"/>
  <c r="Z108" i="1" s="1"/>
  <c r="W175" i="1"/>
  <c r="W108" i="1" s="1"/>
  <c r="Z425" i="1"/>
  <c r="Z374" i="1" s="1"/>
  <c r="Z418" i="1"/>
  <c r="AC418" i="1"/>
  <c r="AC367" i="1" s="1"/>
  <c r="Z309" i="1"/>
  <c r="Z249" i="1" s="1"/>
  <c r="Z170" i="1"/>
  <c r="Z103" i="1" s="1"/>
  <c r="AC170" i="1"/>
  <c r="AC103" i="1" s="1"/>
  <c r="Z163" i="1"/>
  <c r="Z96" i="1" s="1"/>
  <c r="AC163" i="1"/>
  <c r="AC96" i="1" s="1"/>
  <c r="Z164" i="1"/>
  <c r="Z97" i="1" s="1"/>
  <c r="AC164" i="1"/>
  <c r="AC97" i="1" s="1"/>
  <c r="Z161" i="1"/>
  <c r="Z94" i="1" s="1"/>
  <c r="AC161" i="1"/>
  <c r="AC94" i="1" s="1"/>
  <c r="Z162" i="1"/>
  <c r="Z95" i="1" s="1"/>
  <c r="AC162" i="1"/>
  <c r="AC95" i="1" s="1"/>
  <c r="Z300" i="1"/>
  <c r="Z240" i="1" s="1"/>
  <c r="AC300" i="1"/>
  <c r="Z426" i="1"/>
  <c r="Z375" i="1" s="1"/>
  <c r="Z367" i="1"/>
  <c r="Z310" i="1"/>
  <c r="Z250" i="1" s="1"/>
  <c r="Z174" i="1"/>
  <c r="Z107" i="1" s="1"/>
  <c r="AC420" i="1"/>
  <c r="AC425" i="1"/>
  <c r="AC374" i="1" s="1"/>
  <c r="AC302" i="1"/>
  <c r="AC310" i="1"/>
  <c r="AC250" i="1" s="1"/>
  <c r="AC309" i="1"/>
  <c r="AC249" i="1" s="1"/>
  <c r="AC307" i="1"/>
  <c r="AC247" i="1" s="1"/>
  <c r="AC174" i="1"/>
  <c r="AC107" i="1" s="1"/>
  <c r="AI424" i="1"/>
  <c r="AI373" i="1" s="1"/>
  <c r="AC424" i="1"/>
  <c r="AC373" i="1" s="1"/>
  <c r="AI425" i="1"/>
  <c r="AI374" i="1" s="1"/>
  <c r="AF426" i="1"/>
  <c r="AF375" i="1" s="1"/>
  <c r="AC426" i="1"/>
  <c r="AC375" i="1" s="1"/>
  <c r="AF302" i="1"/>
  <c r="C302" i="1" s="1"/>
  <c r="AF310" i="1"/>
  <c r="AF250" i="1" s="1"/>
  <c r="AI307" i="1"/>
  <c r="AI247" i="1" s="1"/>
  <c r="AI170" i="1"/>
  <c r="AI103" i="1" s="1"/>
  <c r="AI175" i="1"/>
  <c r="AI108" i="1" s="1"/>
  <c r="AC175" i="1"/>
  <c r="AC108" i="1" s="1"/>
  <c r="AI164" i="1"/>
  <c r="AI97" i="1" s="1"/>
  <c r="AI161" i="1"/>
  <c r="AI94" i="1" s="1"/>
  <c r="AI162" i="1"/>
  <c r="AI95" i="1" s="1"/>
  <c r="AI174" i="1"/>
  <c r="AI107" i="1" s="1"/>
  <c r="AF174" i="1"/>
  <c r="AF107" i="1" s="1"/>
  <c r="AI309" i="1"/>
  <c r="AI249" i="1" s="1"/>
  <c r="AL309" i="1"/>
  <c r="AL249" i="1" s="1"/>
  <c r="AF309" i="1"/>
  <c r="AF249" i="1" s="1"/>
  <c r="AI310" i="1"/>
  <c r="AI420" i="1"/>
  <c r="AI421" i="1" s="1"/>
  <c r="AI370" i="1" s="1"/>
  <c r="AI426" i="1"/>
  <c r="AI375" i="1" s="1"/>
  <c r="AF418" i="1"/>
  <c r="AI418" i="1"/>
  <c r="AI302" i="1"/>
  <c r="AF300" i="1"/>
  <c r="AI300" i="1"/>
  <c r="AF163" i="1"/>
  <c r="AF96" i="1" s="1"/>
  <c r="AI163" i="1"/>
  <c r="AI96" i="1" s="1"/>
  <c r="K80" i="1"/>
  <c r="AF420" i="1"/>
  <c r="AF369" i="1" s="1"/>
  <c r="AF170" i="1"/>
  <c r="AF103" i="1" s="1"/>
  <c r="AL175" i="1"/>
  <c r="AL108" i="1" s="1"/>
  <c r="AF175" i="1"/>
  <c r="AF108" i="1" s="1"/>
  <c r="AF161" i="1"/>
  <c r="AF94" i="1" s="1"/>
  <c r="AF164" i="1"/>
  <c r="AF97" i="1" s="1"/>
  <c r="AF307" i="1"/>
  <c r="AF247" i="1" s="1"/>
  <c r="AL307" i="1"/>
  <c r="AL247" i="1" s="1"/>
  <c r="AF424" i="1"/>
  <c r="AF373" i="1" s="1"/>
  <c r="AL424" i="1"/>
  <c r="AL373" i="1" s="1"/>
  <c r="AF162" i="1"/>
  <c r="AF95" i="1" s="1"/>
  <c r="AF425" i="1"/>
  <c r="AF374" i="1" s="1"/>
  <c r="AL300" i="1"/>
  <c r="AL302" i="1"/>
  <c r="AL163" i="1"/>
  <c r="AL96" i="1" s="1"/>
  <c r="AO425" i="1"/>
  <c r="AL425" i="1"/>
  <c r="AL374" i="1" s="1"/>
  <c r="AO420" i="1"/>
  <c r="C420" i="1" s="1"/>
  <c r="C369" i="1" s="1"/>
  <c r="AL420" i="1"/>
  <c r="AO418" i="1"/>
  <c r="AO367" i="1" s="1"/>
  <c r="AL418" i="1"/>
  <c r="AL162" i="1"/>
  <c r="AL95" i="1" s="1"/>
  <c r="AL170" i="1"/>
  <c r="AL103" i="1" s="1"/>
  <c r="AL161" i="1"/>
  <c r="AL94" i="1" s="1"/>
  <c r="AL164" i="1"/>
  <c r="AL97" i="1" s="1"/>
  <c r="AO302" i="1"/>
  <c r="AO309" i="1"/>
  <c r="AO307" i="1"/>
  <c r="AO300" i="1"/>
  <c r="AO240" i="1" s="1"/>
  <c r="AR163" i="1"/>
  <c r="AR96" i="1" s="1"/>
  <c r="S24" i="1"/>
  <c r="T24" i="1" s="1"/>
  <c r="U24" i="1" s="1"/>
  <c r="V24" i="1" s="1"/>
  <c r="W24" i="1" s="1"/>
  <c r="S44" i="1"/>
  <c r="T44" i="1" s="1"/>
  <c r="U44" i="1" s="1"/>
  <c r="V44" i="1" s="1"/>
  <c r="W44" i="1" s="1"/>
  <c r="S42" i="1"/>
  <c r="T42" i="1" s="1"/>
  <c r="U42" i="1" s="1"/>
  <c r="V42" i="1" s="1"/>
  <c r="W42" i="1" s="1"/>
  <c r="S40" i="1"/>
  <c r="T40" i="1" s="1"/>
  <c r="U40" i="1" s="1"/>
  <c r="V40" i="1" s="1"/>
  <c r="W40" i="1" s="1"/>
  <c r="S38" i="1"/>
  <c r="T38" i="1" s="1"/>
  <c r="U38" i="1" s="1"/>
  <c r="V38" i="1" s="1"/>
  <c r="W38" i="1" s="1"/>
  <c r="S36" i="1"/>
  <c r="T36" i="1" s="1"/>
  <c r="U36" i="1" s="1"/>
  <c r="V36" i="1" s="1"/>
  <c r="W36" i="1" s="1"/>
  <c r="S34" i="1"/>
  <c r="T34" i="1" s="1"/>
  <c r="U34" i="1" s="1"/>
  <c r="V34" i="1" s="1"/>
  <c r="W34" i="1" s="1"/>
  <c r="R44" i="1"/>
  <c r="R42" i="1"/>
  <c r="R40" i="1"/>
  <c r="R38" i="1"/>
  <c r="R36" i="1"/>
  <c r="R34" i="1"/>
  <c r="S43" i="1"/>
  <c r="T43" i="1" s="1"/>
  <c r="U43" i="1" s="1"/>
  <c r="V43" i="1" s="1"/>
  <c r="W43" i="1" s="1"/>
  <c r="S41" i="1"/>
  <c r="T41" i="1" s="1"/>
  <c r="U41" i="1" s="1"/>
  <c r="V41" i="1" s="1"/>
  <c r="W41" i="1" s="1"/>
  <c r="S39" i="1"/>
  <c r="T39" i="1" s="1"/>
  <c r="U39" i="1" s="1"/>
  <c r="V39" i="1" s="1"/>
  <c r="W39" i="1" s="1"/>
  <c r="S37" i="1"/>
  <c r="T37" i="1" s="1"/>
  <c r="U37" i="1" s="1"/>
  <c r="V37" i="1" s="1"/>
  <c r="W37" i="1" s="1"/>
  <c r="S35" i="1"/>
  <c r="T35" i="1" s="1"/>
  <c r="U35" i="1" s="1"/>
  <c r="V35" i="1" s="1"/>
  <c r="W35" i="1" s="1"/>
  <c r="S33" i="1"/>
  <c r="T33" i="1" s="1"/>
  <c r="U33" i="1" s="1"/>
  <c r="V33" i="1" s="1"/>
  <c r="W33" i="1" s="1"/>
  <c r="R43" i="1"/>
  <c r="R41" i="1"/>
  <c r="R39" i="1"/>
  <c r="R37" i="1"/>
  <c r="R35" i="1"/>
  <c r="R33" i="1"/>
  <c r="AO255" i="1"/>
  <c r="C314" i="1"/>
  <c r="C255" i="1" s="1"/>
  <c r="AO254" i="1"/>
  <c r="C313" i="1"/>
  <c r="C254" i="1" s="1"/>
  <c r="D66" i="1"/>
  <c r="AR300" i="1"/>
  <c r="AR240" i="1" s="1"/>
  <c r="AR418" i="1"/>
  <c r="AR170" i="1"/>
  <c r="AR103" i="1" s="1"/>
  <c r="AO161" i="1"/>
  <c r="AO94" i="1" s="1"/>
  <c r="AO164" i="1"/>
  <c r="AO97" i="1" s="1"/>
  <c r="AO163" i="1"/>
  <c r="AO96" i="1" s="1"/>
  <c r="AR161" i="1"/>
  <c r="AR94" i="1" s="1"/>
  <c r="AO170" i="1"/>
  <c r="AO103" i="1" s="1"/>
  <c r="AR164" i="1"/>
  <c r="AR97" i="1" s="1"/>
  <c r="AO162" i="1"/>
  <c r="AO95" i="1" s="1"/>
  <c r="AR162" i="1"/>
  <c r="AR95" i="1" s="1"/>
  <c r="AP115" i="1"/>
  <c r="S23" i="1"/>
  <c r="T23" i="1" s="1"/>
  <c r="U23" i="1" s="1"/>
  <c r="V23" i="1" s="1"/>
  <c r="W23" i="1" s="1"/>
  <c r="S26" i="1"/>
  <c r="T26" i="1" s="1"/>
  <c r="U26" i="1" s="1"/>
  <c r="V26" i="1" s="1"/>
  <c r="W26" i="1" s="1"/>
  <c r="S16" i="1"/>
  <c r="T16" i="1" s="1"/>
  <c r="U16" i="1" s="1"/>
  <c r="V16" i="1" s="1"/>
  <c r="W16" i="1" s="1"/>
  <c r="S17" i="1"/>
  <c r="T17" i="1" s="1"/>
  <c r="U17" i="1" s="1"/>
  <c r="V17" i="1" s="1"/>
  <c r="W17" i="1" s="1"/>
  <c r="R20" i="1"/>
  <c r="R27" i="1"/>
  <c r="R21" i="1"/>
  <c r="R19" i="1"/>
  <c r="W66" i="1"/>
  <c r="W65" i="1"/>
  <c r="S27" i="1"/>
  <c r="T27" i="1" s="1"/>
  <c r="U27" i="1" s="1"/>
  <c r="V27" i="1" s="1"/>
  <c r="W27" i="1" s="1"/>
  <c r="R26" i="1"/>
  <c r="R24" i="1"/>
  <c r="S22" i="1"/>
  <c r="T22" i="1" s="1"/>
  <c r="U22" i="1" s="1"/>
  <c r="V22" i="1" s="1"/>
  <c r="W22" i="1" s="1"/>
  <c r="S20" i="1"/>
  <c r="T20" i="1" s="1"/>
  <c r="U20" i="1" s="1"/>
  <c r="V20" i="1" s="1"/>
  <c r="W20" i="1" s="1"/>
  <c r="R17" i="1"/>
  <c r="D87" i="1"/>
  <c r="E160" i="1" s="1"/>
  <c r="R25" i="1"/>
  <c r="R23" i="1"/>
  <c r="S21" i="1"/>
  <c r="T21" i="1" s="1"/>
  <c r="U21" i="1" s="1"/>
  <c r="V21" i="1" s="1"/>
  <c r="W21" i="1" s="1"/>
  <c r="S19" i="1"/>
  <c r="T19" i="1" s="1"/>
  <c r="U19" i="1" s="1"/>
  <c r="V19" i="1" s="1"/>
  <c r="W19" i="1" s="1"/>
  <c r="R18" i="1"/>
  <c r="R16" i="1"/>
  <c r="S18" i="1"/>
  <c r="T18" i="1" s="1"/>
  <c r="U18" i="1" s="1"/>
  <c r="V18" i="1" s="1"/>
  <c r="W18" i="1" s="1"/>
  <c r="R22" i="1"/>
  <c r="S25" i="1"/>
  <c r="T25" i="1" s="1"/>
  <c r="U25" i="1" s="1"/>
  <c r="V25" i="1" s="1"/>
  <c r="W25" i="1" s="1"/>
  <c r="C247" i="1"/>
  <c r="C241" i="1"/>
  <c r="C301" i="1"/>
  <c r="J352" i="1"/>
  <c r="C368" i="1"/>
  <c r="C419" i="1"/>
  <c r="J222" i="1"/>
  <c r="C166" i="1"/>
  <c r="C99" i="1" s="1"/>
  <c r="E169" i="1" l="1"/>
  <c r="E102" i="1" s="1"/>
  <c r="E173" i="1"/>
  <c r="E106" i="1" s="1"/>
  <c r="E367" i="1"/>
  <c r="E419" i="1"/>
  <c r="E421" i="1"/>
  <c r="E370" i="1" s="1"/>
  <c r="E369" i="1"/>
  <c r="H367" i="1"/>
  <c r="H419" i="1"/>
  <c r="H421" i="1"/>
  <c r="H370" i="1" s="1"/>
  <c r="H369" i="1"/>
  <c r="E301" i="1"/>
  <c r="E241" i="1" s="1"/>
  <c r="E306" i="1"/>
  <c r="E246" i="1" s="1"/>
  <c r="E240" i="1"/>
  <c r="E242" i="1"/>
  <c r="E303" i="1"/>
  <c r="E243" i="1" s="1"/>
  <c r="H160" i="1"/>
  <c r="E180" i="1"/>
  <c r="E113" i="1" s="1"/>
  <c r="E178" i="1"/>
  <c r="E111" i="1" s="1"/>
  <c r="H169" i="1"/>
  <c r="H102" i="1" s="1"/>
  <c r="H173" i="1"/>
  <c r="H106" i="1" s="1"/>
  <c r="H303" i="1"/>
  <c r="H243" i="1" s="1"/>
  <c r="H242" i="1"/>
  <c r="H301" i="1"/>
  <c r="H241" i="1" s="1"/>
  <c r="H306" i="1"/>
  <c r="H246" i="1" s="1"/>
  <c r="H240" i="1"/>
  <c r="K160" i="1"/>
  <c r="H180" i="1"/>
  <c r="H113" i="1" s="1"/>
  <c r="H178" i="1"/>
  <c r="H111" i="1" s="1"/>
  <c r="K169" i="1"/>
  <c r="K102" i="1" s="1"/>
  <c r="K173" i="1" a="1"/>
  <c r="K173" i="1" s="1"/>
  <c r="K106" i="1" s="1"/>
  <c r="K421" i="1"/>
  <c r="K370" i="1" s="1"/>
  <c r="K369" i="1"/>
  <c r="K367" i="1"/>
  <c r="K419" i="1"/>
  <c r="K422" i="1" s="1"/>
  <c r="K371" i="1" s="1"/>
  <c r="K303" i="1"/>
  <c r="K243" i="1" s="1"/>
  <c r="K242" i="1"/>
  <c r="N240" i="1"/>
  <c r="N301" i="1"/>
  <c r="N306" i="1"/>
  <c r="N246" i="1" s="1"/>
  <c r="K301" i="1"/>
  <c r="K241" i="1" s="1"/>
  <c r="K240" i="1"/>
  <c r="K306" i="1"/>
  <c r="K246" i="1" s="1"/>
  <c r="N303" i="1"/>
  <c r="N243" i="1" s="1"/>
  <c r="N242" i="1"/>
  <c r="N160" i="1"/>
  <c r="K180" i="1"/>
  <c r="K113" i="1" s="1"/>
  <c r="K178" i="1"/>
  <c r="K111" i="1" s="1"/>
  <c r="N169" i="1"/>
  <c r="N102" i="1" s="1"/>
  <c r="N173" i="1"/>
  <c r="N106" i="1" s="1"/>
  <c r="N421" i="1"/>
  <c r="N370" i="1" s="1"/>
  <c r="N369" i="1"/>
  <c r="N367" i="1"/>
  <c r="N419" i="1"/>
  <c r="N178" i="1"/>
  <c r="N111" i="1" s="1"/>
  <c r="N180" i="1"/>
  <c r="N113" i="1" s="1"/>
  <c r="Q160" i="1"/>
  <c r="Q173" i="1"/>
  <c r="Q106" i="1" s="1"/>
  <c r="Q169" i="1"/>
  <c r="Q102" i="1" s="1"/>
  <c r="Q421" i="1"/>
  <c r="Q370" i="1" s="1"/>
  <c r="Q369" i="1"/>
  <c r="Q419" i="1"/>
  <c r="Q367" i="1"/>
  <c r="Q306" i="1"/>
  <c r="Q246" i="1" s="1"/>
  <c r="Q240" i="1"/>
  <c r="Q301" i="1"/>
  <c r="Q241" i="1" s="1"/>
  <c r="Q242" i="1"/>
  <c r="Q303" i="1"/>
  <c r="Q243" i="1" s="1"/>
  <c r="T160" i="1"/>
  <c r="Q180" i="1"/>
  <c r="Q113" i="1" s="1"/>
  <c r="Q178" i="1"/>
  <c r="Q111" i="1" s="1"/>
  <c r="T173" i="1"/>
  <c r="T106" i="1" s="1"/>
  <c r="W173" i="1"/>
  <c r="W106" i="1" s="1"/>
  <c r="T169" i="1"/>
  <c r="T102" i="1" s="1"/>
  <c r="T421" i="1"/>
  <c r="T370" i="1" s="1"/>
  <c r="T369" i="1"/>
  <c r="T419" i="1"/>
  <c r="T422" i="1" s="1"/>
  <c r="T371" i="1" s="1"/>
  <c r="T367" i="1"/>
  <c r="T306" i="1"/>
  <c r="T246" i="1" s="1"/>
  <c r="T240" i="1"/>
  <c r="T301" i="1"/>
  <c r="T241" i="1" s="1"/>
  <c r="T242" i="1"/>
  <c r="T303" i="1"/>
  <c r="T243" i="1" s="1"/>
  <c r="W160" i="1"/>
  <c r="W169" i="1"/>
  <c r="W102" i="1" s="1"/>
  <c r="T180" i="1"/>
  <c r="T113" i="1" s="1"/>
  <c r="T178" i="1"/>
  <c r="T111" i="1" s="1"/>
  <c r="W301" i="1"/>
  <c r="W241" i="1" s="1"/>
  <c r="W419" i="1"/>
  <c r="W422" i="1" s="1"/>
  <c r="W371" i="1" s="1"/>
  <c r="W306" i="1"/>
  <c r="W246" i="1" s="1"/>
  <c r="W421" i="1"/>
  <c r="W369" i="1"/>
  <c r="W303" i="1"/>
  <c r="W243" i="1" s="1"/>
  <c r="W242" i="1"/>
  <c r="W178" i="1"/>
  <c r="W111" i="1" s="1"/>
  <c r="W180" i="1"/>
  <c r="W113" i="1" s="1"/>
  <c r="Z169" i="1"/>
  <c r="Z102" i="1" s="1"/>
  <c r="AC169" i="1"/>
  <c r="AC102" i="1" s="1"/>
  <c r="Z173" i="1"/>
  <c r="Z106" i="1" s="1"/>
  <c r="Z160" i="1"/>
  <c r="AC160" i="1"/>
  <c r="Z301" i="1"/>
  <c r="Z241" i="1" s="1"/>
  <c r="Z306" i="1"/>
  <c r="Z246" i="1" s="1"/>
  <c r="Z419" i="1"/>
  <c r="Z421" i="1"/>
  <c r="Z370" i="1" s="1"/>
  <c r="Z369" i="1"/>
  <c r="Z242" i="1"/>
  <c r="Z303" i="1"/>
  <c r="Z243" i="1" s="1"/>
  <c r="Z180" i="1"/>
  <c r="Z113" i="1" s="1"/>
  <c r="Z178" i="1"/>
  <c r="Z111" i="1" s="1"/>
  <c r="AC301" i="1"/>
  <c r="AC241" i="1" s="1"/>
  <c r="AC240" i="1"/>
  <c r="AC306" i="1"/>
  <c r="AC246" i="1" s="1"/>
  <c r="AC242" i="1"/>
  <c r="AC303" i="1"/>
  <c r="AC243" i="1" s="1"/>
  <c r="AC419" i="1"/>
  <c r="AC422" i="1" s="1"/>
  <c r="AC371" i="1" s="1"/>
  <c r="AF242" i="1"/>
  <c r="AC173" i="1"/>
  <c r="AC106" i="1" s="1"/>
  <c r="AC421" i="1"/>
  <c r="AC370" i="1" s="1"/>
  <c r="AC369" i="1"/>
  <c r="AC178" i="1"/>
  <c r="AC111" i="1" s="1"/>
  <c r="AC180" i="1"/>
  <c r="AC113" i="1" s="1"/>
  <c r="AI419" i="1"/>
  <c r="AI422" i="1" s="1"/>
  <c r="AS466" i="1"/>
  <c r="AS298" i="1"/>
  <c r="AS158" i="1"/>
  <c r="AS348" i="1"/>
  <c r="AS220" i="1"/>
  <c r="AS365" i="1"/>
  <c r="AS238" i="1"/>
  <c r="AS415" i="1"/>
  <c r="AS291" i="1"/>
  <c r="AS91" i="1"/>
  <c r="AF367" i="1"/>
  <c r="AI301" i="1"/>
  <c r="AI369" i="1"/>
  <c r="AI306" i="1"/>
  <c r="AI246" i="1" s="1"/>
  <c r="AI250" i="1"/>
  <c r="AI180" i="1"/>
  <c r="AI113" i="1" s="1"/>
  <c r="AI178" i="1"/>
  <c r="AI111" i="1" s="1"/>
  <c r="AF240" i="1"/>
  <c r="AF421" i="1"/>
  <c r="AF370" i="1" s="1"/>
  <c r="AF419" i="1"/>
  <c r="AF368" i="1" s="1"/>
  <c r="AI367" i="1"/>
  <c r="AI240" i="1"/>
  <c r="AI303" i="1"/>
  <c r="AI243" i="1" s="1"/>
  <c r="AI242" i="1"/>
  <c r="AI173" i="1"/>
  <c r="AI106" i="1" s="1"/>
  <c r="AI169" i="1"/>
  <c r="AI102" i="1" s="1"/>
  <c r="AF160" i="1"/>
  <c r="AI160" i="1"/>
  <c r="AO419" i="1"/>
  <c r="AO368" i="1" s="1"/>
  <c r="AF303" i="1"/>
  <c r="AF243" i="1" s="1"/>
  <c r="AF301" i="1"/>
  <c r="AF306" i="1"/>
  <c r="AF246" i="1" s="1"/>
  <c r="AF180" i="1"/>
  <c r="AF113" i="1" s="1"/>
  <c r="AF169" i="1"/>
  <c r="AF178" i="1"/>
  <c r="AF111" i="1" s="1"/>
  <c r="AF173" i="1"/>
  <c r="AF106" i="1" s="1"/>
  <c r="AL160" i="1"/>
  <c r="AL93" i="1" s="1"/>
  <c r="AR178" i="1"/>
  <c r="AR111" i="1" s="1"/>
  <c r="AR180" i="1"/>
  <c r="AR113" i="1" s="1"/>
  <c r="AO178" i="1"/>
  <c r="AO111" i="1" s="1"/>
  <c r="AO180" i="1"/>
  <c r="AO113" i="1" s="1"/>
  <c r="AL367" i="1"/>
  <c r="AL419" i="1"/>
  <c r="AL421" i="1"/>
  <c r="AL370" i="1" s="1"/>
  <c r="AL369" i="1"/>
  <c r="AL180" i="1"/>
  <c r="AL113" i="1" s="1"/>
  <c r="AL173" i="1"/>
  <c r="AL106" i="1" s="1"/>
  <c r="AL169" i="1"/>
  <c r="AL102" i="1" s="1"/>
  <c r="AL178" i="1"/>
  <c r="AL111" i="1" s="1"/>
  <c r="AL240" i="1"/>
  <c r="AL301" i="1"/>
  <c r="AL306" i="1"/>
  <c r="AL246" i="1" s="1"/>
  <c r="AL303" i="1"/>
  <c r="AL243" i="1" s="1"/>
  <c r="AL242" i="1"/>
  <c r="I39" i="1"/>
  <c r="I33" i="1"/>
  <c r="I41" i="1"/>
  <c r="I34" i="1"/>
  <c r="I42" i="1"/>
  <c r="I40" i="1"/>
  <c r="I35" i="1"/>
  <c r="I43" i="1"/>
  <c r="I36" i="1"/>
  <c r="I44" i="1"/>
  <c r="I37" i="1"/>
  <c r="I38" i="1"/>
  <c r="AO173" i="1"/>
  <c r="AR306" i="1"/>
  <c r="AR246" i="1" s="1"/>
  <c r="AR301" i="1"/>
  <c r="I20" i="1"/>
  <c r="I27" i="1"/>
  <c r="I16" i="1"/>
  <c r="I18" i="1"/>
  <c r="AO160" i="1"/>
  <c r="AR160" i="1"/>
  <c r="AO169" i="1"/>
  <c r="AO102" i="1" s="1"/>
  <c r="AR169" i="1"/>
  <c r="AR102" i="1" s="1"/>
  <c r="I23" i="1"/>
  <c r="AO301" i="1"/>
  <c r="AO306" i="1"/>
  <c r="AO246" i="1" s="1"/>
  <c r="AR419" i="1"/>
  <c r="AR367" i="1"/>
  <c r="I25" i="1"/>
  <c r="E60" i="1"/>
  <c r="E61" i="1"/>
  <c r="I19" i="1"/>
  <c r="I26" i="1"/>
  <c r="I22" i="1"/>
  <c r="I17" i="1"/>
  <c r="I21" i="1"/>
  <c r="I24" i="1"/>
  <c r="E165" i="1" l="1"/>
  <c r="H368" i="1"/>
  <c r="H422" i="1"/>
  <c r="I454" i="1" s="1"/>
  <c r="E422" i="1"/>
  <c r="E371" i="1" s="1"/>
  <c r="E368" i="1"/>
  <c r="E305" i="1"/>
  <c r="E311" i="1" s="1"/>
  <c r="H165" i="1"/>
  <c r="E171" i="1"/>
  <c r="E104" i="1" s="1"/>
  <c r="E166" i="1"/>
  <c r="E99" i="1" s="1"/>
  <c r="E93" i="1"/>
  <c r="H305" i="1"/>
  <c r="I318" i="1" s="1"/>
  <c r="H166" i="1"/>
  <c r="H99" i="1" s="1"/>
  <c r="H93" i="1"/>
  <c r="H171" i="1"/>
  <c r="H104" i="1" s="1"/>
  <c r="K165" i="1" a="1"/>
  <c r="K165" i="1" s="1"/>
  <c r="K167" i="1" s="1"/>
  <c r="K100" i="1" s="1"/>
  <c r="K427" i="1"/>
  <c r="K376" i="1" s="1"/>
  <c r="L436" i="1"/>
  <c r="L385" i="1" s="1"/>
  <c r="L437" i="1"/>
  <c r="L386" i="1" s="1"/>
  <c r="K305" i="1"/>
  <c r="K245" i="1" s="1"/>
  <c r="L438" i="1"/>
  <c r="L387" i="1" s="1"/>
  <c r="K368" i="1"/>
  <c r="L454" i="1"/>
  <c r="L435" i="1"/>
  <c r="N241" i="1"/>
  <c r="N305" i="1"/>
  <c r="O336" i="1" s="1"/>
  <c r="K93" i="1"/>
  <c r="K166" i="1"/>
  <c r="K99" i="1" s="1"/>
  <c r="K171" i="1"/>
  <c r="K104" i="1" s="1"/>
  <c r="N165" i="1"/>
  <c r="N368" i="1"/>
  <c r="N422" i="1"/>
  <c r="Q165" i="1"/>
  <c r="Q98" i="1" s="1"/>
  <c r="N93" i="1"/>
  <c r="N171" i="1"/>
  <c r="N104" i="1" s="1"/>
  <c r="N166" i="1"/>
  <c r="N99" i="1" s="1"/>
  <c r="Q422" i="1"/>
  <c r="Q371" i="1" s="1"/>
  <c r="Q368" i="1"/>
  <c r="Q305" i="1"/>
  <c r="Q245" i="1" s="1"/>
  <c r="Q171" i="1"/>
  <c r="Q104" i="1" s="1"/>
  <c r="Q166" i="1"/>
  <c r="Q99" i="1" s="1"/>
  <c r="Q93" i="1"/>
  <c r="T165" i="1"/>
  <c r="W165" i="1"/>
  <c r="U454" i="1"/>
  <c r="U458" i="1" s="1"/>
  <c r="U407" i="1" s="1"/>
  <c r="U437" i="1"/>
  <c r="U386" i="1" s="1"/>
  <c r="T427" i="1"/>
  <c r="T368" i="1"/>
  <c r="U438" i="1"/>
  <c r="U387" i="1" s="1"/>
  <c r="U436" i="1"/>
  <c r="U385" i="1" s="1"/>
  <c r="U435" i="1"/>
  <c r="T305" i="1"/>
  <c r="T245" i="1" s="1"/>
  <c r="T171" i="1"/>
  <c r="T104" i="1" s="1"/>
  <c r="T166" i="1"/>
  <c r="T99" i="1" s="1"/>
  <c r="T93" i="1"/>
  <c r="W305" i="1"/>
  <c r="X318" i="1" s="1"/>
  <c r="X259" i="1" s="1"/>
  <c r="X437" i="1"/>
  <c r="X386" i="1" s="1"/>
  <c r="X454" i="1"/>
  <c r="X403" i="1" s="1"/>
  <c r="W368" i="1"/>
  <c r="W370" i="1"/>
  <c r="X435" i="1"/>
  <c r="X436" i="1"/>
  <c r="X385" i="1" s="1"/>
  <c r="W427" i="1"/>
  <c r="X438" i="1"/>
  <c r="X387" i="1" s="1"/>
  <c r="Z165" i="1"/>
  <c r="Z167" i="1" s="1"/>
  <c r="Z100" i="1" s="1"/>
  <c r="W93" i="1"/>
  <c r="W171" i="1"/>
  <c r="W104" i="1" s="1"/>
  <c r="W166" i="1"/>
  <c r="W99" i="1" s="1"/>
  <c r="AC165" i="1"/>
  <c r="AC167" i="1" s="1"/>
  <c r="AC368" i="1"/>
  <c r="Z305" i="1"/>
  <c r="Z245" i="1" s="1"/>
  <c r="Z368" i="1"/>
  <c r="Z422" i="1"/>
  <c r="Z371" i="1" s="1"/>
  <c r="Z171" i="1"/>
  <c r="Z104" i="1" s="1"/>
  <c r="Z166" i="1"/>
  <c r="Z99" i="1" s="1"/>
  <c r="Z93" i="1"/>
  <c r="AC305" i="1"/>
  <c r="AC245" i="1" s="1"/>
  <c r="AC166" i="1"/>
  <c r="AC99" i="1" s="1"/>
  <c r="AD454" i="1"/>
  <c r="AD459" i="1" s="1"/>
  <c r="AD408" i="1" s="1"/>
  <c r="AD437" i="1"/>
  <c r="AD386" i="1" s="1"/>
  <c r="AD435" i="1"/>
  <c r="AD384" i="1" s="1"/>
  <c r="AD438" i="1"/>
  <c r="AD387" i="1" s="1"/>
  <c r="AC427" i="1"/>
  <c r="AD436" i="1"/>
  <c r="AD385" i="1" s="1"/>
  <c r="AC171" i="1"/>
  <c r="AC93" i="1"/>
  <c r="AI241" i="1"/>
  <c r="AI427" i="1"/>
  <c r="AI433" i="1" s="1"/>
  <c r="AJ435" i="1"/>
  <c r="AJ384" i="1" s="1"/>
  <c r="AI305" i="1"/>
  <c r="AI311" i="1" s="1"/>
  <c r="AI165" i="1"/>
  <c r="AI98" i="1" s="1"/>
  <c r="AI166" i="1"/>
  <c r="AI99" i="1" s="1"/>
  <c r="AI171" i="1"/>
  <c r="AF171" i="1"/>
  <c r="AI371" i="1"/>
  <c r="AF422" i="1"/>
  <c r="AG437" i="1" s="1"/>
  <c r="AG386" i="1" s="1"/>
  <c r="AJ438" i="1"/>
  <c r="AJ387" i="1" s="1"/>
  <c r="AI368" i="1"/>
  <c r="AJ454" i="1"/>
  <c r="AJ459" i="1" s="1"/>
  <c r="AJ408" i="1" s="1"/>
  <c r="AJ437" i="1"/>
  <c r="AJ386" i="1" s="1"/>
  <c r="AI93" i="1"/>
  <c r="AF241" i="1"/>
  <c r="AR241" i="1"/>
  <c r="AO241" i="1"/>
  <c r="AL241" i="1"/>
  <c r="AF305" i="1"/>
  <c r="AF311" i="1" s="1"/>
  <c r="AF102" i="1"/>
  <c r="AF166" i="1"/>
  <c r="AF165" i="1"/>
  <c r="AL165" i="1"/>
  <c r="AF93" i="1"/>
  <c r="AL305" i="1"/>
  <c r="AL245" i="1" s="1"/>
  <c r="AL422" i="1"/>
  <c r="AM435" i="1" s="1"/>
  <c r="AL368" i="1"/>
  <c r="AL171" i="1"/>
  <c r="AL104" i="1" s="1"/>
  <c r="AL166" i="1"/>
  <c r="AO165" i="1"/>
  <c r="AO98" i="1" s="1"/>
  <c r="AO374" i="1"/>
  <c r="AO247" i="1"/>
  <c r="AO106" i="1"/>
  <c r="AO175" i="1"/>
  <c r="AO108" i="1" s="1"/>
  <c r="AO249" i="1"/>
  <c r="AO244" i="1"/>
  <c r="AO372" i="1"/>
  <c r="AO424" i="1"/>
  <c r="AO373" i="1" s="1"/>
  <c r="AO421" i="1"/>
  <c r="C242" i="1"/>
  <c r="AR423" i="1"/>
  <c r="AR372" i="1" s="1"/>
  <c r="AR304" i="1"/>
  <c r="AR244" i="1" s="1"/>
  <c r="AR173" i="1"/>
  <c r="AR106" i="1" s="1"/>
  <c r="AR308" i="1"/>
  <c r="AR248" i="1" s="1"/>
  <c r="AR425" i="1"/>
  <c r="AR374" i="1" s="1"/>
  <c r="AR309" i="1"/>
  <c r="AR249" i="1" s="1"/>
  <c r="AO248" i="1"/>
  <c r="AR307" i="1"/>
  <c r="AR247" i="1" s="1"/>
  <c r="AR424" i="1"/>
  <c r="AR373" i="1" s="1"/>
  <c r="AR175" i="1"/>
  <c r="AR108" i="1" s="1"/>
  <c r="AR302" i="1"/>
  <c r="AR303" i="1" s="1"/>
  <c r="AR420" i="1"/>
  <c r="AR421" i="1" s="1"/>
  <c r="AR165" i="1"/>
  <c r="AS1" i="1"/>
  <c r="AR93" i="1"/>
  <c r="AR171" i="1"/>
  <c r="AR104" i="1" s="1"/>
  <c r="AR166" i="1"/>
  <c r="AR99" i="1" s="1"/>
  <c r="AR368" i="1"/>
  <c r="AO93" i="1"/>
  <c r="AO166" i="1"/>
  <c r="AO99" i="1" s="1"/>
  <c r="AO171" i="1"/>
  <c r="AO104" i="1" s="1"/>
  <c r="F436" i="1" l="1"/>
  <c r="F385" i="1" s="1"/>
  <c r="I436" i="1"/>
  <c r="I385" i="1" s="1"/>
  <c r="H427" i="1"/>
  <c r="H433" i="1" s="1"/>
  <c r="I438" i="1"/>
  <c r="I387" i="1" s="1"/>
  <c r="F438" i="1"/>
  <c r="F387" i="1" s="1"/>
  <c r="I435" i="1"/>
  <c r="H371" i="1"/>
  <c r="I437" i="1"/>
  <c r="I386" i="1" s="1"/>
  <c r="I459" i="1"/>
  <c r="I408" i="1" s="1"/>
  <c r="F435" i="1"/>
  <c r="H376" i="1"/>
  <c r="E427" i="1"/>
  <c r="F437" i="1"/>
  <c r="F386" i="1" s="1"/>
  <c r="F454" i="1"/>
  <c r="F459" i="1" s="1"/>
  <c r="F408" i="1" s="1"/>
  <c r="I403" i="1"/>
  <c r="I456" i="1"/>
  <c r="I405" i="1" s="1"/>
  <c r="I458" i="1"/>
  <c r="I407" i="1" s="1"/>
  <c r="E252" i="1"/>
  <c r="E316" i="1"/>
  <c r="E245" i="1"/>
  <c r="F318" i="1"/>
  <c r="F321" i="1"/>
  <c r="F262" i="1" s="1"/>
  <c r="F319" i="1"/>
  <c r="F260" i="1" s="1"/>
  <c r="F336" i="1"/>
  <c r="F342" i="1" s="1"/>
  <c r="F284" i="1" s="1"/>
  <c r="E194" i="1"/>
  <c r="F320" i="1"/>
  <c r="F261" i="1" s="1"/>
  <c r="E167" i="1"/>
  <c r="E98" i="1"/>
  <c r="I259" i="1"/>
  <c r="K433" i="1"/>
  <c r="K382" i="1" s="1"/>
  <c r="H245" i="1"/>
  <c r="H311" i="1"/>
  <c r="I336" i="1"/>
  <c r="I340" i="1" s="1"/>
  <c r="I283" i="1" s="1"/>
  <c r="I321" i="1"/>
  <c r="I262" i="1" s="1"/>
  <c r="I320" i="1"/>
  <c r="I261" i="1" s="1"/>
  <c r="I319" i="1"/>
  <c r="I260" i="1" s="1"/>
  <c r="K98" i="1"/>
  <c r="H98" i="1"/>
  <c r="H167" i="1"/>
  <c r="H100" i="1" s="1"/>
  <c r="H194" i="1"/>
  <c r="K311" i="1"/>
  <c r="K316" i="1" s="1"/>
  <c r="L384" i="1"/>
  <c r="L439" i="1"/>
  <c r="L388" i="1" s="1"/>
  <c r="L319" i="1"/>
  <c r="L260" i="1" s="1"/>
  <c r="L403" i="1"/>
  <c r="L456" i="1"/>
  <c r="L405" i="1" s="1"/>
  <c r="L458" i="1"/>
  <c r="L407" i="1" s="1"/>
  <c r="L459" i="1"/>
  <c r="L408" i="1" s="1"/>
  <c r="L321" i="1"/>
  <c r="L262" i="1" s="1"/>
  <c r="L318" i="1"/>
  <c r="L259" i="1" s="1"/>
  <c r="L320" i="1"/>
  <c r="L261" i="1" s="1"/>
  <c r="L336" i="1"/>
  <c r="L340" i="1" s="1"/>
  <c r="L283" i="1" s="1"/>
  <c r="O338" i="1"/>
  <c r="O281" i="1" s="1"/>
  <c r="O279" i="1"/>
  <c r="N245" i="1"/>
  <c r="N311" i="1"/>
  <c r="O340" i="1"/>
  <c r="O283" i="1" s="1"/>
  <c r="O320" i="1"/>
  <c r="O261" i="1" s="1"/>
  <c r="O319" i="1"/>
  <c r="O260" i="1" s="1"/>
  <c r="O342" i="1"/>
  <c r="O284" i="1" s="1"/>
  <c r="O318" i="1"/>
  <c r="O321" i="1"/>
  <c r="O262" i="1" s="1"/>
  <c r="K194" i="1"/>
  <c r="Q167" i="1"/>
  <c r="Q100" i="1" s="1"/>
  <c r="N371" i="1"/>
  <c r="O435" i="1"/>
  <c r="O436" i="1"/>
  <c r="O385" i="1" s="1"/>
  <c r="O454" i="1"/>
  <c r="O458" i="1" s="1"/>
  <c r="O407" i="1" s="1"/>
  <c r="O437" i="1"/>
  <c r="O386" i="1" s="1"/>
  <c r="N427" i="1"/>
  <c r="O438" i="1"/>
  <c r="O387" i="1" s="1"/>
  <c r="N194" i="1"/>
  <c r="N167" i="1"/>
  <c r="N98" i="1"/>
  <c r="Z98" i="1"/>
  <c r="Q427" i="1"/>
  <c r="Q433" i="1" s="1"/>
  <c r="R320" i="1"/>
  <c r="R261" i="1" s="1"/>
  <c r="R318" i="1"/>
  <c r="R259" i="1" s="1"/>
  <c r="Q311" i="1"/>
  <c r="Q252" i="1" s="1"/>
  <c r="R438" i="1"/>
  <c r="R387" i="1" s="1"/>
  <c r="R437" i="1"/>
  <c r="R386" i="1" s="1"/>
  <c r="R336" i="1"/>
  <c r="R338" i="1" s="1"/>
  <c r="R281" i="1" s="1"/>
  <c r="R321" i="1"/>
  <c r="R262" i="1" s="1"/>
  <c r="R436" i="1"/>
  <c r="R385" i="1" s="1"/>
  <c r="R454" i="1"/>
  <c r="R458" i="1" s="1"/>
  <c r="R407" i="1" s="1"/>
  <c r="R319" i="1"/>
  <c r="R260" i="1" s="1"/>
  <c r="R435" i="1"/>
  <c r="Q194" i="1"/>
  <c r="U459" i="1"/>
  <c r="U408" i="1" s="1"/>
  <c r="U318" i="1"/>
  <c r="U259" i="1" s="1"/>
  <c r="X458" i="1"/>
  <c r="X407" i="1" s="1"/>
  <c r="U320" i="1"/>
  <c r="U261" i="1" s="1"/>
  <c r="U384" i="1"/>
  <c r="U439" i="1"/>
  <c r="U388" i="1" s="1"/>
  <c r="T433" i="1"/>
  <c r="T376" i="1"/>
  <c r="T311" i="1"/>
  <c r="T316" i="1" s="1"/>
  <c r="U456" i="1"/>
  <c r="U405" i="1" s="1"/>
  <c r="U403" i="1"/>
  <c r="X319" i="1"/>
  <c r="X260" i="1" s="1"/>
  <c r="X321" i="1"/>
  <c r="X262" i="1" s="1"/>
  <c r="U319" i="1"/>
  <c r="U260" i="1" s="1"/>
  <c r="W245" i="1"/>
  <c r="X336" i="1"/>
  <c r="X279" i="1" s="1"/>
  <c r="X320" i="1"/>
  <c r="X261" i="1" s="1"/>
  <c r="W311" i="1"/>
  <c r="U336" i="1"/>
  <c r="U321" i="1"/>
  <c r="U262" i="1" s="1"/>
  <c r="T194" i="1"/>
  <c r="T167" i="1"/>
  <c r="T98" i="1"/>
  <c r="AD403" i="1"/>
  <c r="X456" i="1"/>
  <c r="X405" i="1" s="1"/>
  <c r="X459" i="1"/>
  <c r="X408" i="1" s="1"/>
  <c r="W194" i="1"/>
  <c r="X439" i="1"/>
  <c r="X388" i="1" s="1"/>
  <c r="X384" i="1"/>
  <c r="W376" i="1"/>
  <c r="W433" i="1"/>
  <c r="AA321" i="1"/>
  <c r="AA262" i="1" s="1"/>
  <c r="AA320" i="1"/>
  <c r="AA261" i="1" s="1"/>
  <c r="W167" i="1"/>
  <c r="W98" i="1"/>
  <c r="AC98" i="1"/>
  <c r="AA319" i="1"/>
  <c r="AA260" i="1" s="1"/>
  <c r="AA336" i="1"/>
  <c r="AA340" i="1" s="1"/>
  <c r="AA283" i="1" s="1"/>
  <c r="Z311" i="1"/>
  <c r="AA318" i="1"/>
  <c r="AA259" i="1" s="1"/>
  <c r="AA435" i="1"/>
  <c r="AA438" i="1"/>
  <c r="AA387" i="1" s="1"/>
  <c r="AA437" i="1"/>
  <c r="AA386" i="1" s="1"/>
  <c r="Z427" i="1"/>
  <c r="AA454" i="1"/>
  <c r="AA436" i="1"/>
  <c r="AA385" i="1" s="1"/>
  <c r="Z194" i="1"/>
  <c r="AD320" i="1"/>
  <c r="AD261" i="1" s="1"/>
  <c r="AC311" i="1"/>
  <c r="AC316" i="1" s="1"/>
  <c r="AD458" i="1"/>
  <c r="AD407" i="1" s="1"/>
  <c r="AD321" i="1"/>
  <c r="AD262" i="1" s="1"/>
  <c r="AD318" i="1"/>
  <c r="AD259" i="1" s="1"/>
  <c r="AD336" i="1"/>
  <c r="AD340" i="1" s="1"/>
  <c r="AD283" i="1" s="1"/>
  <c r="AD319" i="1"/>
  <c r="AD260" i="1" s="1"/>
  <c r="AC104" i="1"/>
  <c r="AF104" i="1"/>
  <c r="AC100" i="1"/>
  <c r="AI104" i="1"/>
  <c r="AD456" i="1"/>
  <c r="AD405" i="1" s="1"/>
  <c r="AF194" i="1"/>
  <c r="AC194" i="1"/>
  <c r="AI194" i="1"/>
  <c r="AK170" i="1" s="1"/>
  <c r="AC433" i="1"/>
  <c r="AC376" i="1"/>
  <c r="AD439" i="1"/>
  <c r="AD388" i="1" s="1"/>
  <c r="AJ319" i="1"/>
  <c r="AJ260" i="1" s="1"/>
  <c r="AJ318" i="1"/>
  <c r="AJ259" i="1" s="1"/>
  <c r="AI376" i="1"/>
  <c r="AJ436" i="1"/>
  <c r="AJ385" i="1" s="1"/>
  <c r="AG319" i="1"/>
  <c r="AG260" i="1" s="1"/>
  <c r="AI167" i="1"/>
  <c r="AI100" i="1" s="1"/>
  <c r="AG435" i="1"/>
  <c r="AG384" i="1" s="1"/>
  <c r="AI245" i="1"/>
  <c r="AF427" i="1"/>
  <c r="AF376" i="1" s="1"/>
  <c r="AG454" i="1"/>
  <c r="AG456" i="1" s="1"/>
  <c r="AG405" i="1" s="1"/>
  <c r="AG438" i="1"/>
  <c r="AG387" i="1" s="1"/>
  <c r="AI316" i="1"/>
  <c r="AF371" i="1"/>
  <c r="AG436" i="1"/>
  <c r="AG385" i="1" s="1"/>
  <c r="AJ336" i="1"/>
  <c r="AJ342" i="1" s="1"/>
  <c r="AJ284" i="1" s="1"/>
  <c r="AJ320" i="1"/>
  <c r="AJ261" i="1" s="1"/>
  <c r="AJ321" i="1"/>
  <c r="AJ262" i="1" s="1"/>
  <c r="AI382" i="1"/>
  <c r="AJ456" i="1"/>
  <c r="AJ405" i="1" s="1"/>
  <c r="AJ403" i="1"/>
  <c r="AJ458" i="1"/>
  <c r="AJ407" i="1" s="1"/>
  <c r="AI252" i="1"/>
  <c r="AG336" i="1"/>
  <c r="AG338" i="1" s="1"/>
  <c r="AL99" i="1"/>
  <c r="AF99" i="1"/>
  <c r="AG321" i="1"/>
  <c r="AG262" i="1" s="1"/>
  <c r="AF245" i="1"/>
  <c r="AG318" i="1"/>
  <c r="AG320" i="1"/>
  <c r="AG261" i="1" s="1"/>
  <c r="AM436" i="1"/>
  <c r="AM385" i="1" s="1"/>
  <c r="AM454" i="1"/>
  <c r="AM403" i="1" s="1"/>
  <c r="AM319" i="1"/>
  <c r="AM260" i="1" s="1"/>
  <c r="AM336" i="1"/>
  <c r="AM321" i="1"/>
  <c r="AM262" i="1" s="1"/>
  <c r="AM318" i="1"/>
  <c r="AM259" i="1" s="1"/>
  <c r="AL311" i="1"/>
  <c r="AL252" i="1" s="1"/>
  <c r="AM320" i="1"/>
  <c r="AM261" i="1" s="1"/>
  <c r="AL427" i="1"/>
  <c r="AL433" i="1" s="1"/>
  <c r="AM438" i="1"/>
  <c r="AM387" i="1" s="1"/>
  <c r="AF98" i="1"/>
  <c r="AF167" i="1"/>
  <c r="AF100" i="1" s="1"/>
  <c r="AM384" i="1"/>
  <c r="AL371" i="1"/>
  <c r="AM437" i="1"/>
  <c r="AM386" i="1" s="1"/>
  <c r="AL98" i="1"/>
  <c r="AL167" i="1"/>
  <c r="AL100" i="1" s="1"/>
  <c r="AL194" i="1"/>
  <c r="AO422" i="1"/>
  <c r="AP454" i="1" s="1"/>
  <c r="AO305" i="1"/>
  <c r="AR305" i="1"/>
  <c r="AR242" i="1"/>
  <c r="AO369" i="1"/>
  <c r="AR369" i="1"/>
  <c r="AO303" i="1"/>
  <c r="AO243" i="1" s="1"/>
  <c r="AO242" i="1"/>
  <c r="AO167" i="1"/>
  <c r="AO100" i="1" s="1"/>
  <c r="AR422" i="1"/>
  <c r="AR98" i="1"/>
  <c r="AR167" i="1"/>
  <c r="AR100" i="1" s="1"/>
  <c r="AR194" i="1"/>
  <c r="AR243" i="1"/>
  <c r="AR370" i="1"/>
  <c r="AO194" i="1"/>
  <c r="AO370" i="1"/>
  <c r="E127" i="1" l="1"/>
  <c r="G172" i="1"/>
  <c r="G176" i="1"/>
  <c r="G109" i="1" s="1"/>
  <c r="G170" i="1"/>
  <c r="G103" i="1" s="1"/>
  <c r="I462" i="1"/>
  <c r="H382" i="1"/>
  <c r="E433" i="1"/>
  <c r="E376" i="1"/>
  <c r="F384" i="1"/>
  <c r="F439" i="1"/>
  <c r="F388" i="1" s="1"/>
  <c r="I384" i="1"/>
  <c r="I439" i="1"/>
  <c r="I388" i="1" s="1"/>
  <c r="F456" i="1"/>
  <c r="F405" i="1" s="1"/>
  <c r="F403" i="1"/>
  <c r="F458" i="1"/>
  <c r="F407" i="1" s="1"/>
  <c r="F259" i="1"/>
  <c r="F322" i="1"/>
  <c r="F263" i="1" s="1"/>
  <c r="F338" i="1"/>
  <c r="F281" i="1" s="1"/>
  <c r="F279" i="1"/>
  <c r="F340" i="1"/>
  <c r="F283" i="1" s="1"/>
  <c r="E257" i="1"/>
  <c r="E100" i="1"/>
  <c r="H127" i="1"/>
  <c r="J170" i="1"/>
  <c r="J103" i="1" s="1"/>
  <c r="J176" i="1"/>
  <c r="J109" i="1" s="1"/>
  <c r="J172" i="1"/>
  <c r="K252" i="1"/>
  <c r="I279" i="1"/>
  <c r="I338" i="1"/>
  <c r="I281" i="1" s="1"/>
  <c r="I342" i="1"/>
  <c r="I284" i="1" s="1"/>
  <c r="I322" i="1"/>
  <c r="I263" i="1" s="1"/>
  <c r="H316" i="1"/>
  <c r="H252" i="1"/>
  <c r="L441" i="1"/>
  <c r="L390" i="1" s="1"/>
  <c r="K359" i="1" s="1"/>
  <c r="K127" i="1"/>
  <c r="M172" i="1"/>
  <c r="M176" i="1"/>
  <c r="M109" i="1" s="1"/>
  <c r="M170" i="1"/>
  <c r="M103" i="1" s="1"/>
  <c r="L322" i="1"/>
  <c r="L263" i="1" s="1"/>
  <c r="L338" i="1"/>
  <c r="L281" i="1" s="1"/>
  <c r="L279" i="1"/>
  <c r="L342" i="1"/>
  <c r="L284" i="1" s="1"/>
  <c r="L462" i="1"/>
  <c r="K257" i="1"/>
  <c r="O322" i="1"/>
  <c r="O263" i="1" s="1"/>
  <c r="O259" i="1"/>
  <c r="N252" i="1"/>
  <c r="N316" i="1"/>
  <c r="R342" i="1"/>
  <c r="R284" i="1" s="1"/>
  <c r="R459" i="1"/>
  <c r="R408" i="1" s="1"/>
  <c r="N127" i="1"/>
  <c r="P176" i="1"/>
  <c r="P109" i="1" s="1"/>
  <c r="P172" i="1"/>
  <c r="P170" i="1"/>
  <c r="P103" i="1" s="1"/>
  <c r="N376" i="1"/>
  <c r="N433" i="1"/>
  <c r="O384" i="1"/>
  <c r="O439" i="1"/>
  <c r="O388" i="1" s="1"/>
  <c r="O403" i="1"/>
  <c r="O456" i="1"/>
  <c r="O405" i="1" s="1"/>
  <c r="O459" i="1"/>
  <c r="O408" i="1" s="1"/>
  <c r="Q376" i="1"/>
  <c r="N100" i="1"/>
  <c r="Q316" i="1"/>
  <c r="Q127" i="1"/>
  <c r="S176" i="1"/>
  <c r="S109" i="1" s="1"/>
  <c r="S172" i="1"/>
  <c r="S170" i="1"/>
  <c r="S103" i="1" s="1"/>
  <c r="R322" i="1"/>
  <c r="R263" i="1" s="1"/>
  <c r="R456" i="1"/>
  <c r="R405" i="1" s="1"/>
  <c r="R403" i="1"/>
  <c r="R340" i="1"/>
  <c r="R283" i="1" s="1"/>
  <c r="R279" i="1"/>
  <c r="R439" i="1"/>
  <c r="R388" i="1" s="1"/>
  <c r="R384" i="1"/>
  <c r="Q382" i="1"/>
  <c r="T127" i="1"/>
  <c r="V176" i="1"/>
  <c r="V109" i="1" s="1"/>
  <c r="V172" i="1"/>
  <c r="V170" i="1"/>
  <c r="V103" i="1" s="1"/>
  <c r="X338" i="1"/>
  <c r="X281" i="1" s="1"/>
  <c r="X340" i="1"/>
  <c r="X283" i="1" s="1"/>
  <c r="T252" i="1"/>
  <c r="U441" i="1"/>
  <c r="T382" i="1"/>
  <c r="U462" i="1"/>
  <c r="X342" i="1"/>
  <c r="X284" i="1" s="1"/>
  <c r="U338" i="1"/>
  <c r="U281" i="1" s="1"/>
  <c r="U279" i="1"/>
  <c r="U342" i="1"/>
  <c r="U284" i="1" s="1"/>
  <c r="U340" i="1"/>
  <c r="U283" i="1" s="1"/>
  <c r="W252" i="1"/>
  <c r="W316" i="1"/>
  <c r="W257" i="1" s="1"/>
  <c r="X322" i="1"/>
  <c r="X263" i="1" s="1"/>
  <c r="U322" i="1"/>
  <c r="U263" i="1" s="1"/>
  <c r="T257" i="1"/>
  <c r="T100" i="1"/>
  <c r="AA342" i="1"/>
  <c r="AA284" i="1" s="1"/>
  <c r="AA338" i="1"/>
  <c r="AA281" i="1" s="1"/>
  <c r="W127" i="1"/>
  <c r="Y176" i="1"/>
  <c r="Y109" i="1" s="1"/>
  <c r="Y172" i="1"/>
  <c r="Y170" i="1"/>
  <c r="Y103" i="1" s="1"/>
  <c r="X462" i="1"/>
  <c r="W382" i="1"/>
  <c r="X441" i="1"/>
  <c r="AA279" i="1"/>
  <c r="W100" i="1"/>
  <c r="AA322" i="1"/>
  <c r="AA263" i="1" s="1"/>
  <c r="Z252" i="1"/>
  <c r="Z316" i="1"/>
  <c r="Z257" i="1" s="1"/>
  <c r="Z127" i="1"/>
  <c r="AB172" i="1"/>
  <c r="AB170" i="1"/>
  <c r="AB103" i="1" s="1"/>
  <c r="AB176" i="1"/>
  <c r="AB109" i="1" s="1"/>
  <c r="AA456" i="1"/>
  <c r="AA405" i="1" s="1"/>
  <c r="AA403" i="1"/>
  <c r="Z433" i="1"/>
  <c r="Z376" i="1"/>
  <c r="AA458" i="1"/>
  <c r="AA407" i="1" s="1"/>
  <c r="AA459" i="1"/>
  <c r="AA408" i="1" s="1"/>
  <c r="AA439" i="1"/>
  <c r="AA388" i="1" s="1"/>
  <c r="AA384" i="1"/>
  <c r="AD322" i="1"/>
  <c r="AD263" i="1" s="1"/>
  <c r="AD338" i="1"/>
  <c r="AD281" i="1" s="1"/>
  <c r="AC252" i="1"/>
  <c r="AD279" i="1"/>
  <c r="AD342" i="1"/>
  <c r="AD284" i="1" s="1"/>
  <c r="AC257" i="1"/>
  <c r="AE172" i="1"/>
  <c r="AC127" i="1"/>
  <c r="AE170" i="1"/>
  <c r="AE103" i="1" s="1"/>
  <c r="AE176" i="1"/>
  <c r="AE109" i="1" s="1"/>
  <c r="AD441" i="1"/>
  <c r="AC382" i="1"/>
  <c r="AD462" i="1"/>
  <c r="AJ439" i="1"/>
  <c r="AJ388" i="1" s="1"/>
  <c r="AG458" i="1"/>
  <c r="AG407" i="1" s="1"/>
  <c r="AF433" i="1"/>
  <c r="AI127" i="1"/>
  <c r="AK176" i="1"/>
  <c r="AK109" i="1" s="1"/>
  <c r="AK172" i="1"/>
  <c r="AG439" i="1"/>
  <c r="AG388" i="1" s="1"/>
  <c r="AJ340" i="1"/>
  <c r="AJ283" i="1" s="1"/>
  <c r="AG403" i="1"/>
  <c r="AJ279" i="1"/>
  <c r="AG459" i="1"/>
  <c r="AG408" i="1" s="1"/>
  <c r="AJ322" i="1"/>
  <c r="AJ338" i="1"/>
  <c r="AJ281" i="1" s="1"/>
  <c r="AJ462" i="1"/>
  <c r="AI257" i="1"/>
  <c r="AK103" i="1"/>
  <c r="AG340" i="1"/>
  <c r="AG283" i="1" s="1"/>
  <c r="AG342" i="1"/>
  <c r="AG284" i="1" s="1"/>
  <c r="AO245" i="1"/>
  <c r="AR245" i="1"/>
  <c r="AM342" i="1"/>
  <c r="AM284" i="1" s="1"/>
  <c r="AM338" i="1"/>
  <c r="AM281" i="1" s="1"/>
  <c r="AM340" i="1"/>
  <c r="AM283" i="1" s="1"/>
  <c r="AS438" i="1"/>
  <c r="AS387" i="1" s="1"/>
  <c r="AP456" i="1"/>
  <c r="AP405" i="1" s="1"/>
  <c r="AP435" i="1"/>
  <c r="AP384" i="1" s="1"/>
  <c r="AP458" i="1"/>
  <c r="AP407" i="1" s="1"/>
  <c r="AM459" i="1"/>
  <c r="AM408" i="1" s="1"/>
  <c r="AM456" i="1"/>
  <c r="AM405" i="1" s="1"/>
  <c r="AM458" i="1"/>
  <c r="AM407" i="1" s="1"/>
  <c r="AF252" i="1"/>
  <c r="AF316" i="1"/>
  <c r="AM279" i="1"/>
  <c r="AG259" i="1"/>
  <c r="AG322" i="1"/>
  <c r="AG263" i="1" s="1"/>
  <c r="AG281" i="1"/>
  <c r="AG279" i="1"/>
  <c r="AM322" i="1"/>
  <c r="AM263" i="1" s="1"/>
  <c r="AF127" i="1"/>
  <c r="AH176" i="1"/>
  <c r="AH109" i="1" s="1"/>
  <c r="AH172" i="1"/>
  <c r="AH170" i="1"/>
  <c r="AH103" i="1" s="1"/>
  <c r="AL376" i="1"/>
  <c r="AL316" i="1"/>
  <c r="AM439" i="1"/>
  <c r="AM388" i="1" s="1"/>
  <c r="AL382" i="1"/>
  <c r="AL127" i="1"/>
  <c r="AN170" i="1"/>
  <c r="AN103" i="1" s="1"/>
  <c r="AN176" i="1"/>
  <c r="AN109" i="1" s="1"/>
  <c r="AN172" i="1"/>
  <c r="AQ172" i="1"/>
  <c r="AP437" i="1"/>
  <c r="AP386" i="1" s="1"/>
  <c r="AP436" i="1"/>
  <c r="AP385" i="1" s="1"/>
  <c r="AO427" i="1"/>
  <c r="AO433" i="1" s="1"/>
  <c r="AP438" i="1"/>
  <c r="AP387" i="1" s="1"/>
  <c r="AO371" i="1"/>
  <c r="AR311" i="1"/>
  <c r="AR252" i="1" s="1"/>
  <c r="AP321" i="1"/>
  <c r="AP262" i="1" s="1"/>
  <c r="AS321" i="1"/>
  <c r="AS262" i="1" s="1"/>
  <c r="AS319" i="1"/>
  <c r="AS260" i="1" s="1"/>
  <c r="AS320" i="1"/>
  <c r="AS261" i="1" s="1"/>
  <c r="AS336" i="1"/>
  <c r="AP319" i="1"/>
  <c r="AP260" i="1" s="1"/>
  <c r="AP320" i="1"/>
  <c r="AP261" i="1" s="1"/>
  <c r="AS318" i="1"/>
  <c r="AS259" i="1" s="1"/>
  <c r="AP318" i="1"/>
  <c r="AP259" i="1" s="1"/>
  <c r="AO311" i="1"/>
  <c r="AS454" i="1"/>
  <c r="AS435" i="1"/>
  <c r="AS436" i="1"/>
  <c r="AS385" i="1" s="1"/>
  <c r="AR371" i="1"/>
  <c r="AR427" i="1"/>
  <c r="AR433" i="1" s="1"/>
  <c r="AS437" i="1"/>
  <c r="AS386" i="1" s="1"/>
  <c r="AP336" i="1"/>
  <c r="AP338" i="1" s="1"/>
  <c r="AO127" i="1"/>
  <c r="AQ170" i="1"/>
  <c r="AQ103" i="1" s="1"/>
  <c r="AQ176" i="1"/>
  <c r="AQ109" i="1" s="1"/>
  <c r="AR127" i="1"/>
  <c r="AT170" i="1"/>
  <c r="AT103" i="1" s="1"/>
  <c r="AT176" i="1"/>
  <c r="AT109" i="1" s="1"/>
  <c r="AT172" i="1"/>
  <c r="AP459" i="1"/>
  <c r="AP408" i="1" s="1"/>
  <c r="AP403" i="1"/>
  <c r="F324" i="1" l="1"/>
  <c r="F265" i="1" s="1"/>
  <c r="E229" i="1" s="1"/>
  <c r="F441" i="1"/>
  <c r="E382" i="1"/>
  <c r="F462" i="1"/>
  <c r="F345" i="1"/>
  <c r="F287" i="1" s="1"/>
  <c r="I411" i="1"/>
  <c r="I441" i="1"/>
  <c r="G105" i="1"/>
  <c r="G167" i="1"/>
  <c r="L345" i="1"/>
  <c r="L287" i="1" s="1"/>
  <c r="L324" i="1"/>
  <c r="L265" i="1" s="1"/>
  <c r="K229" i="1" s="1"/>
  <c r="I345" i="1"/>
  <c r="I324" i="1"/>
  <c r="H257" i="1"/>
  <c r="J105" i="1"/>
  <c r="J167" i="1"/>
  <c r="K361" i="1"/>
  <c r="R354" i="1"/>
  <c r="R462" i="1"/>
  <c r="R411" i="1" s="1"/>
  <c r="L411" i="1"/>
  <c r="L464" i="1"/>
  <c r="L413" i="1" s="1"/>
  <c r="N257" i="1"/>
  <c r="O324" i="1"/>
  <c r="O345" i="1"/>
  <c r="M105" i="1"/>
  <c r="M167" i="1"/>
  <c r="O441" i="1"/>
  <c r="O462" i="1"/>
  <c r="N382" i="1"/>
  <c r="R324" i="1"/>
  <c r="R265" i="1" s="1"/>
  <c r="Q229" i="1" s="1"/>
  <c r="Q257" i="1"/>
  <c r="P105" i="1"/>
  <c r="P167" i="1"/>
  <c r="R441" i="1"/>
  <c r="R450" i="1" s="1"/>
  <c r="R345" i="1"/>
  <c r="S105" i="1"/>
  <c r="S167" i="1"/>
  <c r="X324" i="1"/>
  <c r="X265" i="1" s="1"/>
  <c r="W229" i="1" s="1"/>
  <c r="X345" i="1"/>
  <c r="X287" i="1" s="1"/>
  <c r="U411" i="1"/>
  <c r="U464" i="1"/>
  <c r="U413" i="1" s="1"/>
  <c r="U450" i="1"/>
  <c r="U444" i="1"/>
  <c r="U390" i="1"/>
  <c r="T359" i="1" s="1"/>
  <c r="U345" i="1"/>
  <c r="U324" i="1"/>
  <c r="V105" i="1"/>
  <c r="V167" i="1"/>
  <c r="X390" i="1"/>
  <c r="W359" i="1" s="1"/>
  <c r="X411" i="1"/>
  <c r="X464" i="1"/>
  <c r="X413" i="1" s="1"/>
  <c r="Y105" i="1"/>
  <c r="Y167" i="1"/>
  <c r="AA324" i="1"/>
  <c r="AA265" i="1" s="1"/>
  <c r="Z229" i="1" s="1"/>
  <c r="Z231" i="1" s="1"/>
  <c r="AA345" i="1"/>
  <c r="AA441" i="1"/>
  <c r="X450" i="1" s="1"/>
  <c r="Z382" i="1"/>
  <c r="AA462" i="1"/>
  <c r="AB105" i="1"/>
  <c r="AB167" i="1"/>
  <c r="AD324" i="1"/>
  <c r="AD345" i="1"/>
  <c r="AD287" i="1" s="1"/>
  <c r="AD411" i="1"/>
  <c r="AD464" i="1"/>
  <c r="AD413" i="1" s="1"/>
  <c r="AD390" i="1"/>
  <c r="AC359" i="1" s="1"/>
  <c r="AC361" i="1" s="1"/>
  <c r="AE105" i="1"/>
  <c r="AE167" i="1"/>
  <c r="AG462" i="1"/>
  <c r="AG411" i="1" s="1"/>
  <c r="AJ441" i="1"/>
  <c r="AJ464" i="1" s="1"/>
  <c r="AJ413" i="1" s="1"/>
  <c r="AF382" i="1"/>
  <c r="AJ263" i="1"/>
  <c r="AJ345" i="1"/>
  <c r="AJ287" i="1" s="1"/>
  <c r="AJ324" i="1"/>
  <c r="AJ265" i="1" s="1"/>
  <c r="AI229" i="1" s="1"/>
  <c r="AI231" i="1" s="1"/>
  <c r="AG441" i="1"/>
  <c r="AD450" i="1" s="1"/>
  <c r="AJ411" i="1"/>
  <c r="AK105" i="1"/>
  <c r="AK167" i="1"/>
  <c r="AS338" i="1"/>
  <c r="AS281" i="1" s="1"/>
  <c r="AS340" i="1"/>
  <c r="AS283" i="1" s="1"/>
  <c r="AP340" i="1"/>
  <c r="AS456" i="1"/>
  <c r="AS405" i="1" s="1"/>
  <c r="AM462" i="1"/>
  <c r="AM411" i="1" s="1"/>
  <c r="AS458" i="1"/>
  <c r="AS407" i="1" s="1"/>
  <c r="AM324" i="1"/>
  <c r="AM265" i="1" s="1"/>
  <c r="AL229" i="1" s="1"/>
  <c r="AG324" i="1"/>
  <c r="AD332" i="1" s="1"/>
  <c r="AF257" i="1"/>
  <c r="AG345" i="1"/>
  <c r="AL257" i="1"/>
  <c r="AM345" i="1"/>
  <c r="AM287" i="1" s="1"/>
  <c r="AM441" i="1"/>
  <c r="AH167" i="1"/>
  <c r="AH105" i="1"/>
  <c r="AN167" i="1"/>
  <c r="AN105" i="1"/>
  <c r="AO376" i="1"/>
  <c r="AP439" i="1"/>
  <c r="AP388" i="1" s="1"/>
  <c r="AR316" i="1"/>
  <c r="AR257" i="1" s="1"/>
  <c r="AR376" i="1"/>
  <c r="AS322" i="1"/>
  <c r="AS263" i="1" s="1"/>
  <c r="AS342" i="1"/>
  <c r="AS284" i="1" s="1"/>
  <c r="AS403" i="1"/>
  <c r="AS439" i="1"/>
  <c r="AS388" i="1" s="1"/>
  <c r="AS459" i="1"/>
  <c r="AS408" i="1" s="1"/>
  <c r="AS384" i="1"/>
  <c r="AP322" i="1"/>
  <c r="AP263" i="1" s="1"/>
  <c r="AS279" i="1"/>
  <c r="AO316" i="1"/>
  <c r="AO252" i="1"/>
  <c r="AP279" i="1"/>
  <c r="AP342" i="1"/>
  <c r="AP284" i="1" s="1"/>
  <c r="AP281" i="1"/>
  <c r="AR382" i="1"/>
  <c r="AT105" i="1"/>
  <c r="AT167" i="1"/>
  <c r="AO382" i="1"/>
  <c r="AP462" i="1"/>
  <c r="AQ167" i="1"/>
  <c r="AQ105" i="1"/>
  <c r="E231" i="1" l="1"/>
  <c r="T224" i="1"/>
  <c r="F332" i="1"/>
  <c r="F275" i="1" s="1"/>
  <c r="F347" i="1"/>
  <c r="F289" i="1" s="1"/>
  <c r="F450" i="1"/>
  <c r="F444" i="1"/>
  <c r="F390" i="1"/>
  <c r="E359" i="1" s="1"/>
  <c r="I444" i="1"/>
  <c r="I450" i="1"/>
  <c r="I390" i="1"/>
  <c r="H359" i="1" s="1"/>
  <c r="H361" i="1" s="1"/>
  <c r="F411" i="1"/>
  <c r="F464" i="1"/>
  <c r="F413" i="1" s="1"/>
  <c r="F326" i="1"/>
  <c r="F327" i="1" s="1"/>
  <c r="F270" i="1" s="1"/>
  <c r="I464" i="1"/>
  <c r="I413" i="1" s="1"/>
  <c r="F333" i="1"/>
  <c r="F276" i="1" s="1"/>
  <c r="G100" i="1"/>
  <c r="E172" i="1"/>
  <c r="L332" i="1"/>
  <c r="L333" i="1" s="1"/>
  <c r="L276" i="1" s="1"/>
  <c r="L326" i="1"/>
  <c r="L269" i="1" s="1"/>
  <c r="L347" i="1"/>
  <c r="L289" i="1" s="1"/>
  <c r="I347" i="1"/>
  <c r="I289" i="1" s="1"/>
  <c r="I287" i="1"/>
  <c r="I332" i="1"/>
  <c r="I326" i="1"/>
  <c r="I265" i="1"/>
  <c r="H229" i="1" s="1"/>
  <c r="J100" i="1"/>
  <c r="H172" i="1"/>
  <c r="K231" i="1"/>
  <c r="R224" i="1"/>
  <c r="L450" i="1"/>
  <c r="L444" i="1"/>
  <c r="O347" i="1"/>
  <c r="O289" i="1" s="1"/>
  <c r="O287" i="1"/>
  <c r="O265" i="1"/>
  <c r="N229" i="1" s="1"/>
  <c r="N231" i="1" s="1"/>
  <c r="O326" i="1"/>
  <c r="O332" i="1"/>
  <c r="M100" i="1"/>
  <c r="K172" i="1"/>
  <c r="R464" i="1"/>
  <c r="R413" i="1" s="1"/>
  <c r="O411" i="1"/>
  <c r="O464" i="1"/>
  <c r="O413" i="1" s="1"/>
  <c r="O450" i="1"/>
  <c r="O444" i="1"/>
  <c r="O390" i="1"/>
  <c r="N359" i="1" s="1"/>
  <c r="N361" i="1" s="1"/>
  <c r="R444" i="1"/>
  <c r="R445" i="1" s="1"/>
  <c r="R394" i="1" s="1"/>
  <c r="R332" i="1"/>
  <c r="R333" i="1" s="1"/>
  <c r="R276" i="1" s="1"/>
  <c r="R347" i="1"/>
  <c r="R289" i="1" s="1"/>
  <c r="R390" i="1"/>
  <c r="Q359" i="1" s="1"/>
  <c r="P354" i="1" s="1"/>
  <c r="P100" i="1"/>
  <c r="N172" i="1"/>
  <c r="Q231" i="1"/>
  <c r="P224" i="1"/>
  <c r="R287" i="1"/>
  <c r="R451" i="1"/>
  <c r="R400" i="1" s="1"/>
  <c r="R399" i="1"/>
  <c r="R326" i="1"/>
  <c r="S100" i="1"/>
  <c r="Q172" i="1"/>
  <c r="X347" i="1"/>
  <c r="X289" i="1" s="1"/>
  <c r="T361" i="1"/>
  <c r="O354" i="1"/>
  <c r="U393" i="1"/>
  <c r="U445" i="1"/>
  <c r="U394" i="1" s="1"/>
  <c r="U451" i="1"/>
  <c r="U400" i="1" s="1"/>
  <c r="U399" i="1"/>
  <c r="U347" i="1"/>
  <c r="U289" i="1" s="1"/>
  <c r="U287" i="1"/>
  <c r="U332" i="1"/>
  <c r="U326" i="1"/>
  <c r="U265" i="1"/>
  <c r="T229" i="1" s="1"/>
  <c r="V100" i="1"/>
  <c r="T172" i="1"/>
  <c r="W231" i="1"/>
  <c r="N224" i="1"/>
  <c r="W361" i="1"/>
  <c r="N354" i="1"/>
  <c r="X444" i="1"/>
  <c r="X445" i="1" s="1"/>
  <c r="X394" i="1" s="1"/>
  <c r="X451" i="1"/>
  <c r="X400" i="1" s="1"/>
  <c r="X399" i="1"/>
  <c r="X326" i="1"/>
  <c r="X332" i="1"/>
  <c r="Y100" i="1"/>
  <c r="W172" i="1"/>
  <c r="M224" i="1"/>
  <c r="AA347" i="1"/>
  <c r="AA289" i="1" s="1"/>
  <c r="AA287" i="1"/>
  <c r="AA464" i="1"/>
  <c r="AA413" i="1" s="1"/>
  <c r="AA411" i="1"/>
  <c r="AA450" i="1"/>
  <c r="AA444" i="1"/>
  <c r="AA390" i="1"/>
  <c r="Z359" i="1" s="1"/>
  <c r="AD265" i="1"/>
  <c r="AC229" i="1" s="1"/>
  <c r="AC231" i="1" s="1"/>
  <c r="AA332" i="1"/>
  <c r="AA326" i="1"/>
  <c r="AB100" i="1"/>
  <c r="Z172" i="1"/>
  <c r="AD347" i="1"/>
  <c r="AD289" i="1" s="1"/>
  <c r="AD333" i="1"/>
  <c r="AD276" i="1" s="1"/>
  <c r="AD275" i="1"/>
  <c r="AD326" i="1"/>
  <c r="L354" i="1"/>
  <c r="AD451" i="1"/>
  <c r="AD400" i="1" s="1"/>
  <c r="AD399" i="1"/>
  <c r="AD444" i="1"/>
  <c r="AE100" i="1"/>
  <c r="AC172" i="1"/>
  <c r="AD184" i="1" s="1"/>
  <c r="AJ390" i="1"/>
  <c r="AI359" i="1" s="1"/>
  <c r="AI361" i="1" s="1"/>
  <c r="AG464" i="1"/>
  <c r="AG413" i="1" s="1"/>
  <c r="AG332" i="1"/>
  <c r="AG333" i="1" s="1"/>
  <c r="AG444" i="1"/>
  <c r="AG445" i="1" s="1"/>
  <c r="AG394" i="1" s="1"/>
  <c r="AG450" i="1"/>
  <c r="AG451" i="1" s="1"/>
  <c r="AG265" i="1"/>
  <c r="AF229" i="1" s="1"/>
  <c r="AF231" i="1" s="1"/>
  <c r="AG326" i="1"/>
  <c r="AG327" i="1" s="1"/>
  <c r="AJ347" i="1"/>
  <c r="AJ289" i="1" s="1"/>
  <c r="AG390" i="1"/>
  <c r="AF359" i="1" s="1"/>
  <c r="AF361" i="1" s="1"/>
  <c r="AJ450" i="1"/>
  <c r="AJ444" i="1"/>
  <c r="AJ332" i="1"/>
  <c r="AJ326" i="1"/>
  <c r="AK100" i="1"/>
  <c r="AI172" i="1"/>
  <c r="AL231" i="1"/>
  <c r="J224" i="1"/>
  <c r="AM347" i="1"/>
  <c r="AM289" i="1" s="1"/>
  <c r="AM464" i="1"/>
  <c r="AM413" i="1" s="1"/>
  <c r="AM390" i="1"/>
  <c r="AL359" i="1" s="1"/>
  <c r="AG347" i="1"/>
  <c r="AG289" i="1" s="1"/>
  <c r="AG287" i="1"/>
  <c r="AF172" i="1"/>
  <c r="AF168" i="1" s="1"/>
  <c r="AH100" i="1"/>
  <c r="AL172" i="1"/>
  <c r="AN100" i="1"/>
  <c r="AP441" i="1"/>
  <c r="AS345" i="1"/>
  <c r="AS287" i="1" s="1"/>
  <c r="AS462" i="1"/>
  <c r="AS411" i="1" s="1"/>
  <c r="AP324" i="1"/>
  <c r="AS324" i="1"/>
  <c r="AS441" i="1"/>
  <c r="I447" i="1" s="1"/>
  <c r="AO257" i="1"/>
  <c r="AP283" i="1"/>
  <c r="AP345" i="1"/>
  <c r="AP411" i="1"/>
  <c r="AR172" i="1"/>
  <c r="AT100" i="1"/>
  <c r="AQ100" i="1"/>
  <c r="AO172" i="1"/>
  <c r="E361" i="1" l="1"/>
  <c r="T354" i="1"/>
  <c r="F269" i="1"/>
  <c r="F186" i="1"/>
  <c r="F119" i="1" s="1"/>
  <c r="F184" i="1"/>
  <c r="F117" i="1" s="1"/>
  <c r="F183" i="1"/>
  <c r="L327" i="1"/>
  <c r="L270" i="1" s="1"/>
  <c r="I448" i="1"/>
  <c r="I397" i="1" s="1"/>
  <c r="I396" i="1"/>
  <c r="I393" i="1"/>
  <c r="I445" i="1"/>
  <c r="I394" i="1" s="1"/>
  <c r="F451" i="1"/>
  <c r="F400" i="1" s="1"/>
  <c r="F399" i="1"/>
  <c r="F447" i="1"/>
  <c r="L275" i="1"/>
  <c r="I399" i="1"/>
  <c r="I451" i="1"/>
  <c r="I400" i="1" s="1"/>
  <c r="F393" i="1"/>
  <c r="F445" i="1"/>
  <c r="F394" i="1" s="1"/>
  <c r="L329" i="1"/>
  <c r="L330" i="1" s="1"/>
  <c r="L273" i="1" s="1"/>
  <c r="F329" i="1"/>
  <c r="E105" i="1"/>
  <c r="E168" i="1"/>
  <c r="S354" i="1"/>
  <c r="H231" i="1"/>
  <c r="S224" i="1"/>
  <c r="I184" i="1"/>
  <c r="I117" i="1" s="1"/>
  <c r="I183" i="1"/>
  <c r="I186" i="1"/>
  <c r="I119" i="1" s="1"/>
  <c r="I333" i="1"/>
  <c r="I276" i="1" s="1"/>
  <c r="I275" i="1"/>
  <c r="I329" i="1"/>
  <c r="I327" i="1"/>
  <c r="I270" i="1" s="1"/>
  <c r="I269" i="1"/>
  <c r="H105" i="1"/>
  <c r="H168" i="1"/>
  <c r="L186" i="1"/>
  <c r="L119" i="1" s="1"/>
  <c r="L184" i="1"/>
  <c r="L117" i="1" s="1"/>
  <c r="L183" i="1"/>
  <c r="L445" i="1"/>
  <c r="L394" i="1" s="1"/>
  <c r="L393" i="1"/>
  <c r="O447" i="1"/>
  <c r="O448" i="1" s="1"/>
  <c r="O397" i="1" s="1"/>
  <c r="L447" i="1"/>
  <c r="L451" i="1"/>
  <c r="L400" i="1" s="1"/>
  <c r="L399" i="1"/>
  <c r="O329" i="1"/>
  <c r="O333" i="1"/>
  <c r="O276" i="1" s="1"/>
  <c r="O275" i="1"/>
  <c r="Q224" i="1"/>
  <c r="O327" i="1"/>
  <c r="O270" i="1" s="1"/>
  <c r="O269" i="1"/>
  <c r="K105" i="1"/>
  <c r="K168" i="1"/>
  <c r="Q354" i="1"/>
  <c r="O186" i="1"/>
  <c r="O119" i="1" s="1"/>
  <c r="O184" i="1"/>
  <c r="O117" i="1" s="1"/>
  <c r="O183" i="1"/>
  <c r="Q361" i="1"/>
  <c r="R393" i="1"/>
  <c r="R275" i="1"/>
  <c r="O451" i="1"/>
  <c r="O400" i="1" s="1"/>
  <c r="O399" i="1"/>
  <c r="O445" i="1"/>
  <c r="O394" i="1" s="1"/>
  <c r="O393" i="1"/>
  <c r="N105" i="1"/>
  <c r="N168" i="1"/>
  <c r="R186" i="1"/>
  <c r="R119" i="1" s="1"/>
  <c r="R184" i="1"/>
  <c r="R117" i="1" s="1"/>
  <c r="R183" i="1"/>
  <c r="U447" i="1"/>
  <c r="U448" i="1" s="1"/>
  <c r="U397" i="1" s="1"/>
  <c r="R447" i="1"/>
  <c r="X329" i="1"/>
  <c r="X272" i="1" s="1"/>
  <c r="R329" i="1"/>
  <c r="R327" i="1"/>
  <c r="R270" i="1" s="1"/>
  <c r="R269" i="1"/>
  <c r="Q105" i="1"/>
  <c r="Q168" i="1"/>
  <c r="T231" i="1"/>
  <c r="O224" i="1"/>
  <c r="U184" i="1"/>
  <c r="U117" i="1" s="1"/>
  <c r="U183" i="1"/>
  <c r="U186" i="1"/>
  <c r="U119" i="1" s="1"/>
  <c r="U269" i="1"/>
  <c r="U327" i="1"/>
  <c r="U270" i="1" s="1"/>
  <c r="U333" i="1"/>
  <c r="U276" i="1" s="1"/>
  <c r="U275" i="1"/>
  <c r="U329" i="1"/>
  <c r="T105" i="1"/>
  <c r="T168" i="1"/>
  <c r="X393" i="1"/>
  <c r="X186" i="1"/>
  <c r="X119" i="1" s="1"/>
  <c r="X184" i="1"/>
  <c r="X117" i="1" s="1"/>
  <c r="X183" i="1"/>
  <c r="AA447" i="1"/>
  <c r="AA448" i="1" s="1"/>
  <c r="AA397" i="1" s="1"/>
  <c r="X447" i="1"/>
  <c r="X333" i="1"/>
  <c r="X276" i="1" s="1"/>
  <c r="X275" i="1"/>
  <c r="X327" i="1"/>
  <c r="X270" i="1" s="1"/>
  <c r="X269" i="1"/>
  <c r="W105" i="1"/>
  <c r="W168" i="1"/>
  <c r="Z361" i="1"/>
  <c r="M354" i="1"/>
  <c r="AA186" i="1"/>
  <c r="AA119" i="1" s="1"/>
  <c r="AA184" i="1"/>
  <c r="AA117" i="1" s="1"/>
  <c r="AA183" i="1"/>
  <c r="AA445" i="1"/>
  <c r="AA394" i="1" s="1"/>
  <c r="AA393" i="1"/>
  <c r="AA451" i="1"/>
  <c r="AA400" i="1" s="1"/>
  <c r="AA399" i="1"/>
  <c r="L224" i="1"/>
  <c r="AA269" i="1"/>
  <c r="AA327" i="1"/>
  <c r="AA270" i="1" s="1"/>
  <c r="AD329" i="1"/>
  <c r="AD272" i="1" s="1"/>
  <c r="AA329" i="1"/>
  <c r="AA275" i="1"/>
  <c r="AA333" i="1"/>
  <c r="AA276" i="1" s="1"/>
  <c r="Z105" i="1"/>
  <c r="Z168" i="1"/>
  <c r="AD447" i="1"/>
  <c r="AD448" i="1" s="1"/>
  <c r="AD397" i="1" s="1"/>
  <c r="AD327" i="1"/>
  <c r="AD270" i="1" s="1"/>
  <c r="AD269" i="1"/>
  <c r="AD186" i="1"/>
  <c r="AD119" i="1" s="1"/>
  <c r="AD183" i="1"/>
  <c r="AD393" i="1"/>
  <c r="AD445" i="1"/>
  <c r="AD394" i="1" s="1"/>
  <c r="AC105" i="1"/>
  <c r="AC168" i="1"/>
  <c r="AC177" i="1" s="1"/>
  <c r="AD117" i="1"/>
  <c r="AG269" i="1"/>
  <c r="AG275" i="1"/>
  <c r="AG399" i="1"/>
  <c r="K224" i="1"/>
  <c r="AG209" i="1"/>
  <c r="AG211" i="1" s="1"/>
  <c r="AF177" i="1"/>
  <c r="AI168" i="1"/>
  <c r="AI177" i="1" s="1"/>
  <c r="AJ186" i="1"/>
  <c r="AJ119" i="1" s="1"/>
  <c r="AJ184" i="1"/>
  <c r="AJ117" i="1" s="1"/>
  <c r="AJ183" i="1"/>
  <c r="AG276" i="1"/>
  <c r="K354" i="1"/>
  <c r="AG393" i="1"/>
  <c r="AG400" i="1"/>
  <c r="AG447" i="1"/>
  <c r="AG396" i="1" s="1"/>
  <c r="AJ447" i="1"/>
  <c r="AJ445" i="1"/>
  <c r="AJ394" i="1" s="1"/>
  <c r="AJ393" i="1"/>
  <c r="AJ399" i="1"/>
  <c r="AJ451" i="1"/>
  <c r="AJ400" i="1" s="1"/>
  <c r="AJ333" i="1"/>
  <c r="AJ276" i="1" s="1"/>
  <c r="AJ275" i="1"/>
  <c r="AG329" i="1"/>
  <c r="AG272" i="1" s="1"/>
  <c r="AJ329" i="1"/>
  <c r="AJ269" i="1"/>
  <c r="AJ327" i="1"/>
  <c r="AJ270" i="1" s="1"/>
  <c r="AI105" i="1"/>
  <c r="AL361" i="1"/>
  <c r="J354" i="1"/>
  <c r="AG270" i="1"/>
  <c r="AG186" i="1"/>
  <c r="AG119" i="1" s="1"/>
  <c r="AG184" i="1"/>
  <c r="AG117" i="1" s="1"/>
  <c r="AG183" i="1"/>
  <c r="AM329" i="1"/>
  <c r="AM272" i="1" s="1"/>
  <c r="AF105" i="1"/>
  <c r="AM444" i="1"/>
  <c r="AM450" i="1"/>
  <c r="AS390" i="1"/>
  <c r="AR359" i="1" s="1"/>
  <c r="H354" i="1" s="1"/>
  <c r="AM447" i="1"/>
  <c r="AM184" i="1"/>
  <c r="AM117" i="1" s="1"/>
  <c r="AM183" i="1"/>
  <c r="AM186" i="1"/>
  <c r="AM119" i="1" s="1"/>
  <c r="AM326" i="1"/>
  <c r="AM332" i="1"/>
  <c r="AL168" i="1"/>
  <c r="AM209" i="1" s="1"/>
  <c r="AL105" i="1"/>
  <c r="AP447" i="1"/>
  <c r="AP448" i="1" s="1"/>
  <c r="AP397" i="1" s="1"/>
  <c r="AP450" i="1"/>
  <c r="AP451" i="1" s="1"/>
  <c r="AP400" i="1" s="1"/>
  <c r="AP332" i="1"/>
  <c r="AP333" i="1" s="1"/>
  <c r="AP276" i="1" s="1"/>
  <c r="AP329" i="1"/>
  <c r="AP330" i="1" s="1"/>
  <c r="AP273" i="1" s="1"/>
  <c r="AP390" i="1"/>
  <c r="AO359" i="1" s="1"/>
  <c r="AP464" i="1"/>
  <c r="AP413" i="1" s="1"/>
  <c r="AP265" i="1"/>
  <c r="AO229" i="1" s="1"/>
  <c r="AP326" i="1"/>
  <c r="AP444" i="1"/>
  <c r="AP393" i="1" s="1"/>
  <c r="AS265" i="1"/>
  <c r="AR229" i="1" s="1"/>
  <c r="H224" i="1" s="1"/>
  <c r="M225" i="1" s="1"/>
  <c r="M226" i="1" s="1"/>
  <c r="AS399" i="1"/>
  <c r="AS396" i="1"/>
  <c r="AS347" i="1"/>
  <c r="AS289" i="1" s="1"/>
  <c r="AS464" i="1"/>
  <c r="AS413" i="1" s="1"/>
  <c r="AP347" i="1"/>
  <c r="AP289" i="1" s="1"/>
  <c r="AP287" i="1"/>
  <c r="AS183" i="1"/>
  <c r="AS186" i="1"/>
  <c r="AS119" i="1" s="1"/>
  <c r="AS184" i="1"/>
  <c r="AS117" i="1" s="1"/>
  <c r="AP186" i="1"/>
  <c r="AP119" i="1" s="1"/>
  <c r="AP183" i="1"/>
  <c r="AP184" i="1"/>
  <c r="AP117" i="1" s="1"/>
  <c r="AR105" i="1"/>
  <c r="AR168" i="1"/>
  <c r="AO168" i="1"/>
  <c r="AO105" i="1"/>
  <c r="L272" i="1" l="1"/>
  <c r="T225" i="1"/>
  <c r="T226" i="1" s="1"/>
  <c r="T355" i="1"/>
  <c r="T356" i="1" s="1"/>
  <c r="O396" i="1"/>
  <c r="F396" i="1"/>
  <c r="F448" i="1"/>
  <c r="F397" i="1" s="1"/>
  <c r="F330" i="1"/>
  <c r="F273" i="1" s="1"/>
  <c r="F272" i="1"/>
  <c r="F116" i="1"/>
  <c r="F188" i="1"/>
  <c r="F121" i="1" s="1"/>
  <c r="E101" i="1"/>
  <c r="F209" i="1"/>
  <c r="E177" i="1"/>
  <c r="S225" i="1"/>
  <c r="S226" i="1" s="1"/>
  <c r="S355" i="1"/>
  <c r="S356" i="1" s="1"/>
  <c r="I272" i="1"/>
  <c r="I330" i="1"/>
  <c r="I273" i="1" s="1"/>
  <c r="I116" i="1"/>
  <c r="I188" i="1"/>
  <c r="I121" i="1" s="1"/>
  <c r="H101" i="1"/>
  <c r="I209" i="1"/>
  <c r="H177" i="1"/>
  <c r="L355" i="1"/>
  <c r="L356" i="1" s="1"/>
  <c r="R355" i="1"/>
  <c r="R356" i="1" s="1"/>
  <c r="R225" i="1"/>
  <c r="R226" i="1" s="1"/>
  <c r="L396" i="1"/>
  <c r="L448" i="1"/>
  <c r="L397" i="1" s="1"/>
  <c r="O330" i="1"/>
  <c r="O273" i="1" s="1"/>
  <c r="O272" i="1"/>
  <c r="L116" i="1"/>
  <c r="L188" i="1"/>
  <c r="L121" i="1" s="1"/>
  <c r="K101" i="1"/>
  <c r="K177" i="1"/>
  <c r="L209" i="1"/>
  <c r="Q355" i="1"/>
  <c r="Q356" i="1" s="1"/>
  <c r="X330" i="1"/>
  <c r="X273" i="1" s="1"/>
  <c r="Q225" i="1"/>
  <c r="Q226" i="1" s="1"/>
  <c r="O116" i="1"/>
  <c r="O188" i="1"/>
  <c r="O121" i="1" s="1"/>
  <c r="N101" i="1"/>
  <c r="O209" i="1"/>
  <c r="N177" i="1"/>
  <c r="U396" i="1"/>
  <c r="P355" i="1"/>
  <c r="P356" i="1" s="1"/>
  <c r="P225" i="1"/>
  <c r="P226" i="1" s="1"/>
  <c r="R448" i="1"/>
  <c r="R397" i="1" s="1"/>
  <c r="R396" i="1"/>
  <c r="R330" i="1"/>
  <c r="R273" i="1" s="1"/>
  <c r="R272" i="1"/>
  <c r="R116" i="1"/>
  <c r="R188" i="1"/>
  <c r="R121" i="1" s="1"/>
  <c r="Q101" i="1"/>
  <c r="Q177" i="1"/>
  <c r="R209" i="1"/>
  <c r="O355" i="1"/>
  <c r="O356" i="1" s="1"/>
  <c r="O225" i="1"/>
  <c r="O226" i="1" s="1"/>
  <c r="U330" i="1"/>
  <c r="U273" i="1" s="1"/>
  <c r="U272" i="1"/>
  <c r="T101" i="1"/>
  <c r="U209" i="1"/>
  <c r="T177" i="1"/>
  <c r="U116" i="1"/>
  <c r="U188" i="1"/>
  <c r="U121" i="1" s="1"/>
  <c r="N355" i="1"/>
  <c r="N356" i="1" s="1"/>
  <c r="N225" i="1"/>
  <c r="N226" i="1" s="1"/>
  <c r="AA396" i="1"/>
  <c r="X396" i="1"/>
  <c r="X448" i="1"/>
  <c r="X397" i="1" s="1"/>
  <c r="X116" i="1"/>
  <c r="X188" i="1"/>
  <c r="X121" i="1" s="1"/>
  <c r="W101" i="1"/>
  <c r="W177" i="1"/>
  <c r="X209" i="1"/>
  <c r="M355" i="1"/>
  <c r="M356" i="1" s="1"/>
  <c r="AD330" i="1"/>
  <c r="AD273" i="1" s="1"/>
  <c r="L225" i="1"/>
  <c r="L226" i="1" s="1"/>
  <c r="AA330" i="1"/>
  <c r="AA273" i="1" s="1"/>
  <c r="AA272" i="1"/>
  <c r="Z101" i="1"/>
  <c r="AA209" i="1"/>
  <c r="Z177" i="1"/>
  <c r="AA116" i="1"/>
  <c r="AA188" i="1"/>
  <c r="AA121" i="1" s="1"/>
  <c r="AD396" i="1"/>
  <c r="AC110" i="1"/>
  <c r="AC181" i="1"/>
  <c r="AC114" i="1" s="1"/>
  <c r="AD116" i="1"/>
  <c r="AD188" i="1"/>
  <c r="AC101" i="1"/>
  <c r="AD209" i="1"/>
  <c r="AR361" i="1"/>
  <c r="K225" i="1"/>
  <c r="K226" i="1" s="1"/>
  <c r="AG213" i="1"/>
  <c r="AG214" i="1"/>
  <c r="K355" i="1"/>
  <c r="K356" i="1" s="1"/>
  <c r="AG330" i="1"/>
  <c r="AG273" i="1" s="1"/>
  <c r="AG448" i="1"/>
  <c r="AG397" i="1" s="1"/>
  <c r="AJ448" i="1"/>
  <c r="AJ397" i="1" s="1"/>
  <c r="AJ396" i="1"/>
  <c r="AJ330" i="1"/>
  <c r="AJ273" i="1" s="1"/>
  <c r="AJ272" i="1"/>
  <c r="J225" i="1"/>
  <c r="J226" i="1" s="1"/>
  <c r="AJ116" i="1"/>
  <c r="AJ188" i="1"/>
  <c r="AJ121" i="1" s="1"/>
  <c r="AI101" i="1"/>
  <c r="AJ209" i="1"/>
  <c r="J355" i="1"/>
  <c r="J356" i="1" s="1"/>
  <c r="AO231" i="1"/>
  <c r="I224" i="1"/>
  <c r="I225" i="1" s="1"/>
  <c r="I226" i="1" s="1"/>
  <c r="AO361" i="1"/>
  <c r="I354" i="1"/>
  <c r="I355" i="1" s="1"/>
  <c r="I356" i="1" s="1"/>
  <c r="AM211" i="1"/>
  <c r="AM214" i="1"/>
  <c r="AM213" i="1"/>
  <c r="AM330" i="1"/>
  <c r="AM273" i="1" s="1"/>
  <c r="AG188" i="1"/>
  <c r="AG121" i="1" s="1"/>
  <c r="AG116" i="1"/>
  <c r="AF101" i="1"/>
  <c r="AM448" i="1"/>
  <c r="AM397" i="1" s="1"/>
  <c r="AM396" i="1"/>
  <c r="AM451" i="1"/>
  <c r="AM400" i="1" s="1"/>
  <c r="AM399" i="1"/>
  <c r="AM445" i="1"/>
  <c r="AM394" i="1" s="1"/>
  <c r="AM393" i="1"/>
  <c r="AM275" i="1"/>
  <c r="AM333" i="1"/>
  <c r="AM276" i="1" s="1"/>
  <c r="AM269" i="1"/>
  <c r="AM327" i="1"/>
  <c r="AM270" i="1" s="1"/>
  <c r="AM116" i="1"/>
  <c r="AM188" i="1"/>
  <c r="AM121" i="1" s="1"/>
  <c r="AL101" i="1"/>
  <c r="AL177" i="1"/>
  <c r="AP399" i="1"/>
  <c r="AP396" i="1"/>
  <c r="AP272" i="1"/>
  <c r="AS276" i="1"/>
  <c r="AS275" i="1"/>
  <c r="AP327" i="1"/>
  <c r="AP270" i="1" s="1"/>
  <c r="AS273" i="1"/>
  <c r="AS272" i="1"/>
  <c r="AS270" i="1"/>
  <c r="AS269" i="1"/>
  <c r="AR231" i="1"/>
  <c r="AP445" i="1"/>
  <c r="AP394" i="1" s="1"/>
  <c r="AP275" i="1"/>
  <c r="AP269" i="1"/>
  <c r="AS400" i="1"/>
  <c r="AS397" i="1"/>
  <c r="AS394" i="1"/>
  <c r="AS393" i="1"/>
  <c r="AP209" i="1"/>
  <c r="AO101" i="1"/>
  <c r="AO177" i="1"/>
  <c r="AS116" i="1"/>
  <c r="AS188" i="1"/>
  <c r="AS121" i="1" s="1"/>
  <c r="AS209" i="1"/>
  <c r="AR101" i="1"/>
  <c r="AR177" i="1"/>
  <c r="AP116" i="1"/>
  <c r="AP188" i="1"/>
  <c r="AP121" i="1" s="1"/>
  <c r="F211" i="1" l="1"/>
  <c r="F144" i="1" s="1"/>
  <c r="F142" i="1"/>
  <c r="F213" i="1"/>
  <c r="F146" i="1" s="1"/>
  <c r="F214" i="1"/>
  <c r="F147" i="1" s="1"/>
  <c r="E110" i="1"/>
  <c r="E181" i="1"/>
  <c r="H181" i="1"/>
  <c r="H110" i="1"/>
  <c r="I211" i="1"/>
  <c r="I144" i="1" s="1"/>
  <c r="I142" i="1"/>
  <c r="I214" i="1"/>
  <c r="I147" i="1" s="1"/>
  <c r="I213" i="1"/>
  <c r="I146" i="1" s="1"/>
  <c r="K181" i="1"/>
  <c r="K110" i="1"/>
  <c r="L142" i="1"/>
  <c r="L211" i="1"/>
  <c r="L144" i="1" s="1"/>
  <c r="L214" i="1"/>
  <c r="L147" i="1" s="1"/>
  <c r="L213" i="1"/>
  <c r="L146" i="1" s="1"/>
  <c r="O142" i="1"/>
  <c r="O211" i="1"/>
  <c r="O144" i="1" s="1"/>
  <c r="O213" i="1"/>
  <c r="O146" i="1" s="1"/>
  <c r="O214" i="1"/>
  <c r="O147" i="1" s="1"/>
  <c r="N181" i="1"/>
  <c r="N110" i="1"/>
  <c r="R211" i="1"/>
  <c r="R144" i="1" s="1"/>
  <c r="R142" i="1"/>
  <c r="R213" i="1"/>
  <c r="R146" i="1" s="1"/>
  <c r="R214" i="1"/>
  <c r="R147" i="1" s="1"/>
  <c r="Q110" i="1"/>
  <c r="Q181" i="1"/>
  <c r="T181" i="1"/>
  <c r="T110" i="1"/>
  <c r="U211" i="1"/>
  <c r="U144" i="1" s="1"/>
  <c r="U142" i="1"/>
  <c r="U214" i="1"/>
  <c r="U147" i="1" s="1"/>
  <c r="U213" i="1"/>
  <c r="U146" i="1" s="1"/>
  <c r="W181" i="1"/>
  <c r="W110" i="1"/>
  <c r="X142" i="1"/>
  <c r="X211" i="1"/>
  <c r="X144" i="1" s="1"/>
  <c r="X214" i="1"/>
  <c r="X147" i="1" s="1"/>
  <c r="X213" i="1"/>
  <c r="X146" i="1" s="1"/>
  <c r="Z181" i="1"/>
  <c r="Z110" i="1"/>
  <c r="AA142" i="1"/>
  <c r="AA211" i="1"/>
  <c r="AA144" i="1" s="1"/>
  <c r="AA213" i="1"/>
  <c r="AA146" i="1" s="1"/>
  <c r="AA214" i="1"/>
  <c r="AA147" i="1" s="1"/>
  <c r="AD211" i="1"/>
  <c r="AD144" i="1" s="1"/>
  <c r="AD142" i="1"/>
  <c r="AD213" i="1"/>
  <c r="AD146" i="1" s="1"/>
  <c r="AD214" i="1"/>
  <c r="AD147" i="1" s="1"/>
  <c r="AD121" i="1"/>
  <c r="AD190" i="1"/>
  <c r="AI181" i="1"/>
  <c r="AI110" i="1"/>
  <c r="AJ142" i="1"/>
  <c r="AJ211" i="1"/>
  <c r="AJ144" i="1" s="1"/>
  <c r="AJ213" i="1"/>
  <c r="AJ146" i="1" s="1"/>
  <c r="AJ214" i="1"/>
  <c r="AJ147" i="1" s="1"/>
  <c r="AS211" i="1"/>
  <c r="AS144" i="1" s="1"/>
  <c r="AS213" i="1"/>
  <c r="AS146" i="1" s="1"/>
  <c r="AP211" i="1"/>
  <c r="AP144" i="1" s="1"/>
  <c r="AP213" i="1"/>
  <c r="AP146" i="1" s="1"/>
  <c r="AF181" i="1"/>
  <c r="AF110" i="1"/>
  <c r="AG146" i="1"/>
  <c r="AG142" i="1"/>
  <c r="AG144" i="1"/>
  <c r="AG147" i="1"/>
  <c r="AM146" i="1"/>
  <c r="AM144" i="1"/>
  <c r="AM147" i="1"/>
  <c r="AM142" i="1"/>
  <c r="AL110" i="1"/>
  <c r="AL181" i="1"/>
  <c r="AS214" i="1"/>
  <c r="AS147" i="1" s="1"/>
  <c r="AP214" i="1"/>
  <c r="AP147" i="1" s="1"/>
  <c r="AP142" i="1"/>
  <c r="AS142" i="1"/>
  <c r="AO181" i="1"/>
  <c r="AO110" i="1"/>
  <c r="AR110" i="1"/>
  <c r="AR181" i="1"/>
  <c r="F190" i="1" l="1"/>
  <c r="F217" i="1"/>
  <c r="E114" i="1"/>
  <c r="I217" i="1"/>
  <c r="I190" i="1"/>
  <c r="H114" i="1"/>
  <c r="L190" i="1"/>
  <c r="K114" i="1"/>
  <c r="L217" i="1"/>
  <c r="O190" i="1"/>
  <c r="N114" i="1"/>
  <c r="O217" i="1"/>
  <c r="R190" i="1"/>
  <c r="R217" i="1"/>
  <c r="Q114" i="1"/>
  <c r="U190" i="1"/>
  <c r="U217" i="1"/>
  <c r="T114" i="1"/>
  <c r="X190" i="1"/>
  <c r="W114" i="1"/>
  <c r="X217" i="1"/>
  <c r="AA190" i="1"/>
  <c r="Z114" i="1"/>
  <c r="AA217" i="1"/>
  <c r="AD123" i="1"/>
  <c r="AC87" i="1" s="1"/>
  <c r="AD217" i="1"/>
  <c r="AJ190" i="1"/>
  <c r="AI114" i="1"/>
  <c r="AJ217" i="1"/>
  <c r="AG217" i="1"/>
  <c r="AG190" i="1"/>
  <c r="AD199" i="1" s="1"/>
  <c r="AF114" i="1"/>
  <c r="AM217" i="1"/>
  <c r="AM190" i="1"/>
  <c r="AL114" i="1"/>
  <c r="AO114" i="1"/>
  <c r="AP217" i="1"/>
  <c r="AP190" i="1"/>
  <c r="AS190" i="1"/>
  <c r="AR114" i="1"/>
  <c r="AS217" i="1"/>
  <c r="F205" i="1" l="1"/>
  <c r="F199" i="1"/>
  <c r="F202" i="1"/>
  <c r="F196" i="1"/>
  <c r="F123" i="1"/>
  <c r="E87" i="1" s="1"/>
  <c r="F150" i="1"/>
  <c r="F219" i="1"/>
  <c r="F152" i="1" s="1"/>
  <c r="I123" i="1"/>
  <c r="H87" i="1" s="1"/>
  <c r="K12" i="1" s="1"/>
  <c r="I202" i="1"/>
  <c r="I205" i="1"/>
  <c r="I199" i="1"/>
  <c r="I196" i="1"/>
  <c r="I150" i="1"/>
  <c r="I219" i="1"/>
  <c r="I152" i="1" s="1"/>
  <c r="L123" i="1"/>
  <c r="K87" i="1" s="1"/>
  <c r="L196" i="1"/>
  <c r="L205" i="1"/>
  <c r="L199" i="1"/>
  <c r="L202" i="1"/>
  <c r="L219" i="1"/>
  <c r="L152" i="1" s="1"/>
  <c r="L150" i="1"/>
  <c r="O123" i="1"/>
  <c r="N87" i="1" s="1"/>
  <c r="O205" i="1"/>
  <c r="O199" i="1"/>
  <c r="O196" i="1"/>
  <c r="O202" i="1"/>
  <c r="O219" i="1"/>
  <c r="O152" i="1" s="1"/>
  <c r="O150" i="1"/>
  <c r="R205" i="1"/>
  <c r="R199" i="1"/>
  <c r="R202" i="1"/>
  <c r="R196" i="1"/>
  <c r="R123" i="1"/>
  <c r="Q87" i="1" s="1"/>
  <c r="R150" i="1"/>
  <c r="R219" i="1"/>
  <c r="R152" i="1" s="1"/>
  <c r="U150" i="1"/>
  <c r="U219" i="1"/>
  <c r="U152" i="1" s="1"/>
  <c r="U205" i="1"/>
  <c r="U199" i="1"/>
  <c r="U202" i="1"/>
  <c r="U196" i="1"/>
  <c r="U123" i="1"/>
  <c r="T87" i="1" s="1"/>
  <c r="X219" i="1"/>
  <c r="X152" i="1" s="1"/>
  <c r="X150" i="1"/>
  <c r="X123" i="1"/>
  <c r="W87" i="1" s="1"/>
  <c r="X205" i="1"/>
  <c r="X199" i="1"/>
  <c r="X202" i="1"/>
  <c r="X196" i="1"/>
  <c r="AA219" i="1"/>
  <c r="AA152" i="1" s="1"/>
  <c r="AA150" i="1"/>
  <c r="AA205" i="1"/>
  <c r="AA199" i="1"/>
  <c r="AA123" i="1"/>
  <c r="Z87" i="1" s="1"/>
  <c r="AA202" i="1"/>
  <c r="AA196" i="1"/>
  <c r="AD202" i="1"/>
  <c r="AD203" i="1" s="1"/>
  <c r="AD136" i="1" s="1"/>
  <c r="AC89" i="1"/>
  <c r="L82" i="1"/>
  <c r="AD200" i="1"/>
  <c r="AD133" i="1" s="1"/>
  <c r="AD132" i="1"/>
  <c r="AD205" i="1"/>
  <c r="AD219" i="1"/>
  <c r="AD152" i="1" s="1"/>
  <c r="AD150" i="1"/>
  <c r="AD196" i="1"/>
  <c r="AM199" i="1"/>
  <c r="AM200" i="1" s="1"/>
  <c r="AG196" i="1"/>
  <c r="AG197" i="1" s="1"/>
  <c r="AG199" i="1"/>
  <c r="AG200" i="1" s="1"/>
  <c r="AJ199" i="1"/>
  <c r="AJ200" i="1" s="1"/>
  <c r="AJ205" i="1"/>
  <c r="AJ202" i="1"/>
  <c r="AJ196" i="1"/>
  <c r="AJ123" i="1"/>
  <c r="AI87" i="1" s="1"/>
  <c r="AI89" i="1" s="1"/>
  <c r="AJ150" i="1"/>
  <c r="AJ219" i="1"/>
  <c r="AJ152" i="1" s="1"/>
  <c r="AG202" i="1"/>
  <c r="AG123" i="1"/>
  <c r="AF87" i="1" s="1"/>
  <c r="AG205" i="1"/>
  <c r="AG219" i="1"/>
  <c r="AG152" i="1" s="1"/>
  <c r="AG150" i="1"/>
  <c r="AM202" i="1"/>
  <c r="AM196" i="1"/>
  <c r="AM123" i="1"/>
  <c r="AL87" i="1" s="1"/>
  <c r="AM205" i="1"/>
  <c r="AM150" i="1"/>
  <c r="AM219" i="1"/>
  <c r="AM152" i="1" s="1"/>
  <c r="AP205" i="1"/>
  <c r="AP206" i="1" s="1"/>
  <c r="AP202" i="1"/>
  <c r="AP203" i="1" s="1"/>
  <c r="AS123" i="1"/>
  <c r="AR87" i="1" s="1"/>
  <c r="H82" i="1" s="1"/>
  <c r="AS150" i="1"/>
  <c r="AS219" i="1"/>
  <c r="AS152" i="1" s="1"/>
  <c r="AP196" i="1"/>
  <c r="AP123" i="1"/>
  <c r="AO87" i="1" s="1"/>
  <c r="I82" i="1" s="1"/>
  <c r="AP150" i="1"/>
  <c r="AP219" i="1"/>
  <c r="AP152" i="1" s="1"/>
  <c r="E89" i="1" l="1"/>
  <c r="T82" i="1"/>
  <c r="T83" i="1" s="1"/>
  <c r="T84" i="1" s="1"/>
  <c r="F138" i="1"/>
  <c r="F206" i="1"/>
  <c r="F139" i="1" s="1"/>
  <c r="F197" i="1"/>
  <c r="F130" i="1" s="1"/>
  <c r="F129" i="1"/>
  <c r="F203" i="1"/>
  <c r="F136" i="1" s="1"/>
  <c r="F135" i="1"/>
  <c r="F200" i="1"/>
  <c r="F133" i="1" s="1"/>
  <c r="F132" i="1"/>
  <c r="H89" i="1"/>
  <c r="K71" i="1" s="1"/>
  <c r="S82" i="1"/>
  <c r="S83" i="1" s="1"/>
  <c r="S84" i="1" s="1"/>
  <c r="I197" i="1"/>
  <c r="I130" i="1" s="1"/>
  <c r="I129" i="1"/>
  <c r="I200" i="1"/>
  <c r="I133" i="1" s="1"/>
  <c r="I132" i="1"/>
  <c r="I206" i="1"/>
  <c r="I139" i="1" s="1"/>
  <c r="I138" i="1"/>
  <c r="I203" i="1"/>
  <c r="I136" i="1" s="1"/>
  <c r="I135" i="1"/>
  <c r="K89" i="1"/>
  <c r="R82" i="1"/>
  <c r="R83" i="1" s="1"/>
  <c r="R84" i="1" s="1"/>
  <c r="L135" i="1"/>
  <c r="L203" i="1"/>
  <c r="L136" i="1" s="1"/>
  <c r="L200" i="1"/>
  <c r="L133" i="1" s="1"/>
  <c r="L132" i="1"/>
  <c r="L206" i="1"/>
  <c r="L139" i="1" s="1"/>
  <c r="L138" i="1"/>
  <c r="L129" i="1"/>
  <c r="L197" i="1"/>
  <c r="L130" i="1" s="1"/>
  <c r="N89" i="1"/>
  <c r="Q82" i="1"/>
  <c r="Q83" i="1" s="1"/>
  <c r="Q84" i="1" s="1"/>
  <c r="O135" i="1"/>
  <c r="O203" i="1"/>
  <c r="O136" i="1" s="1"/>
  <c r="O129" i="1"/>
  <c r="O197" i="1"/>
  <c r="O130" i="1" s="1"/>
  <c r="O200" i="1"/>
  <c r="O133" i="1" s="1"/>
  <c r="O132" i="1"/>
  <c r="O206" i="1"/>
  <c r="O139" i="1" s="1"/>
  <c r="O138" i="1"/>
  <c r="Q89" i="1"/>
  <c r="P82" i="1"/>
  <c r="P83" i="1" s="1"/>
  <c r="P84" i="1" s="1"/>
  <c r="R138" i="1"/>
  <c r="R206" i="1"/>
  <c r="R139" i="1" s="1"/>
  <c r="R197" i="1"/>
  <c r="R130" i="1" s="1"/>
  <c r="R129" i="1"/>
  <c r="R203" i="1"/>
  <c r="R136" i="1" s="1"/>
  <c r="R135" i="1"/>
  <c r="R132" i="1"/>
  <c r="R200" i="1"/>
  <c r="R133" i="1" s="1"/>
  <c r="T89" i="1"/>
  <c r="O82" i="1"/>
  <c r="O83" i="1" s="1"/>
  <c r="O84" i="1" s="1"/>
  <c r="U200" i="1"/>
  <c r="U133" i="1" s="1"/>
  <c r="U132" i="1"/>
  <c r="U138" i="1"/>
  <c r="U206" i="1"/>
  <c r="U139" i="1" s="1"/>
  <c r="U197" i="1"/>
  <c r="U130" i="1" s="1"/>
  <c r="U129" i="1"/>
  <c r="U135" i="1"/>
  <c r="U203" i="1"/>
  <c r="U136" i="1" s="1"/>
  <c r="W89" i="1"/>
  <c r="N82" i="1"/>
  <c r="N83" i="1" s="1"/>
  <c r="N84" i="1" s="1"/>
  <c r="X206" i="1"/>
  <c r="X139" i="1" s="1"/>
  <c r="X138" i="1"/>
  <c r="X129" i="1"/>
  <c r="X197" i="1"/>
  <c r="X130" i="1" s="1"/>
  <c r="X135" i="1"/>
  <c r="X203" i="1"/>
  <c r="X136" i="1" s="1"/>
  <c r="X200" i="1"/>
  <c r="X133" i="1" s="1"/>
  <c r="X132" i="1"/>
  <c r="Z89" i="1"/>
  <c r="M82" i="1"/>
  <c r="M83" i="1" s="1"/>
  <c r="M84" i="1" s="1"/>
  <c r="AA132" i="1"/>
  <c r="AA200" i="1"/>
  <c r="AA133" i="1" s="1"/>
  <c r="AA129" i="1"/>
  <c r="AA197" i="1"/>
  <c r="AA130" i="1" s="1"/>
  <c r="AA138" i="1"/>
  <c r="AA206" i="1"/>
  <c r="AA139" i="1" s="1"/>
  <c r="AA135" i="1"/>
  <c r="AA203" i="1"/>
  <c r="AA136" i="1" s="1"/>
  <c r="AD135" i="1"/>
  <c r="L83" i="1"/>
  <c r="L84" i="1" s="1"/>
  <c r="AD197" i="1"/>
  <c r="AD130" i="1" s="1"/>
  <c r="AD129" i="1"/>
  <c r="AD206" i="1"/>
  <c r="AD139" i="1" s="1"/>
  <c r="AD138" i="1"/>
  <c r="AJ138" i="1"/>
  <c r="AJ206" i="1"/>
  <c r="AJ139" i="1" s="1"/>
  <c r="AJ197" i="1"/>
  <c r="AJ130" i="1" s="1"/>
  <c r="AJ129" i="1"/>
  <c r="AJ203" i="1"/>
  <c r="AJ136" i="1" s="1"/>
  <c r="AJ135" i="1"/>
  <c r="AF89" i="1"/>
  <c r="K82" i="1"/>
  <c r="K83" i="1" s="1"/>
  <c r="K84" i="1" s="1"/>
  <c r="AL89" i="1"/>
  <c r="J82" i="1"/>
  <c r="AG206" i="1"/>
  <c r="AG139" i="1" s="1"/>
  <c r="AG138" i="1"/>
  <c r="AG130" i="1"/>
  <c r="AG129" i="1"/>
  <c r="AG203" i="1"/>
  <c r="AG136" i="1" s="1"/>
  <c r="AG135" i="1"/>
  <c r="AM135" i="1"/>
  <c r="AM203" i="1"/>
  <c r="AM136" i="1" s="1"/>
  <c r="AM138" i="1"/>
  <c r="AM206" i="1"/>
  <c r="AM139" i="1" s="1"/>
  <c r="AM197" i="1"/>
  <c r="AM130" i="1" s="1"/>
  <c r="AM129" i="1"/>
  <c r="AO89" i="1"/>
  <c r="AR89" i="1"/>
  <c r="I83" i="1" s="1"/>
  <c r="I84" i="1" s="1"/>
  <c r="AH74" i="1"/>
  <c r="AP199" i="1"/>
  <c r="AP129" i="1"/>
  <c r="AP197" i="1"/>
  <c r="AP130" i="1" s="1"/>
  <c r="AP135" i="1"/>
  <c r="AP136" i="1"/>
  <c r="AP138" i="1"/>
  <c r="AJ133" i="1" l="1"/>
  <c r="AJ132" i="1"/>
  <c r="AG133" i="1"/>
  <c r="AG132" i="1"/>
  <c r="J83" i="1"/>
  <c r="J84" i="1" s="1"/>
  <c r="AM132" i="1"/>
  <c r="AM133" i="1"/>
  <c r="AP139" i="1"/>
  <c r="AP132" i="1"/>
  <c r="AP200" i="1"/>
  <c r="AP133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Victor</author>
  </authors>
  <commentList>
    <comment ref="D89" authorId="0" shapeId="0" xr:uid="{00000000-0006-0000-0000-000001000000}">
      <text>
        <r>
          <rPr>
            <b/>
            <sz val="9"/>
            <rFont val="Tahoma"/>
            <family val="2"/>
          </rPr>
          <t>Victor:</t>
        </r>
        <r>
          <rPr>
            <sz val="9"/>
            <rFont val="Tahoma"/>
            <family val="2"/>
          </rPr>
          <t xml:space="preserve">
Poné 1 si tenés Jornada extendida y 0 si no tenés.</t>
        </r>
      </text>
    </comment>
    <comment ref="D232" authorId="0" shapeId="0" xr:uid="{00000000-0006-0000-0000-000004000000}">
      <text>
        <r>
          <rPr>
            <b/>
            <sz val="9"/>
            <rFont val="Tahoma"/>
            <family val="2"/>
          </rPr>
          <t>Victor:</t>
        </r>
        <r>
          <rPr>
            <sz val="9"/>
            <rFont val="Tahoma"/>
            <family val="2"/>
          </rPr>
          <t xml:space="preserve">
Poner 1 si lo cobra en 18 horas, 0 si no lo cobra y se pueden utilizar decimales para una cantidad menor a 18, por ejemplo 0,5 para 9 horas o 0,3333 para 6 horas.</t>
        </r>
      </text>
    </comment>
  </commentList>
</comments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<sst xmlns="http://schemas.openxmlformats.org/spreadsheetml/2006/main" count="1722" uniqueCount="621">
  <si>
    <t>De acuerdo a anuncios de prensa</t>
  </si>
  <si>
    <t>Listado de Cargos</t>
  </si>
  <si>
    <t>Por favor avisar si encuentran errores</t>
  </si>
  <si>
    <t>Los porcentajes de aumento indicados en cada mes son acumulados anuales</t>
  </si>
  <si>
    <t>Solo completar los datos en rojo</t>
  </si>
  <si>
    <t>Escala de antigüedades</t>
  </si>
  <si>
    <t>Años</t>
  </si>
  <si>
    <t>Porcentaje</t>
  </si>
  <si>
    <t>Final</t>
  </si>
  <si>
    <t>hasta 971</t>
  </si>
  <si>
    <t>972&lt;pi&lt;= 1169</t>
  </si>
  <si>
    <t>1170&lt;pi&lt;1400</t>
  </si>
  <si>
    <t>1401&lt;pi&lt;1942</t>
  </si>
  <si>
    <t>1943&lt;pi&lt;=2220</t>
  </si>
  <si>
    <t>pi&gt;2220</t>
  </si>
  <si>
    <t>pijc&gt;=620 971</t>
  </si>
  <si>
    <t>JC &gt; 971</t>
  </si>
  <si>
    <t>JC defint</t>
  </si>
  <si>
    <t>Porc aumento índice</t>
  </si>
  <si>
    <t>18,00%</t>
  </si>
  <si>
    <t>Nuevo Índice</t>
  </si>
  <si>
    <t>#¿NOMBRE?</t>
  </si>
  <si>
    <t>Auminddic</t>
  </si>
  <si>
    <t>Para conocer el código del cargo hacer clic en la hoja cargos</t>
  </si>
  <si>
    <t>Porc aumento prol Jornada</t>
  </si>
  <si>
    <t>20,00%</t>
  </si>
  <si>
    <t>Nuevo Prol Jorn</t>
  </si>
  <si>
    <t>aumjorcompdic</t>
  </si>
  <si>
    <t>% de aum código 06</t>
  </si>
  <si>
    <t>16,00%</t>
  </si>
  <si>
    <t>Multiplicador</t>
  </si>
  <si>
    <t>116,0%</t>
  </si>
  <si>
    <t>aum cod 06 dic</t>
  </si>
  <si>
    <t>#########</t>
  </si>
  <si>
    <t>Modificadores diálogo 2013</t>
  </si>
  <si>
    <t>Nuevo sueldo testigo (maestro, 0% antig)</t>
  </si>
  <si>
    <t>Aumento cargo testigo</t>
  </si>
  <si>
    <t>CARGOS</t>
  </si>
  <si>
    <t>Aumento10</t>
  </si>
  <si>
    <t>Aumento11</t>
  </si>
  <si>
    <t>indicenov24</t>
  </si>
  <si>
    <t>indicedic24</t>
  </si>
  <si>
    <t>Indiceproljornov24</t>
  </si>
  <si>
    <t>Indiceproljordic24</t>
  </si>
  <si>
    <t>Aumentoago24</t>
  </si>
  <si>
    <t>Aumentosep24</t>
  </si>
  <si>
    <t>Aumentooct24</t>
  </si>
  <si>
    <t>Aumentonov24</t>
  </si>
  <si>
    <t>Aumentodic24</t>
  </si>
  <si>
    <t>feb</t>
  </si>
  <si>
    <t>marzo</t>
  </si>
  <si>
    <t>abril</t>
  </si>
  <si>
    <t>abril 5%</t>
  </si>
  <si>
    <t>mayo</t>
  </si>
  <si>
    <t>junio</t>
  </si>
  <si>
    <t>Aclaración importante:</t>
  </si>
  <si>
    <t>Puede haber errores</t>
  </si>
  <si>
    <t>Sirve como herramienta orientativa</t>
  </si>
  <si>
    <t>completar el cargo a la izquierda y buscar el resultado a la derecha</t>
  </si>
  <si>
    <t>CARGO</t>
  </si>
  <si>
    <t>PUNTOS basicos</t>
  </si>
  <si>
    <t>tarea DIFER.</t>
  </si>
  <si>
    <t>Prol JORN</t>
  </si>
  <si>
    <t>Combas2016</t>
  </si>
  <si>
    <t>Adic Esc Nina</t>
  </si>
  <si>
    <t>comp dir 2022</t>
  </si>
  <si>
    <t>Puntos Extensión</t>
  </si>
  <si>
    <t>NOMBRE del cargo</t>
  </si>
  <si>
    <t>Buscar en la hoja cargos si no saben el número del cargo y luego controlar por el nombre</t>
  </si>
  <si>
    <t>¿Sos directivo de escuela Nina?</t>
  </si>
  <si>
    <t>Si: 1; No: 0</t>
  </si>
  <si>
    <t>Aumento acumulado</t>
  </si>
  <si>
    <t>Años de antigüedad</t>
  </si>
  <si>
    <t>poné los años</t>
  </si>
  <si>
    <t>Porcentaje acum</t>
  </si>
  <si>
    <t>Aumento Provincial</t>
  </si>
  <si>
    <t>Transporte: cant km semanales</t>
  </si>
  <si>
    <t>Sueldo Liquido</t>
  </si>
  <si>
    <t>Comp. a cobrar</t>
  </si>
  <si>
    <t>Puntos básicos</t>
  </si>
  <si>
    <t>Puntos de jornada completa</t>
  </si>
  <si>
    <t>Extensión de jornada</t>
  </si>
  <si>
    <t>CODIGO</t>
  </si>
  <si>
    <t>PORCENT</t>
  </si>
  <si>
    <t>CONCEPTO</t>
  </si>
  <si>
    <t>HABERES</t>
  </si>
  <si>
    <t>DESCUENTOS</t>
  </si>
  <si>
    <t>Asignación de la categoría</t>
  </si>
  <si>
    <t>Complemento de Básico</t>
  </si>
  <si>
    <t>Nuevo</t>
  </si>
  <si>
    <t>03 o 08</t>
  </si>
  <si>
    <t>Complemento directivo</t>
  </si>
  <si>
    <t>Adicional Nina</t>
  </si>
  <si>
    <t>Adic. Art. 2 y 3 Dcrto. 5863/05</t>
  </si>
  <si>
    <t>Antigüedad</t>
  </si>
  <si>
    <t>Product. Dcrto. 5863/05</t>
  </si>
  <si>
    <t>Plus productividad docente</t>
  </si>
  <si>
    <t>Prolongación de Jornada</t>
  </si>
  <si>
    <t>Función diferencial docente</t>
  </si>
  <si>
    <t>Bonific Ubic Escuela (ZONA)</t>
  </si>
  <si>
    <t>Adicional para mínimo</t>
  </si>
  <si>
    <t>Monto Remunerativo</t>
  </si>
  <si>
    <t>Compensación por traslado</t>
  </si>
  <si>
    <t>Varios</t>
  </si>
  <si>
    <t>Total Asignaciones Familiares</t>
  </si>
  <si>
    <t>Total nominal provincia</t>
  </si>
  <si>
    <t>FONID 2006</t>
  </si>
  <si>
    <t>Total haberes</t>
  </si>
  <si>
    <t>Reajuste cod 188</t>
  </si>
  <si>
    <t>16% JUN  a 19% JUL</t>
  </si>
  <si>
    <t>Ap jubilat</t>
  </si>
  <si>
    <t>Ob social</t>
  </si>
  <si>
    <t>Seg vida</t>
  </si>
  <si>
    <t>Aporte sindical AGMER</t>
  </si>
  <si>
    <t>Otro desc</t>
  </si>
  <si>
    <t>Descuentos</t>
  </si>
  <si>
    <t>Aumento provincial</t>
  </si>
  <si>
    <t>Porcentaje provincial</t>
  </si>
  <si>
    <t>4000xx</t>
  </si>
  <si>
    <t>Sueldo líquido</t>
  </si>
  <si>
    <t>Total remunerativos</t>
  </si>
  <si>
    <t>Aumento del mes</t>
  </si>
  <si>
    <t>Porc resp a anterior</t>
  </si>
  <si>
    <t>Aumento Remunerativo</t>
  </si>
  <si>
    <t>Rem Porcentual</t>
  </si>
  <si>
    <t>Porcentaje acumulado</t>
  </si>
  <si>
    <t>Aumento provincial Acum</t>
  </si>
  <si>
    <t>Medio Aguinaldo</t>
  </si>
  <si>
    <t>código 100</t>
  </si>
  <si>
    <t>código 186 (No remun)</t>
  </si>
  <si>
    <t>Líquido</t>
  </si>
  <si>
    <t>Descuentos con aguinaldo</t>
  </si>
  <si>
    <t>Sueldo líquido incluyendo aguinaldo</t>
  </si>
  <si>
    <t>Aguinaldo de bolsillo</t>
  </si>
  <si>
    <t>HORAS DE NIVEL MEDIO</t>
  </si>
  <si>
    <t>Número de horas</t>
  </si>
  <si>
    <t>Años de Antigüedad</t>
  </si>
  <si>
    <t>Por los topes de algunos códigos</t>
  </si>
  <si>
    <t>Nº horas que cobran código 06</t>
  </si>
  <si>
    <t>Nº horas que cobran incentivo</t>
  </si>
  <si>
    <t>Adicional horas media (1: Si; 0: No)</t>
  </si>
  <si>
    <t>Cant horas Cod 38</t>
  </si>
  <si>
    <t>Trans: cant km semanales</t>
  </si>
  <si>
    <t>Horas cátedra</t>
  </si>
  <si>
    <t>Productiv Dcrto. 5863/05</t>
  </si>
  <si>
    <t>Adicional horas media</t>
  </si>
  <si>
    <t>Aprox</t>
  </si>
  <si>
    <t>NUEVO ADIC. HS. CAT.</t>
  </si>
  <si>
    <t>Sueldo Nominal Provincia</t>
  </si>
  <si>
    <t>Otros</t>
  </si>
  <si>
    <t>Haberes</t>
  </si>
  <si>
    <t>Ap jubilatorio</t>
  </si>
  <si>
    <t>Obra social</t>
  </si>
  <si>
    <t>HORAS DE NIVEL Superior</t>
  </si>
  <si>
    <t>Sueldo nominal provincia</t>
  </si>
  <si>
    <t>Autor</t>
  </si>
  <si>
    <t>Víctor Hugo Hutt</t>
  </si>
  <si>
    <t>AGMER Seccional Uruguay</t>
  </si>
  <si>
    <t>huttvictor@gmail.com</t>
  </si>
  <si>
    <t>www.agmeruruguay.com.ar</t>
  </si>
  <si>
    <t>Facebook: agmeruruguay</t>
  </si>
  <si>
    <t>www.victorhutt.com.ar</t>
  </si>
  <si>
    <t>Volver al simulador</t>
  </si>
  <si>
    <t>Tarea</t>
  </si>
  <si>
    <t>Prol</t>
  </si>
  <si>
    <t>Adic</t>
  </si>
  <si>
    <t>NOMBRE</t>
  </si>
  <si>
    <t>PUNTOS</t>
  </si>
  <si>
    <t>Ext Horaria</t>
  </si>
  <si>
    <t>puntos comp bas 2016</t>
  </si>
  <si>
    <t>adic dir 2022</t>
  </si>
  <si>
    <t>TOT 1 Y 2</t>
  </si>
  <si>
    <t>DIFER.</t>
  </si>
  <si>
    <t>JORN</t>
  </si>
  <si>
    <t>Nina</t>
  </si>
  <si>
    <t>indiceene25</t>
  </si>
  <si>
    <t>Indiceproljorene25</t>
  </si>
  <si>
    <t>Aumentoene25</t>
  </si>
  <si>
    <t>o</t>
  </si>
  <si>
    <t>h</t>
  </si>
  <si>
    <t>n</t>
  </si>
  <si>
    <t>Sin Montos en negro:</t>
  </si>
  <si>
    <t>2/3 de 6,55</t>
  </si>
  <si>
    <t>IPC octubre</t>
  </si>
  <si>
    <t>Calc nov con dev a jun</t>
  </si>
  <si>
    <t>Porcentaje Remunerativo</t>
  </si>
  <si>
    <t>Aumento Remunerativo Acum</t>
  </si>
  <si>
    <t>Aumento acumulado anual</t>
  </si>
  <si>
    <t>Aumentoene25respdic24</t>
  </si>
  <si>
    <t>Aumentofeb25respene25</t>
  </si>
  <si>
    <t>indicefeb25</t>
  </si>
  <si>
    <t>Indiceproljorfeb25</t>
  </si>
  <si>
    <t>indicemar25</t>
  </si>
  <si>
    <t>Indiceproljormar25</t>
  </si>
  <si>
    <t>Aumentomar25respene25</t>
  </si>
  <si>
    <t>Conectividad Provincial</t>
  </si>
  <si>
    <t>FOPID</t>
  </si>
  <si>
    <t>Nuevo cod Bonif y Remun</t>
  </si>
  <si>
    <t>Por acum Anual</t>
  </si>
  <si>
    <r>
      <t xml:space="preserve">Simulador Salario docente Entre Ríos </t>
    </r>
    <r>
      <rPr>
        <b/>
        <u/>
        <sz val="16"/>
        <color theme="4" tint="-0.499984740745262"/>
        <rFont val="Arial"/>
        <family val="2"/>
      </rPr>
      <t>(2025)</t>
    </r>
  </si>
  <si>
    <t>Feb cobrado</t>
  </si>
  <si>
    <t>Feb Paritaria</t>
  </si>
  <si>
    <t>indiceabr25</t>
  </si>
  <si>
    <t>Indiceproljorabr25</t>
  </si>
  <si>
    <t>Aumentoabr25respene25</t>
  </si>
  <si>
    <t>Aumentomay25respene25</t>
  </si>
  <si>
    <t>indicemay25</t>
  </si>
  <si>
    <t>Indiceproljormay25</t>
  </si>
  <si>
    <t>Punto Índice</t>
  </si>
  <si>
    <t>P. Índice Jor Comp.</t>
  </si>
  <si>
    <t>indicejun25</t>
  </si>
  <si>
    <t>Indiceproljorjun25</t>
  </si>
  <si>
    <t>Aumentojun25respene25</t>
  </si>
  <si>
    <t>indicejul25</t>
  </si>
  <si>
    <t>Indiceproljorjul25</t>
  </si>
  <si>
    <t>Aumentojul25respene25</t>
  </si>
  <si>
    <t>Realizado de acuerdo a datos de prensa</t>
  </si>
  <si>
    <t>% de aumento</t>
  </si>
  <si>
    <t>indiceago25</t>
  </si>
  <si>
    <t>Indiceproljorago25</t>
  </si>
  <si>
    <t>Aumentoago25respene25</t>
  </si>
  <si>
    <t>Ipc</t>
  </si>
  <si>
    <t>Efecto de la base de cálculo no actualizada</t>
  </si>
  <si>
    <t xml:space="preserve">Canasta de Indigencia: </t>
  </si>
  <si>
    <t>Canasta de la pobreza:</t>
  </si>
  <si>
    <t>Inicial sin montos en negro:</t>
  </si>
  <si>
    <t xml:space="preserve">Sueldo inicial: </t>
  </si>
  <si>
    <t>de la canasta básica total"</t>
  </si>
  <si>
    <t>indicesep25</t>
  </si>
  <si>
    <t>Indiceproljorsep25</t>
  </si>
  <si>
    <t>Aumentosep25respene25</t>
  </si>
  <si>
    <t>indiceoct25</t>
  </si>
  <si>
    <t>Indiceproljoroct25</t>
  </si>
  <si>
    <t>Aumentooct25respene25</t>
  </si>
  <si>
    <t>indicenov25</t>
  </si>
  <si>
    <t>Indiceproljornov25</t>
  </si>
  <si>
    <t>Aumentonov25respene25</t>
  </si>
  <si>
    <t>indicedic25</t>
  </si>
  <si>
    <t>Indiceproljordic25</t>
  </si>
  <si>
    <t>Aumentodic25respene25</t>
  </si>
  <si>
    <t>Es de Noviembre</t>
  </si>
  <si>
    <t>Se simula diciembre con infl del 2,5% de Noviembre</t>
  </si>
  <si>
    <r>
      <t xml:space="preserve">Desde Dic 24 a </t>
    </r>
    <r>
      <rPr>
        <b/>
        <sz val="22"/>
        <color theme="8"/>
        <rFont val="Arial"/>
        <family val="2"/>
      </rPr>
      <t>Diciembre</t>
    </r>
    <r>
      <rPr>
        <b/>
        <sz val="18"/>
        <color rgb="FFFFFFFF"/>
        <rFont val="Arial"/>
        <family val="2"/>
      </rPr>
      <t xml:space="preserve"> 2025</t>
    </r>
  </si>
  <si>
    <t>347,6</t>
  </si>
  <si>
    <t>776</t>
  </si>
  <si>
    <t>388</t>
  </si>
  <si>
    <t>647</t>
  </si>
  <si>
    <t>582</t>
  </si>
  <si>
    <t>453</t>
  </si>
  <si>
    <t>518</t>
  </si>
  <si>
    <t>517</t>
  </si>
  <si>
    <t xml:space="preserve">Maestro De Artes Visuales </t>
  </si>
  <si>
    <t>Secretario Esc. Nivel Inicial 1era. Cat.</t>
  </si>
  <si>
    <t>Secretario Esc. Nivel Inicial 2da. Cat.</t>
  </si>
  <si>
    <t>Secretario Esc. Nivel Inicial 3era. Cat.</t>
  </si>
  <si>
    <t>Maestro Auxiliar De Nivel Inicial</t>
  </si>
  <si>
    <t>Maestro Dpto. Aplicación Lengua - Uader</t>
  </si>
  <si>
    <t>Maestro Espec. Dpto. Aplicación Lenguas Vivas - Uader</t>
  </si>
  <si>
    <t>Analista Técnico - Uader</t>
  </si>
  <si>
    <t>Maestro Especial Jardín De Infantes - Uader</t>
  </si>
  <si>
    <t>Maestro Jardín De Infantes - Uader</t>
  </si>
  <si>
    <t>Vicerrector Nivel Superior - Uader</t>
  </si>
  <si>
    <t>Regente Nivel Superior - Uader</t>
  </si>
  <si>
    <t>Vicedirector Esc. De 3era. Cat.</t>
  </si>
  <si>
    <t>Secretario Esc. Jorn. Completa 1era. Cat.</t>
  </si>
  <si>
    <t>Sec. Esc. De Jorn. Completa 3era. Cat.</t>
  </si>
  <si>
    <t>Prosecretario Nivel Superior - Uader</t>
  </si>
  <si>
    <t>Secretario Esc. De 3era. Cat.</t>
  </si>
  <si>
    <t>Secretario Escuela 2da. Cat. Jornada Compl.</t>
  </si>
  <si>
    <t>Secretario Escuela 3era. Cat. Jornada Compl.</t>
  </si>
  <si>
    <t>Rector Esc. Sec. Jov. Y Adultos En Contexto De Priv. De La Libertad</t>
  </si>
  <si>
    <t>Técnico Docente Nivel Inicial</t>
  </si>
  <si>
    <t>Maestro 1er. Año Escuela Secundaria Jóvenes Y Adultos En Contexto De Privacion De La Libertad</t>
  </si>
  <si>
    <t>Maestro Educacion Artistica Jóvenes Y Adultos</t>
  </si>
  <si>
    <t>Educador Jóvenes Y Adultos (Capacitador Laboral)</t>
  </si>
  <si>
    <t>Maestro Educación Musical Jornada Completa</t>
  </si>
  <si>
    <t>Maestro Educacion Física Jornada Completa</t>
  </si>
  <si>
    <t>Bibliotecario Jornada Completa</t>
  </si>
  <si>
    <t>Maestro Educacion Musical Anexo Albergue</t>
  </si>
  <si>
    <t>Maestro Educacion Física Anexo Albergue</t>
  </si>
  <si>
    <t>Celador Esc. Anexo Albergue</t>
  </si>
  <si>
    <t>Maestro De Taller Jornada Compl.</t>
  </si>
  <si>
    <t>Maestro Educacion Agropecuaria J.C.</t>
  </si>
  <si>
    <t>Secretario 3era. Cat. Escuela Secundaria Jovenes Y Adultos En Contexto De Privacion De La Libertad</t>
  </si>
  <si>
    <t>Director Escuela Personal Único</t>
  </si>
  <si>
    <t>Secretario Escuela 3era. Cat.</t>
  </si>
  <si>
    <t xml:space="preserve">Coordinador De Centro Comunitario </t>
  </si>
  <si>
    <t xml:space="preserve">Maestro 1er. Año Escuela Secundaria Jóvenes Y Adultos </t>
  </si>
  <si>
    <t>Maestro Educación Agropecuaria Anexo Albergue</t>
  </si>
  <si>
    <t>Maestro De Ctro. Educ. Educacion Primaria De Jov. Y Adultos</t>
  </si>
  <si>
    <t>Jefe Dpto. Pedag. Y Superv. (Ens.Privada)</t>
  </si>
  <si>
    <t>Supervisor Ens. Especial (Enseñanza Privada)</t>
  </si>
  <si>
    <t>Supervisor Ens.Primaria (Enseñanza Privada)</t>
  </si>
  <si>
    <t>Supervisor Ens. Inicial (Enseñanza Privada)</t>
  </si>
  <si>
    <t>Tutor/A Educativo Dep. De Jovenes Y Adultos</t>
  </si>
  <si>
    <t>Tecnico Docente Enseñanza Privada</t>
  </si>
  <si>
    <t>Supervisor Enseñanza Secundaria (Ens. Privada)</t>
  </si>
  <si>
    <t>Prof.Titular Dedic. Exclusiva - Uader</t>
  </si>
  <si>
    <t>Prof. Asoc. Dedic. Exclusiva - Uader</t>
  </si>
  <si>
    <t>Prof. Adj. Dedic. Exclusiva - Uader</t>
  </si>
  <si>
    <t>Jefe Trabajos Pract. Dedic. Exclusiva - Uader</t>
  </si>
  <si>
    <t>Auxiliar Docente 1era. Cat. Dedic. Exclusiva - Uader</t>
  </si>
  <si>
    <t>Auxiliar Docente 1era. Cat. Dedic. Parcial - Uader</t>
  </si>
  <si>
    <t>Jefe Trabajos Pract. Dedic. Parcial - Uader</t>
  </si>
  <si>
    <t>Prof.Titular Dedic. Parcial - Uader</t>
  </si>
  <si>
    <t>Prof. Asoc. Dedic. Parcial - Uader</t>
  </si>
  <si>
    <t>Prof. Adj. Dedic. Parcial - Uader</t>
  </si>
  <si>
    <t>Prof. Titular Dedic. Simple - Uader</t>
  </si>
  <si>
    <t>Prof. Asoc. Dedic. Simple - Uader</t>
  </si>
  <si>
    <t>Prof. Adj. Dedic Simple - Uader</t>
  </si>
  <si>
    <t>Jefe Trabajos Pract.Dedic. Simple - Uader</t>
  </si>
  <si>
    <t>Auxiliar Docente 1era. Cat. Dedic. Simple - Uader</t>
  </si>
  <si>
    <t>Analista Técnico</t>
  </si>
  <si>
    <t xml:space="preserve">Supervisor Instituto Superior </t>
  </si>
  <si>
    <t>Técnico Docente Educación Superior</t>
  </si>
  <si>
    <t>Rector Instituto Superior</t>
  </si>
  <si>
    <t xml:space="preserve">Vicerrector Instituto Superior </t>
  </si>
  <si>
    <t>Secretario Académico</t>
  </si>
  <si>
    <t>Regente Instituto Superior</t>
  </si>
  <si>
    <t>Secretario Instituto Superior</t>
  </si>
  <si>
    <t>Prosecretario Instituto Superior</t>
  </si>
  <si>
    <t>Bedel</t>
  </si>
  <si>
    <t>Ayudante Trabajos Prácticos</t>
  </si>
  <si>
    <t>Preceptor Instituto Superior</t>
  </si>
  <si>
    <t>Instructor Instituto Superior</t>
  </si>
  <si>
    <t>Bibliotecario Instituto Superior</t>
  </si>
  <si>
    <t>Maestro De Educ. Fisica Especial</t>
  </si>
  <si>
    <t>Maestro De Educ. Artistica Especial</t>
  </si>
  <si>
    <t>Maestro De Educ. Musical Especial</t>
  </si>
  <si>
    <t>Director De Escuela 1era. Cat.</t>
  </si>
  <si>
    <t>Director De Escuela 2da. Cat.</t>
  </si>
  <si>
    <t>Director De Escuela 3era. Cat.</t>
  </si>
  <si>
    <t>Director De Escuela 4ta. Cat.</t>
  </si>
  <si>
    <t>Director Escuela Educación Especial</t>
  </si>
  <si>
    <t>Director De Escuela Adultos 2da. Cat.</t>
  </si>
  <si>
    <t>Director De Escuela Nivel Inicial 2da. Cat.</t>
  </si>
  <si>
    <t>Vicedirector Esc. 1era. Cat.</t>
  </si>
  <si>
    <t>Vicedirector Esc. 2da. Cat.</t>
  </si>
  <si>
    <t>Vicedirector Esc. Especial</t>
  </si>
  <si>
    <t>Secretaria De Escuela De 2da. Cat.</t>
  </si>
  <si>
    <t>Maestro De Ciclo</t>
  </si>
  <si>
    <t>Maestro De Grado Diferenciado</t>
  </si>
  <si>
    <t>Maestro De Nivel Inicial</t>
  </si>
  <si>
    <t>Maestro De Grupo Esc. Especial</t>
  </si>
  <si>
    <t>Maestro De Grado Adultos</t>
  </si>
  <si>
    <t>Maestro De Educación Física</t>
  </si>
  <si>
    <t>Maestro De Materias Especiales</t>
  </si>
  <si>
    <t>Maestro De Materias Especiales Esc. Especial</t>
  </si>
  <si>
    <t>Bibliotecario</t>
  </si>
  <si>
    <t>Psicólogo</t>
  </si>
  <si>
    <t>Musico Terapeuta</t>
  </si>
  <si>
    <t>Asistente Social</t>
  </si>
  <si>
    <t>Preceptor Escuela Especial</t>
  </si>
  <si>
    <t>Director Esc. Capacit. Técnica 4ta. Cat.</t>
  </si>
  <si>
    <t>Maestro Cultura General Cap. Tecnica</t>
  </si>
  <si>
    <t>Rector Nivel Superior - Uader</t>
  </si>
  <si>
    <t>Secretario Nivel Superior - Uader</t>
  </si>
  <si>
    <t>Bibliotecario Nivel Superior - Uader</t>
  </si>
  <si>
    <t>Preceptor Nivel Superior - Uader</t>
  </si>
  <si>
    <t>Bedel - Uader</t>
  </si>
  <si>
    <t>Ayudante Trabajos Prácticos - Uader</t>
  </si>
  <si>
    <t>Maestro De Orientacion Vocacional Y Ocupacional Esc. Especiales</t>
  </si>
  <si>
    <t>Maestro De Formación Laboral Y Ocupacional Esc. Especiales</t>
  </si>
  <si>
    <t>Director Esc. Capacit. Técn. 3era. Cat.</t>
  </si>
  <si>
    <t>Director Esc. Capacit. Técn. 1era. Cat.</t>
  </si>
  <si>
    <t>Director Esc. Capacit. Técn. 2da. Cat.</t>
  </si>
  <si>
    <t>Fonoaudiólogo</t>
  </si>
  <si>
    <t>Secretario Esc. De 1era. Cat.</t>
  </si>
  <si>
    <t xml:space="preserve">Director Esc. De Jorn. Completa De 2da. Cat. </t>
  </si>
  <si>
    <t>Maestro De Ciclo Esc. De Jornada Completa</t>
  </si>
  <si>
    <t>Maestro Educación Física Esc. De Jorn. Completa</t>
  </si>
  <si>
    <t>Secretario Esc. 2da. Cat. Jorn. Completa</t>
  </si>
  <si>
    <t xml:space="preserve">Terapista Ocupacional </t>
  </si>
  <si>
    <t>Psicomotricista</t>
  </si>
  <si>
    <t>Psicopedagogo</t>
  </si>
  <si>
    <t>Maestro Act. Practicas Jorn. Completas</t>
  </si>
  <si>
    <t>Maestro De Educ. Musical Jorn. Completa</t>
  </si>
  <si>
    <t>Vicedirector Esc. De Jorn. Completa</t>
  </si>
  <si>
    <t>Moi</t>
  </si>
  <si>
    <t>Director Esc. Jorn. Completa De 3era. Cat.</t>
  </si>
  <si>
    <t>Vicedirector De Esc.Cap. Técn. 1era. Cat.</t>
  </si>
  <si>
    <t>Director Esc. Nivel Inicial 1era. Cat.</t>
  </si>
  <si>
    <t>Vicedirector Esc. Nivel Inicial 2da. Cat.</t>
  </si>
  <si>
    <t>Secretario Doc. Esc. Enf. Uader</t>
  </si>
  <si>
    <t>Secretario Adm. Esc. Enf. Uader</t>
  </si>
  <si>
    <t>Instructor Nivel Superior - Uader</t>
  </si>
  <si>
    <t>Vicedirector Esc. Nivel Inicial 3era. Cat.</t>
  </si>
  <si>
    <t>Vicedirector Esc. Nivel Inicial 1era.Cat</t>
  </si>
  <si>
    <t>Secretario Academico - Uader</t>
  </si>
  <si>
    <t>Jefe Laboratorio Computación - Uader</t>
  </si>
  <si>
    <t>Coordinador De Centro Privado Integral</t>
  </si>
  <si>
    <t>Preceptor Guia Internado Instituto Sup. - Uader</t>
  </si>
  <si>
    <t>Secretario Escuela Especial</t>
  </si>
  <si>
    <t>Director Esc. De Nivel Inicial 3era. Cat.</t>
  </si>
  <si>
    <t>Director Esc. De Nivel Inicial 4ta. Cat.</t>
  </si>
  <si>
    <t>Kinesiólogo</t>
  </si>
  <si>
    <t>Maestro Educación Musical</t>
  </si>
  <si>
    <t>Maestro De Educacion Practica</t>
  </si>
  <si>
    <t>Rector Inst. 3era. Cat. Agrotecnica</t>
  </si>
  <si>
    <t>Prosecretaria Cat. Unica</t>
  </si>
  <si>
    <t>Asesor Pedagogico (12 Horas)</t>
  </si>
  <si>
    <t>Maestro De Egb 3</t>
  </si>
  <si>
    <t>Asesor Pedagogico (24 Horas)</t>
  </si>
  <si>
    <t>Maestro Enseñanza Practicas (12 Hs)</t>
  </si>
  <si>
    <t>Asesor Pedagogica (18 Hs)</t>
  </si>
  <si>
    <t>Maestro Ens. Pract. Jefe Seccion</t>
  </si>
  <si>
    <t xml:space="preserve">Maestro Ens. Pract. </t>
  </si>
  <si>
    <t>Secretario Cat. Unica</t>
  </si>
  <si>
    <t>Preceptor</t>
  </si>
  <si>
    <t>Bibliotecario Secundario</t>
  </si>
  <si>
    <t>Ayudante De Trabajos Practicos Transf.</t>
  </si>
  <si>
    <t>Instructor Transferido</t>
  </si>
  <si>
    <t>Jefe Sectorial Ens. Pract. Jorn. Completa Transf.</t>
  </si>
  <si>
    <t>Instructor Resol. 3010</t>
  </si>
  <si>
    <t>Jefe Sectorial Ens. Pract. Con Jorn. Completa</t>
  </si>
  <si>
    <t>Coordinador General Act. Pract.</t>
  </si>
  <si>
    <t>Asesor Pedagogico (36 Hs)</t>
  </si>
  <si>
    <t>Bibliotecario Superior</t>
  </si>
  <si>
    <t>Ayudante De Clases Practicas Superior</t>
  </si>
  <si>
    <t>Jefe Bibliotecario Superior</t>
  </si>
  <si>
    <t>Rector Tc Superior Transferido</t>
  </si>
  <si>
    <t xml:space="preserve">Rector Tc Superior </t>
  </si>
  <si>
    <t xml:space="preserve">Regente </t>
  </si>
  <si>
    <t>Vicerrector Superior</t>
  </si>
  <si>
    <t>Vicerrector Jorn. Completa</t>
  </si>
  <si>
    <t>Secretario Superior</t>
  </si>
  <si>
    <t>Prosecretario Superior</t>
  </si>
  <si>
    <t>Preceptor Nivel Superior</t>
  </si>
  <si>
    <t>Bedel Transf.</t>
  </si>
  <si>
    <t>Secretario Academico</t>
  </si>
  <si>
    <t>Instructor De Enfermeria Transf.</t>
  </si>
  <si>
    <t>Supervisor De Educación Física</t>
  </si>
  <si>
    <t>Regente 1era. Cat. C.E.F.</t>
  </si>
  <si>
    <t>Supervisor Educacion Secundaria</t>
  </si>
  <si>
    <t>Tecnico Docente Ens. Secundaria</t>
  </si>
  <si>
    <t>Secretario 1era. Cat. C.E.F.</t>
  </si>
  <si>
    <t>Tecnico Docente (Dccion. Educ. Tecn. Prof.)</t>
  </si>
  <si>
    <t>Rector 1era. Cat.</t>
  </si>
  <si>
    <t>Rector 3era. Cat. Centro Formacion Profesional</t>
  </si>
  <si>
    <t>Rector 2da. Cat.</t>
  </si>
  <si>
    <t xml:space="preserve">Regente 1era. Cat. Esc.Tecnica </t>
  </si>
  <si>
    <t xml:space="preserve">Rector 3era. Cat. </t>
  </si>
  <si>
    <t>Vicerrector 1era. Cat.</t>
  </si>
  <si>
    <t>Vicerrector 2da. Cat.</t>
  </si>
  <si>
    <t>Rector 2da. Cat. C.E.F.</t>
  </si>
  <si>
    <t>Vicerrector 2da. Cat. C.E.F.</t>
  </si>
  <si>
    <t>Secretario 2da. Cat. C.E.F.</t>
  </si>
  <si>
    <t>Jefe De Trabajos Practicos Laboratorio Agrario</t>
  </si>
  <si>
    <t xml:space="preserve">Regente 2da. Cat. Esc. Técnica </t>
  </si>
  <si>
    <t>Jefe Seccion Esc. Tecnicas</t>
  </si>
  <si>
    <t>Maestro Ens. Práct.</t>
  </si>
  <si>
    <t>Auxiliar Docente De Trabajos Practicos</t>
  </si>
  <si>
    <t>Secretario 1era. Cat.</t>
  </si>
  <si>
    <t>Secretario 2da. Cat.</t>
  </si>
  <si>
    <t>Secretario 3era. Cat.</t>
  </si>
  <si>
    <t>Maestro Tecnológico Y Especialidades</t>
  </si>
  <si>
    <t>Maestro Ayud.Ens.Práct. Tecnica</t>
  </si>
  <si>
    <t>Maestro De Grado Tecnico</t>
  </si>
  <si>
    <t>Vicerrector 1era.Cat. C.E.F.</t>
  </si>
  <si>
    <t>Jefe De Laboratorio Tecnico</t>
  </si>
  <si>
    <t>Jefe De Enseñanza Práctica Tecnica</t>
  </si>
  <si>
    <t>Subjefe De Preceptores 1era. Cat.</t>
  </si>
  <si>
    <t>Rector Esc. Sec. Jov. Y Adultos</t>
  </si>
  <si>
    <t>Secretario Esc. Secundaria Jov. Y Adultos</t>
  </si>
  <si>
    <t>Supervisor Zonal Educ. Secundaria Jov. Y Adultos</t>
  </si>
  <si>
    <t>Vicerrector 3era. Cat. Esc. Tecnica</t>
  </si>
  <si>
    <t>Auxiliar Docente De Laboratorio</t>
  </si>
  <si>
    <t>Asesor Pedagógico P13 - Agrotecnico</t>
  </si>
  <si>
    <t xml:space="preserve">Ayudante De Clases Practicas </t>
  </si>
  <si>
    <t>Instructor Esc. Agrotecnica</t>
  </si>
  <si>
    <t>Rector De 1era. Cat. C.E.F.</t>
  </si>
  <si>
    <t>Maestro De Ciclo Basico</t>
  </si>
  <si>
    <t>Coordinador De Accion No Formal</t>
  </si>
  <si>
    <t>Auxiliar De Accion No Formal</t>
  </si>
  <si>
    <t>Instructor Agrotecnico</t>
  </si>
  <si>
    <t>Jefe Taller Esc.Técnica De 3era. Cat. C/Prol. De Jornada</t>
  </si>
  <si>
    <t>Jefe Taller Esc.Técnica De 1era. Cat.</t>
  </si>
  <si>
    <t>Jefe Taller Esc.Técnica De 2da Cat. C/Prol. De Jornada</t>
  </si>
  <si>
    <t>Maestro De Taller Técnico</t>
  </si>
  <si>
    <t>Prosecretario 2da. Y 3era. Cat.</t>
  </si>
  <si>
    <t>Jefe De Preceptores 1era.Cat.</t>
  </si>
  <si>
    <t>Rector De 1era. Cat. Esc. Tecnica Con Prol. De Jornada</t>
  </si>
  <si>
    <t>Rector De 2da. Cat. Esc. Tecnica Con Prol. De Jornada</t>
  </si>
  <si>
    <t>Rector De 3era. Cat. Esc. Tecnica Con Prol. De Jornada</t>
  </si>
  <si>
    <t>Vicerrector 1era. Cat. - Esc. Agrot. Con Prol. Jornada</t>
  </si>
  <si>
    <t>Vicerrector 2da. Cat. - Esc. Agrot. Con Prol. Jornada</t>
  </si>
  <si>
    <t>Jefe De Ens. Y Produccion 1era.Cat. C/Prol. De Jornada</t>
  </si>
  <si>
    <t>Jefe De Ens. Y Produccion 2da. Cat. C/Prol. De Jornada</t>
  </si>
  <si>
    <t>Jefe De Ens. Y Produccion 3era. Cat. C/Prol. De Jornada</t>
  </si>
  <si>
    <t>Jefe Sección Esc. Agrop.Con Prol. De Jornada</t>
  </si>
  <si>
    <t>Jefe De Residencia Estudiantil 1era. Cat. C/Prol. De Jornada</t>
  </si>
  <si>
    <t>Preceptor De Residencia Estudiantil C/Prol. De Jornada</t>
  </si>
  <si>
    <t>Rector De 1era. Esc. Tecnica Con Prol. Jornada</t>
  </si>
  <si>
    <t>Rector De 2da. Esc. Tecnica Con Prol. Jornada</t>
  </si>
  <si>
    <t>Rector De 3era. Esc. Tecnica Con Prol. Jornada</t>
  </si>
  <si>
    <t>Jefe Sectorial De Jorn. Compl. Agraria</t>
  </si>
  <si>
    <t xml:space="preserve">Rector 3era. Cat. C.E.F. </t>
  </si>
  <si>
    <t>Vicerrector 3era. Cat. C.E.F.</t>
  </si>
  <si>
    <t>Secretario 3era. Cat. C.E.F.</t>
  </si>
  <si>
    <t>Regente De 3era. Cat. Esc. Tecnica</t>
  </si>
  <si>
    <t>Secretario De Unidad Educativa Nivel Inicial 1ra. Cat.</t>
  </si>
  <si>
    <t>Secretario De Unidad Educativa Nivel Inicial 1ra. Cat. Con Prol. De Jornada</t>
  </si>
  <si>
    <t>Secretario De Unidad Educativa Nivel Inicial 2da. Cat.</t>
  </si>
  <si>
    <t>Secretario De Unidad Educativa Nivel Inicial 2da. Cat. Con Prol. De Jornada</t>
  </si>
  <si>
    <t>Secretario De Unidad Educativa Nivel Inicial 3ra. Cat.</t>
  </si>
  <si>
    <t>Supervisor Escolar Artes Visuales</t>
  </si>
  <si>
    <t>Jefe Departamento Supervision Técnica</t>
  </si>
  <si>
    <t>Supervisor Escolar De Zona</t>
  </si>
  <si>
    <t>Supervisor De Educación Especial</t>
  </si>
  <si>
    <t>Supervisor Escolar De Educación Física</t>
  </si>
  <si>
    <t>Supervisor Escolar De Educación Tecnologica</t>
  </si>
  <si>
    <t>Supervisor Escolar De Educación Musical</t>
  </si>
  <si>
    <t>Técnico Docente Educacion Primaria</t>
  </si>
  <si>
    <t>Director Escuela 1era. Cat.</t>
  </si>
  <si>
    <t>Director Del S.A.I.E.</t>
  </si>
  <si>
    <t>Director De Educación Inicial 1era. Cat.</t>
  </si>
  <si>
    <t xml:space="preserve">Director Escuela 2da. Cat. </t>
  </si>
  <si>
    <t xml:space="preserve">Director Unidad Educativa 2da. Cat.Nivel Inicial </t>
  </si>
  <si>
    <t xml:space="preserve">Director De Escuela De Educación Integral </t>
  </si>
  <si>
    <t>Director Escuela 3era. Cat</t>
  </si>
  <si>
    <t>Vicedirector Escuela 1era. Cat.</t>
  </si>
  <si>
    <t>Maestro Auxiliar Jornada Completa</t>
  </si>
  <si>
    <t>Director Escuela 4ta. Cat.</t>
  </si>
  <si>
    <t>Técnico Auxiliar (Eoe-Saie-Esc. Y Centros Educ. Integral)</t>
  </si>
  <si>
    <t>Vicedirector Escuela 2da. Cat.</t>
  </si>
  <si>
    <t>Director Radio Educativo 1era. Cat. Nivel Inicial</t>
  </si>
  <si>
    <t>Director Escuela Primaria Jóvenes Y Adultos 1era. Cat.</t>
  </si>
  <si>
    <t>Director Escuela Coral</t>
  </si>
  <si>
    <t xml:space="preserve">Director Escuela Primaria Jóvenes Y Adultos 2da. Cat. </t>
  </si>
  <si>
    <t xml:space="preserve">Maestro De Sección </t>
  </si>
  <si>
    <t>Director Parque Escolar "E. Berduc"</t>
  </si>
  <si>
    <t>Maestro Educacion Inicial</t>
  </si>
  <si>
    <t xml:space="preserve">Maestro Orientador Integrador </t>
  </si>
  <si>
    <t>Secretario Escuela 2da. Cat.</t>
  </si>
  <si>
    <t xml:space="preserve">Maestro Educ. Artística En Esc. Y Centros De Educ. Integral </t>
  </si>
  <si>
    <t>Secretario Escuela 1era. Cat.</t>
  </si>
  <si>
    <t>Maestro Asistente Escuela Coral</t>
  </si>
  <si>
    <t>Maestro Auxiliar Nivel Primario</t>
  </si>
  <si>
    <t>Maestro Educación Física</t>
  </si>
  <si>
    <t xml:space="preserve">Secretario Escuela Primaria Jóvenes Y Adultos </t>
  </si>
  <si>
    <t>Secretario 1era. Cat. Nivel Inicial</t>
  </si>
  <si>
    <t>Técnico Docente De Educación Especial</t>
  </si>
  <si>
    <t>Tecnico Docente Biblioteca Escolares</t>
  </si>
  <si>
    <t xml:space="preserve">Maestro Escuela Primaria Jóvenes Y Adultos </t>
  </si>
  <si>
    <t>Maestro De Educ. Tecnologica</t>
  </si>
  <si>
    <t>Secretario Parque Escolar</t>
  </si>
  <si>
    <t>Maestro Educacion Agropecuaria</t>
  </si>
  <si>
    <t xml:space="preserve">Archivista - Uader </t>
  </si>
  <si>
    <t>Bibliotecario Pedagógico</t>
  </si>
  <si>
    <t>Coordinador De Educación Temprana</t>
  </si>
  <si>
    <t>Maestro Artes Visuales J. Compl.</t>
  </si>
  <si>
    <t>Vicedirector Escuela Educación Integral</t>
  </si>
  <si>
    <t>Maestro Educ. Física De Esc. Y Centros De Educ. Integral</t>
  </si>
  <si>
    <t>Técnico Docente Educ. Jóvenes Y Adultos</t>
  </si>
  <si>
    <t>Supervisor Zonal Educación Primaria Jóvenes Y Adultos</t>
  </si>
  <si>
    <t>Jefe Dpto. Tecnico Educacion De Jovenes Y Adultos</t>
  </si>
  <si>
    <t>Maestro De Orientación Vocacional Y Ocupacional De Esc. Y Centros De Educ. Integral Y/O Terapéutico</t>
  </si>
  <si>
    <t>Maestro De Formación Laboral Y Ocupacional De Esc. Y Centros De Educ. Integral Y/O Terapéutico</t>
  </si>
  <si>
    <t xml:space="preserve">Secretario Escuela De Educación Integral </t>
  </si>
  <si>
    <t>Maestro De Taller</t>
  </si>
  <si>
    <t>Tecnico Docente Direccion De Planeamiento</t>
  </si>
  <si>
    <t>Director Unidad Educativa 3era. Cat. Nivel Inicial</t>
  </si>
  <si>
    <t>Capacitador Laboral</t>
  </si>
  <si>
    <t xml:space="preserve">Jefe Dpto. Técnico Pedagógico </t>
  </si>
  <si>
    <t>Coordinador Dptal. De Educ. Jóvenes Y Adultos</t>
  </si>
  <si>
    <t>Maestro Esp. Dpto. Aplicación Lengua</t>
  </si>
  <si>
    <t>Vicedirector De Educación Inicial 1era. Cat.</t>
  </si>
  <si>
    <t>Maestro Especial Jardin De Infantes</t>
  </si>
  <si>
    <t>Maestro Auxiliar De Educ. Inicial</t>
  </si>
  <si>
    <t>Supervisor Nivel Inicial</t>
  </si>
  <si>
    <t>Supervisor Técnico</t>
  </si>
  <si>
    <t>Director Dpto. Aplicación</t>
  </si>
  <si>
    <t xml:space="preserve">Vicedirector Dpto. Aplicación </t>
  </si>
  <si>
    <t>Secretario Dpto. Aplicación</t>
  </si>
  <si>
    <t>Maestro Dpto. Aplicación</t>
  </si>
  <si>
    <t>Jefe De Industrias A. Tec - Uader</t>
  </si>
  <si>
    <t>Director Unidad Educativa 1era. Cat. Nivel Inicial Con P/J.</t>
  </si>
  <si>
    <t>Vice-Director Nivel Inicial 1era. Cat. Con P/J</t>
  </si>
  <si>
    <t>Maestro Nivel Inicial Con P/J.</t>
  </si>
  <si>
    <t>Maestro Escuela Primaria En Contexto De Privacion De La Libertad</t>
  </si>
  <si>
    <t>Visitador En Contexto De Privacion De La Libertad</t>
  </si>
  <si>
    <t>Maestro Educacion Artistica En Contexto De Privacion De La Libertad</t>
  </si>
  <si>
    <t>Director Escuela En Contexto De Privacion De La Libertad</t>
  </si>
  <si>
    <t>Director Escuela 1era. Cat. Jornada Completa</t>
  </si>
  <si>
    <t>Director Escuela 2da. Cat. Jornada Completa</t>
  </si>
  <si>
    <t>Director Escuela 3era. Cat. Jornada Completa</t>
  </si>
  <si>
    <t>Director Escuela 4ta. Cat. Jornada Completa</t>
  </si>
  <si>
    <t>Vicedirector Escuela 2da. Cat. Jornada Completa</t>
  </si>
  <si>
    <t>Maestro De Ciclo Jornada Completa</t>
  </si>
  <si>
    <t>Maestro Educ. Tecnologica Jornada Completa</t>
  </si>
  <si>
    <t>Vicedirector De Educación Inicial 2da. Cat.</t>
  </si>
  <si>
    <t xml:space="preserve">Maestro De Taller Anexo Albergue </t>
  </si>
  <si>
    <t>Maestro De Ciclo Anexo Albergue</t>
  </si>
  <si>
    <t>Maestro Educ. Tecnologica Anexo Albergue</t>
  </si>
  <si>
    <t>Director Escuela 3era. Cat. Anexo Albergue</t>
  </si>
  <si>
    <t>Director Escuela 4ta. Cat. Anexo Albergue</t>
  </si>
  <si>
    <t>Celador Docente Jornada Simple</t>
  </si>
  <si>
    <t>Vicedirector Escuela 1º Cat. Jornada Compl.</t>
  </si>
  <si>
    <t>Secretario Escuela 1era. Cat. Jornada Compl.</t>
  </si>
  <si>
    <t>Director De Estudio De 3era. Cat. Transf.</t>
  </si>
  <si>
    <t>Vicerrector 2da. Categoría</t>
  </si>
  <si>
    <t>Rector De 3era. Categoría Jorn. Completa Transf.</t>
  </si>
  <si>
    <t>Rector De 1era. Categoría</t>
  </si>
  <si>
    <t>Rector De 1era. Categoría 3 Turnos</t>
  </si>
  <si>
    <t>Rector Inst. 2da. Categoría</t>
  </si>
  <si>
    <t>Rector Inst. 3era. Categoría</t>
  </si>
  <si>
    <t>Rector 1era. Categoría Jorn. Completa</t>
  </si>
  <si>
    <t xml:space="preserve">Vicerector 1era. Categoría </t>
  </si>
  <si>
    <t xml:space="preserve">Rector 1era. Categoría 2 Turnos </t>
  </si>
  <si>
    <t>Regente 1era. Categoría</t>
  </si>
  <si>
    <t xml:space="preserve">Vicerrector De 3era. Categoría </t>
  </si>
  <si>
    <t>Secretario 1era. Categoría</t>
  </si>
  <si>
    <t>Secretario Inst. 2da. Categoría</t>
  </si>
  <si>
    <t>Secretario Inst. 3era. Categoría</t>
  </si>
  <si>
    <t>Jefe General De Ens. Pract. 1era. Categoría</t>
  </si>
  <si>
    <t>Comp dir 2016</t>
  </si>
  <si>
    <t>Adic Dir 2016</t>
  </si>
  <si>
    <t>IPC Acum Anual</t>
  </si>
  <si>
    <t>Hasta Noviembre</t>
  </si>
  <si>
    <t>Sueldo Nov respecto a CBT Nov</t>
  </si>
  <si>
    <t>Actualizado 26/12/2025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</si>
</sst>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4">
    <numFmt numFmtId="44" formatCode="_-&quot;$&quot;\ * #,##0.00_-;\-&quot;$&quot;\ * #,##0.00_-;_-&quot;$&quot;\ * &quot;-&quot;??_-;_-@_-"/>
    <numFmt numFmtId="164" formatCode="0.0000"/>
    <numFmt numFmtId="165" formatCode="0.0%"/>
    <numFmt numFmtId="166" formatCode="0.000"/>
    <numFmt numFmtId="167" formatCode="0.00000"/>
    <numFmt numFmtId="168" formatCode="0.000000"/>
    <numFmt numFmtId="169" formatCode="0.0000000"/>
    <numFmt numFmtId="170" formatCode="0.00000000"/>
    <numFmt numFmtId="171" formatCode="0.0000%"/>
    <numFmt numFmtId="172" formatCode="#,000.00_);[Red]\(#,000.00\)"/>
    <numFmt numFmtId="173" formatCode="0.0"/>
    <numFmt numFmtId="174" formatCode="0.00000%"/>
    <numFmt numFmtId="175" formatCode="0.000%"/>
    <numFmt numFmtId="176" formatCode="_-&quot;$&quot;\ * #,##0_-;\-&quot;$&quot;\ * #,##0_-;_-&quot;$&quot;\ * &quot;-&quot;??_-;_-@_-"/>
  </numFmts>
  <fonts count="145">
    <font>
      <sz val="10"/>
      <color rgb="FF000000"/>
      <name val="Arial"/>
      <charset val="134"/>
    </font>
    <font>
      <b/>
      <sz val="10"/>
      <color theme="1"/>
      <name val="Arial"/>
      <family val="2"/>
    </font>
    <font>
      <u/>
      <sz val="10"/>
      <color rgb="FF0000FF"/>
      <name val="Arial"/>
      <family val="2"/>
    </font>
    <font>
      <b/>
      <sz val="10"/>
      <color rgb="FF000000"/>
      <name val="Arial"/>
      <family val="2"/>
    </font>
    <font>
      <b/>
      <sz val="10"/>
      <color rgb="FFFF0000"/>
      <name val="Arial"/>
      <family val="2"/>
    </font>
    <font>
      <b/>
      <sz val="9"/>
      <color theme="1"/>
      <name val="Arial"/>
      <family val="2"/>
    </font>
    <font>
      <sz val="8"/>
      <color rgb="FF000000"/>
      <name val="Arial"/>
      <family val="2"/>
    </font>
    <font>
      <sz val="10"/>
      <color theme="1"/>
      <name val="Arial"/>
      <family val="2"/>
    </font>
    <font>
      <sz val="9"/>
      <color theme="1"/>
      <name val="Arial"/>
      <family val="2"/>
    </font>
    <font>
      <sz val="10"/>
      <color rgb="FFFF0000"/>
      <name val="Arial"/>
      <family val="2"/>
    </font>
    <font>
      <sz val="10"/>
      <color theme="4" tint="-0.499984740745262"/>
      <name val="Arial"/>
      <family val="2"/>
    </font>
    <font>
      <sz val="9"/>
      <color rgb="FFFF0000"/>
      <name val="Arial"/>
      <family val="2"/>
    </font>
    <font>
      <sz val="10"/>
      <color rgb="FF538DD5"/>
      <name val="Arial"/>
      <family val="2"/>
    </font>
    <font>
      <sz val="12"/>
      <color rgb="FF000000"/>
      <name val="Arial"/>
      <family val="2"/>
    </font>
    <font>
      <sz val="14"/>
      <color rgb="FF000000"/>
      <name val="Arial"/>
      <family val="2"/>
    </font>
    <font>
      <sz val="15"/>
      <color rgb="FF000000"/>
      <name val="Arial"/>
      <family val="2"/>
    </font>
    <font>
      <b/>
      <sz val="12"/>
      <color theme="1"/>
      <name val="Arial"/>
      <family val="2"/>
    </font>
    <font>
      <b/>
      <sz val="12"/>
      <color rgb="FFFF0000"/>
      <name val="Arial"/>
      <family val="2"/>
    </font>
    <font>
      <b/>
      <sz val="14"/>
      <color rgb="FFFF0000"/>
      <name val="Arial"/>
      <family val="2"/>
    </font>
    <font>
      <b/>
      <u/>
      <sz val="22"/>
      <color theme="4" tint="-0.499984740745262"/>
      <name val="Arial"/>
      <family val="2"/>
    </font>
    <font>
      <b/>
      <u/>
      <sz val="20"/>
      <color theme="4" tint="-0.499984740745262"/>
      <name val="Arial"/>
      <family val="2"/>
    </font>
    <font>
      <sz val="10"/>
      <color rgb="FF008000"/>
      <name val="Arial"/>
      <family val="2"/>
    </font>
    <font>
      <b/>
      <sz val="20"/>
      <color theme="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sz val="11"/>
      <color theme="1"/>
      <name val="Arial"/>
      <family val="2"/>
    </font>
    <font>
      <b/>
      <sz val="14"/>
      <color rgb="FFFFFFFF"/>
      <name val="Arial"/>
      <family val="2"/>
    </font>
    <font>
      <b/>
      <u/>
      <sz val="12"/>
      <color rgb="FF0000FF"/>
      <name val="Arial"/>
      <family val="2"/>
    </font>
    <font>
      <sz val="12"/>
      <color rgb="FF0000FF"/>
      <name val="Arial"/>
      <family val="2"/>
    </font>
    <font>
      <b/>
      <sz val="18"/>
      <color rgb="FFFF0000"/>
      <name val="Arial"/>
      <family val="2"/>
    </font>
    <font>
      <sz val="8"/>
      <color theme="1"/>
      <name val="Arial"/>
      <family val="2"/>
    </font>
    <font>
      <sz val="10"/>
      <color rgb="FF000000"/>
      <name val="Calibri"/>
      <family val="2"/>
    </font>
    <font>
      <sz val="10"/>
      <color rgb="FFFFFFFF"/>
      <name val="Arial"/>
      <family val="2"/>
    </font>
    <font>
      <b/>
      <sz val="10"/>
      <color rgb="FFFFFFFF"/>
      <name val="Arial"/>
      <family val="2"/>
    </font>
    <font>
      <b/>
      <sz val="16"/>
      <color rgb="FFFFFFFF"/>
      <name val="Arial"/>
      <family val="2"/>
    </font>
    <font>
      <sz val="12"/>
      <color theme="1"/>
      <name val="Arial"/>
      <family val="2"/>
    </font>
    <font>
      <b/>
      <sz val="16"/>
      <color rgb="FF0000FF"/>
      <name val="Arial"/>
      <family val="2"/>
    </font>
    <font>
      <b/>
      <sz val="11"/>
      <color theme="1"/>
      <name val="Arial"/>
      <family val="2"/>
    </font>
    <font>
      <b/>
      <sz val="12"/>
      <color rgb="FF16365C"/>
      <name val="Arial"/>
      <family val="2"/>
    </font>
    <font>
      <sz val="10"/>
      <name val="Arial"/>
      <family val="2"/>
    </font>
    <font>
      <b/>
      <sz val="12"/>
      <color rgb="FF0000FF"/>
      <name val="Arial"/>
      <family val="2"/>
    </font>
    <font>
      <sz val="11"/>
      <color theme="1"/>
      <name val="Arial"/>
      <family val="2"/>
      <scheme val="minor"/>
    </font>
    <font>
      <b/>
      <sz val="18"/>
      <color rgb="FFFFFFFF"/>
      <name val="Arial"/>
      <family val="2"/>
    </font>
    <font>
      <b/>
      <sz val="12"/>
      <color rgb="FFFFFFFF"/>
      <name val="Arial"/>
      <family val="2"/>
    </font>
    <font>
      <sz val="12"/>
      <color rgb="FFFFFFFF"/>
      <name val="Arial"/>
      <family val="2"/>
    </font>
    <font>
      <b/>
      <u/>
      <sz val="20"/>
      <color rgb="FF000080"/>
      <name val="&quot;Monotype Corsiva&quot;"/>
      <charset val="134"/>
    </font>
    <font>
      <sz val="11"/>
      <color rgb="FF000000"/>
      <name val="Calibri"/>
      <family val="2"/>
    </font>
    <font>
      <b/>
      <sz val="16"/>
      <color rgb="FFFF0000"/>
      <name val="Arial"/>
      <family val="2"/>
    </font>
    <font>
      <sz val="10"/>
      <color rgb="FF808080"/>
      <name val="Arial"/>
      <family val="2"/>
    </font>
    <font>
      <sz val="10"/>
      <color rgb="FF0000FF"/>
      <name val="Arial"/>
      <family val="2"/>
    </font>
    <font>
      <sz val="10"/>
      <color rgb="FFFFFF00"/>
      <name val="Arial"/>
      <family val="2"/>
    </font>
    <font>
      <b/>
      <u/>
      <sz val="16"/>
      <color rgb="FF000080"/>
      <name val="Arial"/>
      <family val="2"/>
    </font>
    <font>
      <b/>
      <sz val="14"/>
      <color rgb="FF000000"/>
      <name val="Arial"/>
      <family val="2"/>
    </font>
    <font>
      <b/>
      <sz val="12"/>
      <color theme="4" tint="-0.499984740745262"/>
      <name val="Arial"/>
      <family val="2"/>
    </font>
    <font>
      <b/>
      <u/>
      <sz val="12"/>
      <color rgb="FF000080"/>
      <name val="Arial"/>
      <family val="2"/>
    </font>
    <font>
      <b/>
      <sz val="10"/>
      <name val="Arial"/>
      <family val="2"/>
    </font>
    <font>
      <b/>
      <u/>
      <sz val="11"/>
      <color rgb="FF0000FF"/>
      <name val="Arial"/>
      <family val="2"/>
    </font>
    <font>
      <b/>
      <sz val="11"/>
      <color rgb="FFFF0000"/>
      <name val="Arial"/>
      <family val="2"/>
    </font>
    <font>
      <b/>
      <sz val="11"/>
      <color rgb="FF0F243E"/>
      <name val="Arial"/>
      <family val="2"/>
    </font>
    <font>
      <b/>
      <sz val="18"/>
      <name val="Arial"/>
      <family val="2"/>
    </font>
    <font>
      <sz val="9"/>
      <color rgb="FF000000"/>
      <name val="Arial"/>
      <family val="2"/>
    </font>
    <font>
      <b/>
      <sz val="16"/>
      <color rgb="FF0000CC"/>
      <name val="Arial"/>
      <family val="2"/>
    </font>
    <font>
      <b/>
      <sz val="12"/>
      <color rgb="FF000000"/>
      <name val="Arial"/>
      <family val="2"/>
    </font>
    <font>
      <b/>
      <sz val="11"/>
      <color rgb="FF000000"/>
      <name val="Arial"/>
      <family val="2"/>
    </font>
    <font>
      <b/>
      <sz val="16"/>
      <color theme="5" tint="-0.249977111117893"/>
      <name val="Arial"/>
      <family val="2"/>
    </font>
    <font>
      <b/>
      <sz val="12"/>
      <color rgb="FFFF3300"/>
      <name val="Arial"/>
      <family val="2"/>
    </font>
    <font>
      <b/>
      <sz val="14"/>
      <color rgb="FFFF3300"/>
      <name val="Arial"/>
      <family val="2"/>
    </font>
    <font>
      <b/>
      <sz val="14"/>
      <color rgb="FF0000CC"/>
      <name val="Arial"/>
      <family val="2"/>
    </font>
    <font>
      <sz val="10"/>
      <color theme="7"/>
      <name val="Arial"/>
      <family val="2"/>
    </font>
    <font>
      <b/>
      <sz val="11"/>
      <color theme="7"/>
      <name val="Arial"/>
      <family val="2"/>
    </font>
    <font>
      <sz val="15"/>
      <color theme="1"/>
      <name val="Arial"/>
      <family val="2"/>
    </font>
    <font>
      <b/>
      <sz val="15"/>
      <color theme="1"/>
      <name val="Arial"/>
      <family val="2"/>
    </font>
    <font>
      <b/>
      <sz val="8"/>
      <color rgb="FF000000"/>
      <name val="Arial"/>
      <family val="2"/>
    </font>
    <font>
      <sz val="11"/>
      <color rgb="FF000000"/>
      <name val="Arial"/>
      <family val="2"/>
    </font>
    <font>
      <b/>
      <u/>
      <sz val="12"/>
      <color rgb="FFFFFFFF"/>
      <name val="Arial"/>
      <family val="2"/>
    </font>
    <font>
      <b/>
      <sz val="12"/>
      <color rgb="FF00B050"/>
      <name val="Arial"/>
      <family val="2"/>
    </font>
    <font>
      <b/>
      <sz val="12"/>
      <color rgb="FF00FF00"/>
      <name val="Arial"/>
      <family val="2"/>
    </font>
    <font>
      <b/>
      <sz val="15"/>
      <color rgb="FF00B050"/>
      <name val="Arial"/>
      <family val="2"/>
    </font>
    <font>
      <b/>
      <sz val="15"/>
      <color rgb="FF00FF00"/>
      <name val="Arial"/>
      <family val="2"/>
    </font>
    <font>
      <sz val="11"/>
      <color rgb="FFFF0000"/>
      <name val="Inconsolata"/>
    </font>
    <font>
      <b/>
      <sz val="10"/>
      <color rgb="FF0000FF"/>
      <name val="Arial"/>
      <family val="2"/>
    </font>
    <font>
      <b/>
      <u/>
      <sz val="10"/>
      <color theme="1"/>
      <name val="Arial"/>
      <family val="2"/>
    </font>
    <font>
      <b/>
      <u/>
      <sz val="12"/>
      <color theme="1"/>
      <name val="Arial"/>
      <family val="2"/>
    </font>
    <font>
      <b/>
      <sz val="14"/>
      <color rgb="FF800000"/>
      <name val="Arial"/>
      <family val="2"/>
    </font>
    <font>
      <sz val="10"/>
      <color rgb="FF92D050"/>
      <name val="Arial"/>
      <family val="2"/>
    </font>
    <font>
      <b/>
      <sz val="10"/>
      <color rgb="FF92D050"/>
      <name val="Arial"/>
      <family val="2"/>
    </font>
    <font>
      <b/>
      <u/>
      <sz val="18"/>
      <color theme="1"/>
      <name val="Arial"/>
      <family val="2"/>
    </font>
    <font>
      <b/>
      <sz val="11"/>
      <color rgb="FF800000"/>
      <name val="Arial"/>
      <family val="2"/>
    </font>
    <font>
      <b/>
      <sz val="12"/>
      <color rgb="FF800000"/>
      <name val="Arial"/>
      <family val="2"/>
    </font>
    <font>
      <b/>
      <u/>
      <sz val="12"/>
      <color rgb="FF800000"/>
      <name val="Arial"/>
      <family val="2"/>
    </font>
    <font>
      <b/>
      <sz val="10"/>
      <color rgb="FF339966"/>
      <name val="Arial"/>
      <family val="2"/>
    </font>
    <font>
      <b/>
      <sz val="10"/>
      <color theme="4" tint="-0.499984740745262"/>
      <name val="Arial"/>
      <family val="2"/>
    </font>
    <font>
      <b/>
      <sz val="9"/>
      <color rgb="FF000000"/>
      <name val="Arial"/>
      <family val="2"/>
    </font>
    <font>
      <b/>
      <sz val="14"/>
      <color rgb="FF0000FF"/>
      <name val="Arial"/>
      <family val="2"/>
    </font>
    <font>
      <b/>
      <sz val="10"/>
      <color rgb="FF073763"/>
      <name val="Arial"/>
      <family val="2"/>
    </font>
    <font>
      <sz val="20"/>
      <color theme="1"/>
      <name val="Arial"/>
      <family val="2"/>
    </font>
    <font>
      <b/>
      <sz val="20"/>
      <color rgb="FF00FF00"/>
      <name val="Arial"/>
      <family val="2"/>
    </font>
    <font>
      <b/>
      <u/>
      <sz val="10"/>
      <color rgb="FF000080"/>
      <name val="&quot;Monotype Corsiva&quot;"/>
      <charset val="134"/>
    </font>
    <font>
      <b/>
      <sz val="10"/>
      <color rgb="FFFF3300"/>
      <name val="Arial"/>
      <family val="2"/>
    </font>
    <font>
      <b/>
      <u/>
      <sz val="14"/>
      <color theme="1"/>
      <name val="Arial"/>
      <family val="2"/>
    </font>
    <font>
      <b/>
      <u/>
      <sz val="16"/>
      <color rgb="FF800000"/>
      <name val="Arial"/>
      <family val="2"/>
    </font>
    <font>
      <b/>
      <sz val="10"/>
      <color rgb="FF16365C"/>
      <name val="Arial"/>
      <family val="2"/>
    </font>
    <font>
      <b/>
      <sz val="12"/>
      <color rgb="FF0F243E"/>
      <name val="Arial"/>
      <family val="2"/>
    </font>
    <font>
      <b/>
      <sz val="12"/>
      <color rgb="FF990000"/>
      <name val="Arial"/>
      <family val="2"/>
    </font>
    <font>
      <b/>
      <sz val="14"/>
      <color rgb="FF00FF00"/>
      <name val="Arial"/>
      <family val="2"/>
    </font>
    <font>
      <b/>
      <u/>
      <sz val="12"/>
      <color rgb="FF000080"/>
      <name val="&quot;Monotype Corsiva&quot;"/>
      <charset val="134"/>
    </font>
    <font>
      <b/>
      <u/>
      <sz val="14"/>
      <color rgb="FF800000"/>
      <name val="Arial"/>
      <family val="2"/>
    </font>
    <font>
      <b/>
      <sz val="12"/>
      <color rgb="FF800080"/>
      <name val="Arial"/>
      <family val="2"/>
    </font>
    <font>
      <u/>
      <sz val="14"/>
      <color theme="10"/>
      <name val="Arial"/>
      <family val="2"/>
    </font>
    <font>
      <u/>
      <sz val="12"/>
      <color rgb="FF0000FF"/>
      <name val="Arial"/>
      <family val="2"/>
    </font>
    <font>
      <u/>
      <sz val="10"/>
      <color theme="10"/>
      <name val="Arial"/>
      <family val="2"/>
    </font>
    <font>
      <b/>
      <u/>
      <sz val="16"/>
      <color theme="4" tint="-0.499984740745262"/>
      <name val="Arial"/>
      <family val="2"/>
    </font>
    <font>
      <b/>
      <sz val="9"/>
      <name val="Tahoma"/>
      <family val="2"/>
    </font>
    <font>
      <sz val="9"/>
      <name val="Tahoma"/>
      <family val="2"/>
    </font>
    <font>
      <sz val="10"/>
      <color rgb="FF000000"/>
      <name val="Arial"/>
      <family val="2"/>
    </font>
    <font>
      <b/>
      <sz val="14"/>
      <color theme="4" tint="-0.499984740745262"/>
      <name val="Arial"/>
      <family val="2"/>
    </font>
    <font>
      <b/>
      <sz val="12"/>
      <color theme="4" tint="-0.499984740745262"/>
      <name val="Arial"/>
      <family val="2"/>
    </font>
    <font>
      <sz val="14"/>
      <color theme="0"/>
      <name val="Arial"/>
      <family val="2"/>
    </font>
    <font>
      <sz val="10"/>
      <color theme="1"/>
      <name val="Arial"/>
      <family val="2"/>
    </font>
    <font>
      <b/>
      <u/>
      <sz val="16"/>
      <color rgb="FFFFFFFF"/>
      <name val="&quot;Monotype Corsiva&quot;"/>
      <charset val="134"/>
    </font>
    <font>
      <sz val="16"/>
      <color theme="1"/>
      <name val="Arial"/>
      <family val="2"/>
    </font>
    <font>
      <b/>
      <u/>
      <sz val="16"/>
      <name val="&quot;Monotype Corsiva&quot;"/>
      <charset val="134"/>
    </font>
    <font>
      <b/>
      <u/>
      <sz val="18"/>
      <color rgb="FF000080"/>
      <name val="Arial"/>
      <family val="2"/>
      <scheme val="minor"/>
    </font>
    <font>
      <b/>
      <u/>
      <sz val="18"/>
      <color rgb="FF000080"/>
      <name val="Arial"/>
      <family val="2"/>
      <scheme val="major"/>
    </font>
    <font>
      <b/>
      <u/>
      <sz val="22"/>
      <color rgb="FF000080"/>
      <name val="Arial"/>
      <family val="2"/>
      <scheme val="major"/>
    </font>
    <font>
      <b/>
      <sz val="12"/>
      <color theme="1"/>
      <name val="Arial"/>
      <family val="2"/>
      <scheme val="major"/>
    </font>
    <font>
      <sz val="8"/>
      <name val="Arial"/>
      <family val="2"/>
    </font>
    <font>
      <b/>
      <sz val="11"/>
      <color theme="4" tint="-0.499984740745262"/>
      <name val="Arial"/>
      <family val="2"/>
    </font>
    <font>
      <b/>
      <sz val="12"/>
      <color rgb="FF002060"/>
      <name val="Arial"/>
      <family val="2"/>
    </font>
    <font>
      <b/>
      <sz val="14"/>
      <color rgb="FF002060"/>
      <name val="Arial"/>
      <family val="2"/>
    </font>
    <font>
      <sz val="11"/>
      <color rgb="FFFF0000"/>
      <name val="Arial"/>
      <family val="2"/>
    </font>
    <font>
      <b/>
      <sz val="9"/>
      <color theme="4" tint="-0.499984740745262"/>
      <name val="Arial"/>
      <family val="2"/>
    </font>
    <font>
      <b/>
      <sz val="14"/>
      <color theme="9" tint="-0.499984740745262"/>
      <name val="Arial"/>
      <family val="2"/>
    </font>
    <font>
      <b/>
      <sz val="16"/>
      <color theme="9" tint="-0.499984740745262"/>
      <name val="Arial"/>
      <family val="2"/>
    </font>
    <font>
      <sz val="10"/>
      <color rgb="FF000000"/>
      <name val="Arial"/>
      <charset val="134"/>
    </font>
    <font>
      <sz val="16"/>
      <color theme="0"/>
      <name val="Arial"/>
      <family val="2"/>
    </font>
    <font>
      <b/>
      <sz val="12"/>
      <color theme="0"/>
      <name val="Arial"/>
      <family val="2"/>
    </font>
    <font>
      <b/>
      <sz val="14"/>
      <color theme="0"/>
      <name val="Arial"/>
      <family val="2"/>
    </font>
    <font>
      <sz val="12"/>
      <color rgb="FF002060"/>
      <name val="Arial"/>
      <family val="2"/>
    </font>
    <font>
      <sz val="12"/>
      <color theme="0"/>
      <name val="Arial"/>
      <family val="2"/>
    </font>
    <font>
      <b/>
      <sz val="14"/>
      <color theme="8" tint="0.59999389629810485"/>
      <name val="Arial"/>
      <family val="2"/>
    </font>
    <font>
      <b/>
      <sz val="22"/>
      <color theme="8"/>
      <name val="Arial"/>
      <family val="2"/>
    </font>
    <font>
      <sz val="11"/>
      <color theme="5" tint="-0.499984740745262"/>
      <name val="Arial"/>
      <family val="2"/>
      <scheme val="minor"/>
    </font>
    <font>
      <sz val="10"/>
      <color rgb="FF81160E"/>
      <name val="Arial"/>
      <family val="2"/>
    </font>
    <font>
      <b/>
      <sz val="16"/>
      <color theme="4" tint="-0.499984740745262"/>
      <name val="Arial"/>
      <family val="2"/>
    </font>
  </fonts>
  <fills count="55">
    <fill>
      <patternFill patternType="none"/>
    </fill>
    <fill>
      <patternFill patternType="gray125"/>
    </fill>
    <fill>
      <patternFill patternType="solid">
        <fgColor theme="6" tint="0.79995117038483843"/>
        <bgColor indexed="64"/>
      </patternFill>
    </fill>
    <fill>
      <patternFill patternType="solid">
        <fgColor rgb="FFFFFF00"/>
        <bgColor rgb="FFFFFF00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D9D9D9"/>
        <bgColor rgb="FFD9D9D9"/>
      </patternFill>
    </fill>
    <fill>
      <patternFill patternType="solid">
        <fgColor rgb="FFFFFFFF"/>
        <bgColor rgb="FFFFFFFF"/>
      </patternFill>
    </fill>
    <fill>
      <patternFill patternType="solid">
        <fgColor rgb="FF00FF00"/>
        <bgColor rgb="FF00FF00"/>
      </patternFill>
    </fill>
    <fill>
      <patternFill patternType="solid">
        <fgColor theme="5" tint="0.39994506668294322"/>
        <bgColor indexed="64"/>
      </patternFill>
    </fill>
    <fill>
      <patternFill patternType="solid">
        <fgColor rgb="FF00FFFF"/>
        <bgColor rgb="FF00FFFF"/>
      </patternFill>
    </fill>
    <fill>
      <patternFill patternType="solid">
        <fgColor rgb="FFCCFFFF"/>
        <bgColor rgb="FFCCFFFF"/>
      </patternFill>
    </fill>
    <fill>
      <patternFill patternType="solid">
        <fgColor rgb="FF99CC00"/>
        <bgColor rgb="FF99CC00"/>
      </patternFill>
    </fill>
    <fill>
      <patternFill patternType="solid">
        <fgColor rgb="FFC4D79B"/>
        <bgColor rgb="FFC4D79B"/>
      </patternFill>
    </fill>
    <fill>
      <patternFill patternType="solid">
        <fgColor rgb="FF00FF00"/>
        <bgColor indexed="64"/>
      </patternFill>
    </fill>
    <fill>
      <patternFill patternType="solid">
        <fgColor theme="5" tint="0.39994506668294322"/>
        <bgColor rgb="FFFFFF00"/>
      </patternFill>
    </fill>
    <fill>
      <patternFill patternType="solid">
        <fgColor theme="5" tint="0.39994506668294322"/>
        <bgColor rgb="FF92D050"/>
      </patternFill>
    </fill>
    <fill>
      <patternFill patternType="solid">
        <fgColor rgb="FFFF6600"/>
        <bgColor rgb="FFFF6600"/>
      </patternFill>
    </fill>
    <fill>
      <patternFill patternType="solid">
        <fgColor rgb="FFFFFF00"/>
        <bgColor indexed="64"/>
      </patternFill>
    </fill>
    <fill>
      <patternFill patternType="solid">
        <fgColor rgb="FF99FF99"/>
        <bgColor rgb="FF99FF99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66FF99"/>
        <bgColor rgb="FF66FF99"/>
      </patternFill>
    </fill>
    <fill>
      <patternFill patternType="solid">
        <fgColor rgb="FFFF66FF"/>
        <bgColor rgb="FFD9D9D9"/>
      </patternFill>
    </fill>
    <fill>
      <patternFill patternType="solid">
        <fgColor rgb="FFFF66FF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C9DAF8"/>
        <bgColor rgb="FFC9DAF8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59999389629810485"/>
        <bgColor rgb="FFC9DAF8"/>
      </patternFill>
    </fill>
    <fill>
      <patternFill patternType="solid">
        <fgColor rgb="FFFF66CC"/>
        <bgColor indexed="64"/>
      </patternFill>
    </fill>
    <fill>
      <patternFill patternType="solid">
        <fgColor rgb="FFEAD1DC"/>
        <bgColor rgb="FFEAD1DC"/>
      </patternFill>
    </fill>
    <fill>
      <patternFill patternType="solid">
        <fgColor rgb="FFCCFFCC"/>
        <bgColor rgb="FFCCFFCC"/>
      </patternFill>
    </fill>
    <fill>
      <patternFill patternType="solid">
        <fgColor rgb="FFFF66FF"/>
        <bgColor rgb="FF00FF00"/>
      </patternFill>
    </fill>
    <fill>
      <patternFill patternType="solid">
        <fgColor rgb="FF06EAEA"/>
        <bgColor rgb="FF06EAEA"/>
      </patternFill>
    </fill>
    <fill>
      <patternFill patternType="solid">
        <fgColor rgb="FF00FF00"/>
        <bgColor rgb="FFFFFFFF"/>
      </patternFill>
    </fill>
    <fill>
      <patternFill patternType="solid">
        <fgColor rgb="FF95B3D7"/>
        <bgColor rgb="FF95B3D7"/>
      </patternFill>
    </fill>
    <fill>
      <patternFill patternType="solid">
        <fgColor rgb="FF8DB4E2"/>
        <bgColor rgb="FF8DB4E2"/>
      </patternFill>
    </fill>
    <fill>
      <patternFill patternType="solid">
        <fgColor theme="5" tint="0.59999389629810485"/>
        <bgColor rgb="FF8DB4E2"/>
      </patternFill>
    </fill>
    <fill>
      <patternFill patternType="solid">
        <fgColor rgb="FFC4BD97"/>
        <bgColor rgb="FFC4BD97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00FF00"/>
        <bgColor rgb="FF66FF99"/>
      </patternFill>
    </fill>
    <fill>
      <patternFill patternType="solid">
        <fgColor rgb="FF00FF00"/>
        <bgColor rgb="FFD9D9D9"/>
      </patternFill>
    </fill>
    <fill>
      <patternFill patternType="solid">
        <fgColor rgb="FF00FF00"/>
        <bgColor rgb="FF00FFFF"/>
      </patternFill>
    </fill>
    <fill>
      <patternFill patternType="solid">
        <fgColor rgb="FF92D050"/>
        <bgColor rgb="FF92D050"/>
      </patternFill>
    </fill>
    <fill>
      <patternFill patternType="solid">
        <fgColor rgb="FF66FF66"/>
        <bgColor rgb="FF66FF66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39997558519241921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 tint="-0.249977111117893"/>
        <bgColor rgb="FFFF0000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/>
        <bgColor indexed="64"/>
      </patternFill>
    </fill>
  </fills>
  <borders count="1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FF"/>
      </left>
      <right/>
      <top style="thin">
        <color rgb="FF0000FF"/>
      </top>
      <bottom/>
      <diagonal/>
    </border>
    <border>
      <left style="thin">
        <color rgb="FF0000FF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FF0000"/>
      </left>
      <right/>
      <top style="thin">
        <color rgb="FFFF0000"/>
      </top>
      <bottom/>
      <diagonal/>
    </border>
    <border>
      <left/>
      <right/>
      <top style="thin">
        <color rgb="FFFF0000"/>
      </top>
      <bottom/>
      <diagonal/>
    </border>
    <border>
      <left style="thin">
        <color rgb="FFFF0000"/>
      </left>
      <right/>
      <top/>
      <bottom/>
      <diagonal/>
    </border>
    <border>
      <left style="thin">
        <color rgb="FFFF0000"/>
      </left>
      <right/>
      <top/>
      <bottom style="thin">
        <color rgb="FFFF0000"/>
      </bottom>
      <diagonal/>
    </border>
    <border>
      <left/>
      <right/>
      <top/>
      <bottom style="thin">
        <color rgb="FFFF0000"/>
      </bottom>
      <diagonal/>
    </border>
    <border>
      <left style="thin">
        <color rgb="FF00FF00"/>
      </left>
      <right/>
      <top style="thin">
        <color rgb="FF00FF00"/>
      </top>
      <bottom/>
      <diagonal/>
    </border>
    <border>
      <left/>
      <right/>
      <top style="thin">
        <color rgb="FF00FF00"/>
      </top>
      <bottom/>
      <diagonal/>
    </border>
    <border>
      <left style="thin">
        <color rgb="FF00FF00"/>
      </left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rgb="FFFF0000"/>
      </right>
      <top style="thin">
        <color rgb="FFFF0000"/>
      </top>
      <bottom/>
      <diagonal/>
    </border>
    <border>
      <left/>
      <right style="thin">
        <color rgb="FFFF0000"/>
      </right>
      <top/>
      <bottom/>
      <diagonal/>
    </border>
    <border>
      <left/>
      <right style="thin">
        <color rgb="FFFF0000"/>
      </right>
      <top/>
      <bottom style="thin">
        <color rgb="FFFF0000"/>
      </bottom>
      <diagonal/>
    </border>
    <border>
      <left/>
      <right style="thin">
        <color rgb="FF00FF00"/>
      </right>
      <top/>
      <bottom/>
      <diagonal/>
    </border>
    <border>
      <left/>
      <right/>
      <top style="thin">
        <color rgb="FFFFFF00"/>
      </top>
      <bottom/>
      <diagonal/>
    </border>
    <border>
      <left style="medium">
        <color rgb="FF000000"/>
      </left>
      <right style="medium">
        <color rgb="FFCCCCCC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ck">
        <color rgb="FF00FF00"/>
      </right>
      <top/>
      <bottom/>
      <diagonal/>
    </border>
    <border>
      <left/>
      <right/>
      <top style="thick">
        <color rgb="FF00FF00"/>
      </top>
      <bottom/>
      <diagonal/>
    </border>
    <border>
      <left style="thick">
        <color rgb="FF00FF00"/>
      </left>
      <right/>
      <top/>
      <bottom/>
      <diagonal/>
    </border>
    <border>
      <left style="thick">
        <color theme="5" tint="-0.24994659260841701"/>
      </left>
      <right/>
      <top style="thick">
        <color theme="5" tint="-0.24994659260841701"/>
      </top>
      <bottom/>
      <diagonal/>
    </border>
    <border>
      <left/>
      <right/>
      <top style="thick">
        <color theme="5" tint="-0.24994659260841701"/>
      </top>
      <bottom/>
      <diagonal/>
    </border>
    <border>
      <left style="thin">
        <color rgb="FF000000"/>
      </left>
      <right style="thick">
        <color theme="5" tint="-0.24994659260841701"/>
      </right>
      <top style="thick">
        <color theme="5" tint="-0.24994659260841701"/>
      </top>
      <bottom style="thin">
        <color rgb="FF000000"/>
      </bottom>
      <diagonal/>
    </border>
    <border>
      <left/>
      <right/>
      <top/>
      <bottom style="thick">
        <color rgb="FF00FF00"/>
      </bottom>
      <diagonal/>
    </border>
    <border>
      <left style="thick">
        <color theme="5" tint="-0.24994659260841701"/>
      </left>
      <right/>
      <top style="thin">
        <color rgb="FF000000"/>
      </top>
      <bottom style="thin">
        <color rgb="FF000000"/>
      </bottom>
      <diagonal/>
    </border>
    <border>
      <left style="thin">
        <color rgb="FFFF0000"/>
      </left>
      <right style="thick">
        <color theme="5" tint="-0.24994659260841701"/>
      </right>
      <top/>
      <bottom style="thin">
        <color rgb="FFFF0000"/>
      </bottom>
      <diagonal/>
    </border>
    <border>
      <left style="thick">
        <color theme="5" tint="-0.24994659260841701"/>
      </left>
      <right/>
      <top/>
      <bottom/>
      <diagonal/>
    </border>
    <border>
      <left/>
      <right style="thick">
        <color theme="5" tint="-0.2499465926084170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ck">
        <color theme="5" tint="-0.499984740745262"/>
      </right>
      <top/>
      <bottom/>
      <diagonal/>
    </border>
    <border>
      <left/>
      <right/>
      <top style="double">
        <color rgb="FF00FF00"/>
      </top>
      <bottom/>
      <diagonal/>
    </border>
    <border>
      <left style="medium">
        <color rgb="FF0070C0"/>
      </left>
      <right style="medium">
        <color rgb="FF0070C0"/>
      </right>
      <top/>
      <bottom style="medium">
        <color rgb="FF0070C0"/>
      </bottom>
      <diagonal/>
    </border>
    <border>
      <left style="medium">
        <color rgb="FF0070C0"/>
      </left>
      <right style="medium">
        <color rgb="FF0070C0"/>
      </right>
      <top style="medium">
        <color rgb="FF0070C0"/>
      </top>
      <bottom/>
      <diagonal/>
    </border>
    <border>
      <left/>
      <right style="double">
        <color rgb="FF00FF00"/>
      </right>
      <top/>
      <bottom/>
      <diagonal/>
    </border>
    <border>
      <left style="thick">
        <color theme="5" tint="-0.24994659260841701"/>
      </left>
      <right/>
      <top/>
      <bottom style="thin">
        <color rgb="FF000000"/>
      </bottom>
      <diagonal/>
    </border>
    <border>
      <left/>
      <right style="thick">
        <color theme="5" tint="-0.499984740745262"/>
      </right>
      <top style="thin">
        <color rgb="FF000000"/>
      </top>
      <bottom style="thin">
        <color rgb="FF000000"/>
      </bottom>
      <diagonal/>
    </border>
    <border>
      <left/>
      <right style="double">
        <color rgb="FF00FF00"/>
      </right>
      <top style="double">
        <color rgb="FF00FF00"/>
      </top>
      <bottom/>
      <diagonal/>
    </border>
    <border>
      <left style="thick">
        <color theme="5" tint="-0.24994659260841701"/>
      </left>
      <right/>
      <top/>
      <bottom style="thick">
        <color theme="5" tint="-0.24994659260841701"/>
      </bottom>
      <diagonal/>
    </border>
    <border>
      <left/>
      <right/>
      <top/>
      <bottom style="thick">
        <color theme="5" tint="-0.24994659260841701"/>
      </bottom>
      <diagonal/>
    </border>
    <border>
      <left/>
      <right style="thick">
        <color theme="5" tint="-0.24994659260841701"/>
      </right>
      <top/>
      <bottom style="thick">
        <color theme="5" tint="-0.24994659260841701"/>
      </bottom>
      <diagonal/>
    </border>
    <border>
      <left style="thin">
        <color rgb="FF000000"/>
      </left>
      <right/>
      <top/>
      <bottom/>
      <diagonal/>
    </border>
    <border>
      <left style="thin">
        <color rgb="FF666666"/>
      </left>
      <right/>
      <top style="thin">
        <color rgb="FF666666"/>
      </top>
      <bottom/>
      <diagonal/>
    </border>
    <border>
      <left style="thin">
        <color rgb="FF666666"/>
      </left>
      <right style="thin">
        <color rgb="FF666666"/>
      </right>
      <top style="thin">
        <color rgb="FF666666"/>
      </top>
      <bottom/>
      <diagonal/>
    </border>
    <border>
      <left style="thin">
        <color rgb="FF000000"/>
      </left>
      <right/>
      <top style="thin">
        <color rgb="FF666666"/>
      </top>
      <bottom/>
      <diagonal/>
    </border>
    <border>
      <left style="thin">
        <color rgb="FF666666"/>
      </left>
      <right/>
      <top/>
      <bottom/>
      <diagonal/>
    </border>
    <border>
      <left style="thin">
        <color rgb="FF000000"/>
      </left>
      <right/>
      <top style="thin">
        <color rgb="FF666666"/>
      </top>
      <bottom style="thin">
        <color rgb="FF666666"/>
      </bottom>
      <diagonal/>
    </border>
    <border>
      <left style="thin">
        <color rgb="FF666666"/>
      </left>
      <right/>
      <top style="thin">
        <color rgb="FF666666"/>
      </top>
      <bottom style="thin">
        <color rgb="FF666666"/>
      </bottom>
      <diagonal/>
    </border>
    <border>
      <left style="thin">
        <color rgb="FF666666"/>
      </left>
      <right style="thin">
        <color rgb="FF666666"/>
      </right>
      <top style="thin">
        <color rgb="FF666666"/>
      </top>
      <bottom style="thin">
        <color rgb="FF666666"/>
      </bottom>
      <diagonal/>
    </border>
    <border>
      <left/>
      <right style="thin">
        <color rgb="FF666666"/>
      </right>
      <top style="thin">
        <color rgb="FF666666"/>
      </top>
      <bottom style="thin">
        <color rgb="FF666666"/>
      </bottom>
      <diagonal/>
    </border>
    <border>
      <left/>
      <right style="thin">
        <color rgb="FF000000"/>
      </right>
      <top style="medium">
        <color rgb="FF1F497D"/>
      </top>
      <bottom style="thin">
        <color rgb="FF000000"/>
      </bottom>
      <diagonal/>
    </border>
    <border>
      <left/>
      <right style="medium">
        <color rgb="FF1F497D"/>
      </right>
      <top style="medium">
        <color rgb="FF1F497D"/>
      </top>
      <bottom style="thin">
        <color rgb="FF000000"/>
      </bottom>
      <diagonal/>
    </border>
    <border>
      <left style="medium">
        <color rgb="FF1F497D"/>
      </left>
      <right style="thin">
        <color rgb="FF000000"/>
      </right>
      <top/>
      <bottom style="medium">
        <color rgb="FF1F497D"/>
      </bottom>
      <diagonal/>
    </border>
    <border>
      <left/>
      <right style="medium">
        <color rgb="FF1F497D"/>
      </right>
      <top/>
      <bottom style="medium">
        <color rgb="FF1F497D"/>
      </bottom>
      <diagonal/>
    </border>
    <border>
      <left style="medium">
        <color rgb="FFC00000"/>
      </left>
      <right style="medium">
        <color rgb="FFC00000"/>
      </right>
      <top style="medium">
        <color rgb="FFC00000"/>
      </top>
      <bottom style="medium">
        <color rgb="FFC00000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double">
        <color rgb="FF00FF00"/>
      </left>
      <right style="double">
        <color rgb="FF00FF00"/>
      </right>
      <top/>
      <bottom style="double">
        <color rgb="FF00FF00"/>
      </bottom>
      <diagonal/>
    </border>
    <border>
      <left style="medium">
        <color rgb="FFE06666"/>
      </left>
      <right style="thin">
        <color rgb="FF000000"/>
      </right>
      <top style="medium">
        <color rgb="FFE06666"/>
      </top>
      <bottom style="thin">
        <color rgb="FF000000"/>
      </bottom>
      <diagonal/>
    </border>
    <border>
      <left/>
      <right style="medium">
        <color rgb="FFE06666"/>
      </right>
      <top style="medium">
        <color rgb="FFE06666"/>
      </top>
      <bottom style="thin">
        <color rgb="FF000000"/>
      </bottom>
      <diagonal/>
    </border>
    <border>
      <left style="medium">
        <color rgb="FFE06666"/>
      </left>
      <right style="thin">
        <color rgb="FF000000"/>
      </right>
      <top/>
      <bottom style="medium">
        <color rgb="FFE06666"/>
      </bottom>
      <diagonal/>
    </border>
    <border>
      <left/>
      <right style="medium">
        <color rgb="FFE06666"/>
      </right>
      <top/>
      <bottom style="medium">
        <color rgb="FFE06666"/>
      </bottom>
      <diagonal/>
    </border>
    <border>
      <left style="medium">
        <color rgb="FF6AA84F"/>
      </left>
      <right style="thin">
        <color rgb="FF000000"/>
      </right>
      <top style="medium">
        <color rgb="FF6AA84F"/>
      </top>
      <bottom style="thin">
        <color rgb="FF000000"/>
      </bottom>
      <diagonal/>
    </border>
    <border>
      <left/>
      <right style="medium">
        <color rgb="FF6AA84F"/>
      </right>
      <top style="medium">
        <color rgb="FF6AA84F"/>
      </top>
      <bottom style="thin">
        <color rgb="FF000000"/>
      </bottom>
      <diagonal/>
    </border>
    <border>
      <left style="medium">
        <color rgb="FF6AA84F"/>
      </left>
      <right style="thin">
        <color rgb="FF000000"/>
      </right>
      <top/>
      <bottom style="medium">
        <color rgb="FF6AA84F"/>
      </bottom>
      <diagonal/>
    </border>
    <border>
      <left/>
      <right style="medium">
        <color rgb="FF6AA84F"/>
      </right>
      <top/>
      <bottom style="medium">
        <color rgb="FF6AA84F"/>
      </bottom>
      <diagonal/>
    </border>
    <border>
      <left style="thick">
        <color rgb="FF0000CC"/>
      </left>
      <right style="thin">
        <color rgb="FF000000"/>
      </right>
      <top style="thick">
        <color rgb="FF0000CC"/>
      </top>
      <bottom style="thin">
        <color rgb="FF000000"/>
      </bottom>
      <diagonal/>
    </border>
    <border>
      <left/>
      <right style="thick">
        <color rgb="FF0000CC"/>
      </right>
      <top style="thick">
        <color rgb="FF0000CC"/>
      </top>
      <bottom style="thin">
        <color rgb="FF000000"/>
      </bottom>
      <diagonal/>
    </border>
    <border>
      <left style="thick">
        <color rgb="FF0000CC"/>
      </left>
      <right style="thin">
        <color rgb="FF000000"/>
      </right>
      <top/>
      <bottom style="thin">
        <color rgb="FF000000"/>
      </bottom>
      <diagonal/>
    </border>
    <border>
      <left/>
      <right style="thick">
        <color rgb="FF0000CC"/>
      </right>
      <top/>
      <bottom style="thin">
        <color rgb="FF000000"/>
      </bottom>
      <diagonal/>
    </border>
    <border>
      <left style="thick">
        <color rgb="FF0000CC"/>
      </left>
      <right style="thin">
        <color rgb="FF000000"/>
      </right>
      <top/>
      <bottom style="thick">
        <color rgb="FF0000CC"/>
      </bottom>
      <diagonal/>
    </border>
    <border>
      <left/>
      <right style="thick">
        <color rgb="FF0000CC"/>
      </right>
      <top/>
      <bottom style="thick">
        <color rgb="FF0000CC"/>
      </bottom>
      <diagonal/>
    </border>
    <border>
      <left style="double">
        <color rgb="FF00FF00"/>
      </left>
      <right style="double">
        <color rgb="FF00FF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666666"/>
      </left>
      <right style="thin">
        <color rgb="FF666666"/>
      </right>
      <top/>
      <bottom style="thin">
        <color rgb="FF666666"/>
      </bottom>
      <diagonal/>
    </border>
    <border>
      <left style="medium">
        <color rgb="FF1F497D"/>
      </left>
      <right style="thin">
        <color rgb="FF000000"/>
      </right>
      <top style="medium">
        <color rgb="FF1F497D"/>
      </top>
      <bottom style="thin">
        <color rgb="FF000000"/>
      </bottom>
      <diagonal/>
    </border>
    <border>
      <left/>
      <right style="thin">
        <color rgb="FF000000"/>
      </right>
      <top/>
      <bottom style="medium">
        <color rgb="FF1F497D"/>
      </bottom>
      <diagonal/>
    </border>
    <border>
      <left/>
      <right style="thin">
        <color rgb="FF666666"/>
      </right>
      <top style="thin">
        <color rgb="FF666666"/>
      </top>
      <bottom/>
      <diagonal/>
    </border>
    <border>
      <left/>
      <right style="medium">
        <color rgb="FF1F497D"/>
      </right>
      <top/>
      <bottom/>
      <diagonal/>
    </border>
    <border>
      <left/>
      <right style="thin">
        <color rgb="FF000000"/>
      </right>
      <top style="medium">
        <color rgb="FFE06666"/>
      </top>
      <bottom style="thin">
        <color rgb="FF000000"/>
      </bottom>
      <diagonal/>
    </border>
    <border>
      <left/>
      <right style="thin">
        <color rgb="FF000000"/>
      </right>
      <top/>
      <bottom style="medium">
        <color rgb="FFE06666"/>
      </bottom>
      <diagonal/>
    </border>
    <border>
      <left style="medium">
        <color theme="5" tint="-0.24994659260841701"/>
      </left>
      <right style="medium">
        <color theme="5" tint="-0.24994659260841701"/>
      </right>
      <top style="medium">
        <color theme="5" tint="-0.24994659260841701"/>
      </top>
      <bottom style="medium">
        <color theme="5" tint="-0.24994659260841701"/>
      </bottom>
      <diagonal/>
    </border>
    <border>
      <left style="thin">
        <color rgb="FFFF0000"/>
      </left>
      <right style="thin">
        <color rgb="FF000000"/>
      </right>
      <top style="thin">
        <color rgb="FFFF0000"/>
      </top>
      <bottom/>
      <diagonal/>
    </border>
    <border>
      <left style="thin">
        <color rgb="FFFF0000"/>
      </left>
      <right/>
      <top style="thin">
        <color rgb="FFFF0000"/>
      </top>
      <bottom style="thin">
        <color rgb="FF000000"/>
      </bottom>
      <diagonal/>
    </border>
    <border>
      <left/>
      <right style="thin">
        <color rgb="FF000000"/>
      </right>
      <top style="medium">
        <color rgb="FF6AA84F"/>
      </top>
      <bottom style="thin">
        <color rgb="FF000000"/>
      </bottom>
      <diagonal/>
    </border>
    <border>
      <left style="thick">
        <color rgb="FF0000CC"/>
      </left>
      <right/>
      <top/>
      <bottom/>
      <diagonal/>
    </border>
    <border>
      <left style="thin">
        <color rgb="FF000000"/>
      </left>
      <right style="thick">
        <color rgb="FF0000CC"/>
      </right>
      <top/>
      <bottom/>
      <diagonal/>
    </border>
    <border>
      <left style="thick">
        <color rgb="FF0000CC"/>
      </left>
      <right/>
      <top style="thin">
        <color rgb="FF000000"/>
      </top>
      <bottom/>
      <diagonal/>
    </border>
    <border>
      <left style="thin">
        <color rgb="FF000000"/>
      </left>
      <right style="thick">
        <color rgb="FF0000CC"/>
      </right>
      <top style="thin">
        <color rgb="FF000000"/>
      </top>
      <bottom/>
      <diagonal/>
    </border>
    <border>
      <left style="thick">
        <color rgb="FF0000CC"/>
      </left>
      <right/>
      <top style="thin">
        <color rgb="FF000000"/>
      </top>
      <bottom style="thick">
        <color rgb="FF0000CC"/>
      </bottom>
      <diagonal/>
    </border>
    <border>
      <left style="thin">
        <color rgb="FF000000"/>
      </left>
      <right style="thick">
        <color rgb="FF0000CC"/>
      </right>
      <top style="thin">
        <color rgb="FF000000"/>
      </top>
      <bottom style="thick">
        <color rgb="FF0000CC"/>
      </bottom>
      <diagonal/>
    </border>
    <border>
      <left style="thin">
        <color rgb="FFFFFF00"/>
      </left>
      <right/>
      <top style="thin">
        <color rgb="FFFFFF00"/>
      </top>
      <bottom/>
      <diagonal/>
    </border>
    <border>
      <left style="thin">
        <color rgb="FFFFFF00"/>
      </left>
      <right/>
      <top/>
      <bottom/>
      <diagonal/>
    </border>
    <border>
      <left style="thin">
        <color rgb="FFFFFF00"/>
      </left>
      <right/>
      <top/>
      <bottom style="thin">
        <color rgb="FFFFFF00"/>
      </bottom>
      <diagonal/>
    </border>
    <border>
      <left/>
      <right/>
      <top/>
      <bottom style="thin">
        <color rgb="FFFFFF00"/>
      </bottom>
      <diagonal/>
    </border>
    <border>
      <left style="thin">
        <color rgb="FF666666"/>
      </left>
      <right style="thin">
        <color rgb="FF666666"/>
      </right>
      <top/>
      <bottom/>
      <diagonal/>
    </border>
    <border>
      <left style="thin">
        <color auto="1"/>
      </left>
      <right style="thin">
        <color auto="1"/>
      </right>
      <top style="medium">
        <color rgb="FF00B050"/>
      </top>
      <bottom style="medium">
        <color rgb="FF00B050"/>
      </bottom>
      <diagonal/>
    </border>
    <border>
      <left/>
      <right style="thin">
        <color rgb="FF666666"/>
      </right>
      <top/>
      <bottom/>
      <diagonal/>
    </border>
    <border>
      <left style="medium">
        <color rgb="FF0070C0"/>
      </left>
      <right style="medium">
        <color rgb="FF0070C0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9" fontId="114" fillId="0" borderId="0" applyFont="0" applyFill="0" applyBorder="0" applyAlignment="0" applyProtection="0"/>
    <xf numFmtId="0" fontId="110" fillId="0" borderId="0" applyNumberFormat="0" applyFill="0" applyBorder="0" applyAlignment="0" applyProtection="0"/>
    <xf numFmtId="44" fontId="134" fillId="0" borderId="0" applyFont="0" applyFill="0" applyBorder="0" applyAlignment="0" applyProtection="0"/>
  </cellStyleXfs>
  <cellXfs count="978">
    <xf numFmtId="0" fontId="0" fillId="0" borderId="0" xfId="0" applyFont="1" applyAlignment="1"/>
    <xf numFmtId="0" fontId="0" fillId="2" borderId="0" xfId="0" applyFont="1" applyFill="1" applyAlignment="1"/>
    <xf numFmtId="0" fontId="4" fillId="0" borderId="0" xfId="0" applyFont="1" applyAlignment="1"/>
    <xf numFmtId="0" fontId="7" fillId="0" borderId="0" xfId="0" applyFont="1" applyAlignment="1"/>
    <xf numFmtId="0" fontId="1" fillId="0" borderId="6" xfId="0" applyFont="1" applyBorder="1" applyAlignment="1"/>
    <xf numFmtId="0" fontId="1" fillId="2" borderId="7" xfId="0" applyFont="1" applyFill="1" applyBorder="1" applyAlignment="1"/>
    <xf numFmtId="0" fontId="1" fillId="0" borderId="7" xfId="0" applyFont="1" applyBorder="1" applyAlignment="1"/>
    <xf numFmtId="0" fontId="7" fillId="0" borderId="0" xfId="0" applyFont="1" applyAlignment="1">
      <alignment horizontal="right"/>
    </xf>
    <xf numFmtId="2" fontId="7" fillId="0" borderId="7" xfId="0" applyNumberFormat="1" applyFont="1" applyBorder="1" applyAlignment="1"/>
    <xf numFmtId="0" fontId="9" fillId="0" borderId="0" xfId="0" applyFont="1" applyAlignment="1"/>
    <xf numFmtId="0" fontId="7" fillId="2" borderId="0" xfId="0" applyFont="1" applyFill="1" applyAlignment="1"/>
    <xf numFmtId="2" fontId="13" fillId="0" borderId="0" xfId="0" applyNumberFormat="1" applyFont="1" applyAlignment="1"/>
    <xf numFmtId="2" fontId="0" fillId="0" borderId="0" xfId="0" applyNumberFormat="1" applyFont="1" applyAlignment="1">
      <alignment vertical="center"/>
    </xf>
    <xf numFmtId="2" fontId="0" fillId="0" borderId="0" xfId="0" applyNumberFormat="1" applyFont="1" applyFill="1" applyAlignment="1"/>
    <xf numFmtId="2" fontId="14" fillId="0" borderId="0" xfId="0" applyNumberFormat="1" applyFont="1" applyAlignment="1"/>
    <xf numFmtId="2" fontId="0" fillId="0" borderId="0" xfId="0" applyNumberFormat="1" applyFont="1" applyAlignment="1"/>
    <xf numFmtId="2" fontId="15" fillId="4" borderId="0" xfId="0" applyNumberFormat="1" applyFont="1" applyFill="1" applyAlignment="1"/>
    <xf numFmtId="2" fontId="14" fillId="4" borderId="0" xfId="0" applyNumberFormat="1" applyFont="1" applyFill="1" applyAlignment="1"/>
    <xf numFmtId="2" fontId="16" fillId="0" borderId="0" xfId="0" applyNumberFormat="1" applyFont="1" applyAlignment="1" applyProtection="1">
      <protection locked="0"/>
    </xf>
    <xf numFmtId="2" fontId="16" fillId="5" borderId="0" xfId="0" applyNumberFormat="1" applyFont="1" applyFill="1" applyAlignment="1"/>
    <xf numFmtId="2" fontId="17" fillId="5" borderId="0" xfId="0" applyNumberFormat="1" applyFont="1" applyFill="1" applyAlignment="1">
      <alignment horizontal="center"/>
    </xf>
    <xf numFmtId="17" fontId="18" fillId="5" borderId="0" xfId="0" applyNumberFormat="1" applyFont="1" applyFill="1" applyAlignment="1">
      <alignment horizontal="center"/>
    </xf>
    <xf numFmtId="10" fontId="17" fillId="5" borderId="0" xfId="1" applyNumberFormat="1" applyFont="1" applyFill="1" applyAlignment="1">
      <alignment horizontal="center"/>
    </xf>
    <xf numFmtId="2" fontId="19" fillId="6" borderId="8" xfId="0" applyNumberFormat="1" applyFont="1" applyFill="1" applyBorder="1" applyAlignment="1">
      <alignment horizontal="left"/>
    </xf>
    <xf numFmtId="2" fontId="20" fillId="6" borderId="8" xfId="0" applyNumberFormat="1" applyFont="1" applyFill="1" applyBorder="1" applyAlignment="1">
      <alignment horizontal="left"/>
    </xf>
    <xf numFmtId="2" fontId="21" fillId="0" borderId="8" xfId="0" applyNumberFormat="1" applyFont="1" applyBorder="1" applyAlignment="1">
      <alignment horizontal="left"/>
    </xf>
    <xf numFmtId="2" fontId="7" fillId="7" borderId="8" xfId="0" applyNumberFormat="1" applyFont="1" applyFill="1" applyBorder="1" applyAlignment="1">
      <alignment horizontal="left"/>
    </xf>
    <xf numFmtId="2" fontId="25" fillId="0" borderId="0" xfId="0" applyNumberFormat="1" applyFont="1" applyAlignment="1">
      <alignment vertical="center"/>
    </xf>
    <xf numFmtId="2" fontId="7" fillId="0" borderId="0" xfId="0" applyNumberFormat="1" applyFont="1" applyAlignment="1"/>
    <xf numFmtId="2" fontId="27" fillId="0" borderId="0" xfId="0" applyNumberFormat="1" applyFont="1" applyFill="1" applyAlignment="1"/>
    <xf numFmtId="2" fontId="7" fillId="0" borderId="0" xfId="0" applyNumberFormat="1" applyFont="1" applyFill="1" applyAlignment="1"/>
    <xf numFmtId="1" fontId="16" fillId="0" borderId="0" xfId="0" applyNumberFormat="1" applyFont="1" applyFill="1" applyAlignment="1">
      <alignment horizontal="right"/>
    </xf>
    <xf numFmtId="2" fontId="28" fillId="0" borderId="0" xfId="0" applyNumberFormat="1" applyFont="1" applyAlignment="1"/>
    <xf numFmtId="2" fontId="1" fillId="0" borderId="0" xfId="0" applyNumberFormat="1" applyFont="1" applyAlignment="1"/>
    <xf numFmtId="9" fontId="18" fillId="0" borderId="0" xfId="1" applyFont="1" applyAlignment="1" applyProtection="1">
      <protection locked="0"/>
    </xf>
    <xf numFmtId="2" fontId="18" fillId="0" borderId="0" xfId="0" applyNumberFormat="1" applyFont="1" applyAlignment="1"/>
    <xf numFmtId="2" fontId="23" fillId="0" borderId="0" xfId="0" applyNumberFormat="1" applyFont="1" applyAlignment="1"/>
    <xf numFmtId="2" fontId="24" fillId="0" borderId="0" xfId="0" applyNumberFormat="1" applyFont="1" applyAlignment="1"/>
    <xf numFmtId="2" fontId="1" fillId="0" borderId="0" xfId="0" applyNumberFormat="1" applyFont="1" applyAlignment="1" applyProtection="1">
      <protection locked="0"/>
    </xf>
    <xf numFmtId="2" fontId="1" fillId="8" borderId="0" xfId="0" applyNumberFormat="1" applyFont="1" applyFill="1" applyAlignment="1"/>
    <xf numFmtId="2" fontId="7" fillId="8" borderId="0" xfId="0" applyNumberFormat="1" applyFont="1" applyFill="1" applyAlignment="1"/>
    <xf numFmtId="2" fontId="1" fillId="9" borderId="10" xfId="0" applyNumberFormat="1" applyFont="1" applyFill="1" applyBorder="1" applyAlignment="1">
      <alignment horizontal="left"/>
    </xf>
    <xf numFmtId="2" fontId="1" fillId="9" borderId="3" xfId="0" applyNumberFormat="1" applyFont="1" applyFill="1" applyBorder="1" applyAlignment="1">
      <alignment horizontal="left"/>
    </xf>
    <xf numFmtId="2" fontId="1" fillId="9" borderId="6" xfId="0" applyNumberFormat="1" applyFont="1" applyFill="1" applyBorder="1" applyAlignment="1">
      <alignment horizontal="center"/>
    </xf>
    <xf numFmtId="2" fontId="1" fillId="9" borderId="9" xfId="0" applyNumberFormat="1" applyFont="1" applyFill="1" applyBorder="1" applyAlignment="1">
      <alignment horizontal="center"/>
    </xf>
    <xf numFmtId="2" fontId="1" fillId="10" borderId="6" xfId="0" applyNumberFormat="1" applyFont="1" applyFill="1" applyBorder="1" applyAlignment="1">
      <alignment horizontal="right"/>
    </xf>
    <xf numFmtId="2" fontId="1" fillId="10" borderId="3" xfId="0" applyNumberFormat="1" applyFont="1" applyFill="1" applyBorder="1" applyAlignment="1">
      <alignment horizontal="right"/>
    </xf>
    <xf numFmtId="9" fontId="3" fillId="11" borderId="10" xfId="1" applyFont="1" applyFill="1" applyBorder="1" applyAlignment="1">
      <alignment horizontal="right"/>
    </xf>
    <xf numFmtId="2" fontId="1" fillId="10" borderId="7" xfId="0" applyNumberFormat="1" applyFont="1" applyFill="1" applyBorder="1" applyAlignment="1">
      <alignment horizontal="right"/>
    </xf>
    <xf numFmtId="9" fontId="3" fillId="11" borderId="11" xfId="1" applyFont="1" applyFill="1" applyBorder="1" applyAlignment="1">
      <alignment horizontal="right"/>
    </xf>
    <xf numFmtId="9" fontId="3" fillId="7" borderId="11" xfId="1" applyFont="1" applyFill="1" applyBorder="1" applyAlignment="1">
      <alignment horizontal="right"/>
    </xf>
    <xf numFmtId="2" fontId="1" fillId="10" borderId="0" xfId="0" applyNumberFormat="1" applyFont="1" applyFill="1" applyBorder="1" applyAlignment="1">
      <alignment horizontal="right"/>
    </xf>
    <xf numFmtId="9" fontId="3" fillId="7" borderId="0" xfId="1" applyFont="1" applyFill="1" applyBorder="1" applyAlignment="1">
      <alignment horizontal="right"/>
    </xf>
    <xf numFmtId="9" fontId="3" fillId="0" borderId="0" xfId="1" applyFont="1" applyFill="1" applyBorder="1" applyAlignment="1">
      <alignment horizontal="right"/>
    </xf>
    <xf numFmtId="2" fontId="3" fillId="0" borderId="0" xfId="0" applyNumberFormat="1" applyFont="1" applyFill="1" applyAlignment="1"/>
    <xf numFmtId="2" fontId="3" fillId="0" borderId="0" xfId="0" applyNumberFormat="1" applyFont="1" applyAlignment="1"/>
    <xf numFmtId="2" fontId="7" fillId="7" borderId="7" xfId="0" applyNumberFormat="1" applyFont="1" applyFill="1" applyBorder="1" applyAlignment="1">
      <alignment horizontal="left"/>
    </xf>
    <xf numFmtId="2" fontId="7" fillId="7" borderId="0" xfId="0" applyNumberFormat="1" applyFont="1" applyFill="1" applyAlignment="1">
      <alignment horizontal="left"/>
    </xf>
    <xf numFmtId="9" fontId="7" fillId="0" borderId="0" xfId="1" applyFont="1" applyAlignment="1"/>
    <xf numFmtId="1" fontId="16" fillId="0" borderId="0" xfId="0" applyNumberFormat="1" applyFont="1" applyFill="1" applyAlignment="1"/>
    <xf numFmtId="2" fontId="29" fillId="0" borderId="0" xfId="0" applyNumberFormat="1" applyFont="1" applyAlignment="1"/>
    <xf numFmtId="2" fontId="16" fillId="0" borderId="12" xfId="0" applyNumberFormat="1" applyFont="1" applyBorder="1" applyAlignment="1">
      <alignment horizontal="center"/>
    </xf>
    <xf numFmtId="2" fontId="7" fillId="0" borderId="1" xfId="0" applyNumberFormat="1" applyFont="1" applyBorder="1" applyAlignment="1"/>
    <xf numFmtId="2" fontId="7" fillId="0" borderId="3" xfId="0" applyNumberFormat="1" applyFont="1" applyBorder="1" applyAlignment="1"/>
    <xf numFmtId="2" fontId="30" fillId="0" borderId="3" xfId="0" applyNumberFormat="1" applyFont="1" applyBorder="1" applyAlignment="1"/>
    <xf numFmtId="2" fontId="25" fillId="0" borderId="3" xfId="0" applyNumberFormat="1" applyFont="1" applyBorder="1" applyAlignment="1"/>
    <xf numFmtId="1" fontId="17" fillId="0" borderId="13" xfId="0" applyNumberFormat="1" applyFont="1" applyBorder="1" applyAlignment="1">
      <alignment horizontal="center"/>
    </xf>
    <xf numFmtId="1" fontId="17" fillId="0" borderId="0" xfId="0" applyNumberFormat="1" applyFont="1" applyBorder="1" applyAlignment="1">
      <alignment horizontal="center"/>
    </xf>
    <xf numFmtId="1" fontId="31" fillId="0" borderId="0" xfId="0" applyNumberFormat="1" applyFont="1" applyBorder="1" applyAlignment="1">
      <alignment horizontal="right"/>
    </xf>
    <xf numFmtId="2" fontId="7" fillId="0" borderId="0" xfId="0" applyNumberFormat="1" applyFont="1" applyAlignment="1">
      <alignment horizontal="right"/>
    </xf>
    <xf numFmtId="2" fontId="17" fillId="0" borderId="0" xfId="0" applyNumberFormat="1" applyFont="1" applyAlignment="1">
      <alignment horizontal="center"/>
    </xf>
    <xf numFmtId="2" fontId="16" fillId="0" borderId="0" xfId="0" applyNumberFormat="1" applyFont="1" applyAlignment="1">
      <alignment horizontal="center"/>
    </xf>
    <xf numFmtId="1" fontId="16" fillId="0" borderId="0" xfId="0" applyNumberFormat="1" applyFont="1" applyAlignment="1">
      <alignment horizontal="center"/>
    </xf>
    <xf numFmtId="1" fontId="16" fillId="0" borderId="3" xfId="0" applyNumberFormat="1" applyFont="1" applyBorder="1" applyAlignment="1">
      <alignment horizontal="right"/>
    </xf>
    <xf numFmtId="1" fontId="16" fillId="0" borderId="0" xfId="0" applyNumberFormat="1" applyFont="1" applyBorder="1" applyAlignment="1">
      <alignment horizontal="right"/>
    </xf>
    <xf numFmtId="165" fontId="17" fillId="5" borderId="0" xfId="1" applyNumberFormat="1" applyFont="1" applyFill="1" applyAlignment="1">
      <alignment horizontal="center"/>
    </xf>
    <xf numFmtId="2" fontId="7" fillId="0" borderId="0" xfId="0" applyNumberFormat="1" applyFont="1" applyBorder="1" applyAlignment="1"/>
    <xf numFmtId="2" fontId="16" fillId="0" borderId="0" xfId="0" applyNumberFormat="1" applyFont="1" applyAlignment="1"/>
    <xf numFmtId="166" fontId="1" fillId="0" borderId="0" xfId="0" applyNumberFormat="1" applyFont="1" applyAlignment="1"/>
    <xf numFmtId="2" fontId="32" fillId="7" borderId="15" xfId="0" applyNumberFormat="1" applyFont="1" applyFill="1" applyBorder="1" applyAlignment="1"/>
    <xf numFmtId="2" fontId="32" fillId="7" borderId="16" xfId="0" applyNumberFormat="1" applyFont="1" applyFill="1" applyBorder="1" applyAlignment="1"/>
    <xf numFmtId="2" fontId="33" fillId="7" borderId="16" xfId="0" applyNumberFormat="1" applyFont="1" applyFill="1" applyBorder="1" applyAlignment="1"/>
    <xf numFmtId="2" fontId="16" fillId="8" borderId="0" xfId="0" applyNumberFormat="1" applyFont="1" applyFill="1" applyAlignment="1"/>
    <xf numFmtId="2" fontId="32" fillId="7" borderId="17" xfId="0" applyNumberFormat="1" applyFont="1" applyFill="1" applyBorder="1" applyAlignment="1"/>
    <xf numFmtId="2" fontId="32" fillId="0" borderId="0" xfId="0" applyNumberFormat="1" applyFont="1" applyAlignment="1"/>
    <xf numFmtId="2" fontId="34" fillId="0" borderId="0" xfId="0" applyNumberFormat="1" applyFont="1" applyAlignment="1">
      <alignment horizontal="right"/>
    </xf>
    <xf numFmtId="2" fontId="28" fillId="8" borderId="0" xfId="0" applyNumberFormat="1" applyFont="1" applyFill="1" applyAlignment="1"/>
    <xf numFmtId="2" fontId="33" fillId="7" borderId="17" xfId="0" applyNumberFormat="1" applyFont="1" applyFill="1" applyBorder="1" applyAlignment="1"/>
    <xf numFmtId="2" fontId="32" fillId="0" borderId="4" xfId="0" applyNumberFormat="1" applyFont="1" applyBorder="1" applyAlignment="1"/>
    <xf numFmtId="2" fontId="34" fillId="0" borderId="2" xfId="0" applyNumberFormat="1" applyFont="1" applyBorder="1" applyAlignment="1">
      <alignment horizontal="right"/>
    </xf>
    <xf numFmtId="2" fontId="35" fillId="8" borderId="0" xfId="0" applyNumberFormat="1" applyFont="1" applyFill="1" applyAlignment="1"/>
    <xf numFmtId="2" fontId="35" fillId="0" borderId="0" xfId="0" applyNumberFormat="1" applyFont="1" applyAlignment="1"/>
    <xf numFmtId="2" fontId="7" fillId="7" borderId="18" xfId="0" applyNumberFormat="1" applyFont="1" applyFill="1" applyBorder="1" applyAlignment="1"/>
    <xf numFmtId="2" fontId="7" fillId="7" borderId="19" xfId="0" applyNumberFormat="1" applyFont="1" applyFill="1" applyBorder="1" applyAlignment="1"/>
    <xf numFmtId="2" fontId="1" fillId="7" borderId="19" xfId="0" applyNumberFormat="1" applyFont="1" applyFill="1" applyBorder="1" applyAlignment="1"/>
    <xf numFmtId="2" fontId="36" fillId="14" borderId="20" xfId="0" applyNumberFormat="1" applyFont="1" applyFill="1" applyBorder="1" applyAlignment="1"/>
    <xf numFmtId="2" fontId="36" fillId="3" borderId="21" xfId="0" applyNumberFormat="1" applyFont="1" applyFill="1" applyBorder="1" applyAlignment="1"/>
    <xf numFmtId="2" fontId="7" fillId="8" borderId="22" xfId="0" applyNumberFormat="1" applyFont="1" applyFill="1" applyBorder="1" applyAlignment="1"/>
    <xf numFmtId="167" fontId="37" fillId="0" borderId="0" xfId="0" applyNumberFormat="1" applyFont="1" applyAlignment="1"/>
    <xf numFmtId="164" fontId="7" fillId="0" borderId="0" xfId="0" applyNumberFormat="1" applyFont="1" applyAlignment="1"/>
    <xf numFmtId="166" fontId="5" fillId="0" borderId="0" xfId="0" applyNumberFormat="1" applyFont="1" applyAlignment="1"/>
    <xf numFmtId="166" fontId="7" fillId="0" borderId="0" xfId="0" applyNumberFormat="1" applyFont="1" applyAlignment="1"/>
    <xf numFmtId="2" fontId="38" fillId="0" borderId="3" xfId="0" applyNumberFormat="1" applyFont="1" applyBorder="1" applyAlignment="1"/>
    <xf numFmtId="2" fontId="7" fillId="0" borderId="0" xfId="0" applyNumberFormat="1" applyFont="1"/>
    <xf numFmtId="164" fontId="7" fillId="0" borderId="0" xfId="0" applyNumberFormat="1" applyFont="1" applyAlignment="1">
      <alignment horizontal="right"/>
    </xf>
    <xf numFmtId="168" fontId="7" fillId="0" borderId="0" xfId="0" applyNumberFormat="1" applyFont="1" applyAlignment="1">
      <alignment horizontal="right"/>
    </xf>
    <xf numFmtId="167" fontId="7" fillId="0" borderId="0" xfId="0" applyNumberFormat="1" applyFont="1" applyAlignment="1"/>
    <xf numFmtId="164" fontId="7" fillId="0" borderId="0" xfId="1" applyNumberFormat="1" applyFont="1" applyAlignment="1"/>
    <xf numFmtId="168" fontId="7" fillId="0" borderId="0" xfId="0" applyNumberFormat="1" applyFont="1" applyAlignment="1"/>
    <xf numFmtId="2" fontId="0" fillId="0" borderId="0" xfId="0" applyNumberFormat="1" applyFont="1" applyAlignment="1">
      <alignment horizontal="right"/>
    </xf>
    <xf numFmtId="2" fontId="7" fillId="15" borderId="0" xfId="0" applyNumberFormat="1" applyFont="1" applyFill="1" applyAlignment="1"/>
    <xf numFmtId="2" fontId="37" fillId="0" borderId="0" xfId="0" applyNumberFormat="1" applyFont="1"/>
    <xf numFmtId="2" fontId="25" fillId="0" borderId="0" xfId="0" applyNumberFormat="1" applyFont="1" applyAlignment="1">
      <alignment horizontal="right"/>
    </xf>
    <xf numFmtId="2" fontId="25" fillId="0" borderId="0" xfId="0" applyNumberFormat="1" applyFont="1"/>
    <xf numFmtId="168" fontId="25" fillId="0" borderId="0" xfId="0" applyNumberFormat="1" applyFont="1" applyAlignment="1">
      <alignment horizontal="right"/>
    </xf>
    <xf numFmtId="2" fontId="5" fillId="16" borderId="0" xfId="0" applyNumberFormat="1" applyFont="1" applyFill="1" applyAlignment="1"/>
    <xf numFmtId="2" fontId="40" fillId="0" borderId="0" xfId="0" applyNumberFormat="1" applyFont="1" applyAlignment="1"/>
    <xf numFmtId="0" fontId="41" fillId="0" borderId="0" xfId="0" applyFont="1" applyFill="1" applyAlignment="1">
      <alignment vertical="center"/>
    </xf>
    <xf numFmtId="2" fontId="42" fillId="7" borderId="25" xfId="0" applyNumberFormat="1" applyFont="1" applyFill="1" applyBorder="1" applyAlignment="1"/>
    <xf numFmtId="2" fontId="32" fillId="0" borderId="0" xfId="0" applyNumberFormat="1" applyFont="1" applyAlignment="1">
      <alignment horizontal="center"/>
    </xf>
    <xf numFmtId="2" fontId="43" fillId="7" borderId="26" xfId="0" applyNumberFormat="1" applyFont="1" applyFill="1" applyBorder="1" applyAlignment="1"/>
    <xf numFmtId="2" fontId="26" fillId="0" borderId="0" xfId="0" applyNumberFormat="1" applyFont="1" applyAlignment="1"/>
    <xf numFmtId="2" fontId="43" fillId="7" borderId="0" xfId="0" applyNumberFormat="1" applyFont="1" applyFill="1" applyAlignment="1"/>
    <xf numFmtId="2" fontId="26" fillId="0" borderId="0" xfId="0" applyNumberFormat="1" applyFont="1" applyAlignment="1">
      <alignment horizontal="right"/>
    </xf>
    <xf numFmtId="2" fontId="44" fillId="7" borderId="26" xfId="0" applyNumberFormat="1" applyFont="1" applyFill="1" applyBorder="1" applyAlignment="1"/>
    <xf numFmtId="2" fontId="44" fillId="7" borderId="0" xfId="0" applyNumberFormat="1" applyFont="1" applyFill="1" applyAlignment="1"/>
    <xf numFmtId="2" fontId="7" fillId="3" borderId="0" xfId="0" applyNumberFormat="1" applyFont="1" applyFill="1" applyAlignment="1"/>
    <xf numFmtId="2" fontId="26" fillId="0" borderId="0" xfId="0" applyNumberFormat="1" applyFont="1" applyAlignment="1">
      <alignment horizontal="center"/>
    </xf>
    <xf numFmtId="2" fontId="7" fillId="7" borderId="27" xfId="0" applyNumberFormat="1" applyFont="1" applyFill="1" applyBorder="1" applyAlignment="1"/>
    <xf numFmtId="2" fontId="1" fillId="3" borderId="0" xfId="0" applyNumberFormat="1" applyFont="1" applyFill="1" applyAlignment="1"/>
    <xf numFmtId="2" fontId="1" fillId="3" borderId="28" xfId="0" applyNumberFormat="1" applyFont="1" applyFill="1" applyBorder="1" applyAlignment="1"/>
    <xf numFmtId="2" fontId="7" fillId="0" borderId="28" xfId="0" applyNumberFormat="1" applyFont="1" applyBorder="1" applyAlignment="1"/>
    <xf numFmtId="169" fontId="7" fillId="0" borderId="0" xfId="0" applyNumberFormat="1" applyFont="1" applyAlignment="1"/>
    <xf numFmtId="165" fontId="37" fillId="0" borderId="0" xfId="1" applyNumberFormat="1" applyFont="1"/>
    <xf numFmtId="170" fontId="7" fillId="0" borderId="0" xfId="0" applyNumberFormat="1" applyFont="1" applyAlignment="1"/>
    <xf numFmtId="2" fontId="44" fillId="0" borderId="29" xfId="0" applyNumberFormat="1" applyFont="1" applyBorder="1" applyAlignment="1"/>
    <xf numFmtId="2" fontId="43" fillId="0" borderId="0" xfId="0" applyNumberFormat="1" applyFont="1" applyAlignment="1"/>
    <xf numFmtId="2" fontId="44" fillId="0" borderId="0" xfId="0" applyNumberFormat="1" applyFont="1" applyAlignment="1"/>
    <xf numFmtId="2" fontId="45" fillId="0" borderId="0" xfId="0" applyNumberFormat="1" applyFont="1" applyAlignment="1"/>
    <xf numFmtId="0" fontId="46" fillId="0" borderId="23" xfId="0" applyFont="1" applyBorder="1" applyAlignment="1">
      <alignment vertical="center" wrapText="1"/>
    </xf>
    <xf numFmtId="0" fontId="46" fillId="0" borderId="24" xfId="0" applyFont="1" applyBorder="1" applyAlignment="1">
      <alignment vertical="center" wrapText="1"/>
    </xf>
    <xf numFmtId="2" fontId="7" fillId="0" borderId="0" xfId="0" applyNumberFormat="1" applyFont="1" applyAlignment="1">
      <alignment horizontal="center"/>
    </xf>
    <xf numFmtId="2" fontId="47" fillId="0" borderId="0" xfId="0" applyNumberFormat="1" applyFont="1" applyAlignment="1"/>
    <xf numFmtId="2" fontId="48" fillId="0" borderId="0" xfId="0" applyNumberFormat="1" applyFont="1" applyAlignment="1"/>
    <xf numFmtId="2" fontId="49" fillId="0" borderId="0" xfId="0" applyNumberFormat="1" applyFont="1" applyAlignment="1"/>
    <xf numFmtId="2" fontId="50" fillId="0" borderId="0" xfId="0" applyNumberFormat="1" applyFont="1" applyAlignment="1"/>
    <xf numFmtId="2" fontId="51" fillId="0" borderId="0" xfId="0" applyNumberFormat="1" applyFont="1" applyAlignment="1"/>
    <xf numFmtId="2" fontId="52" fillId="0" borderId="0" xfId="0" applyNumberFormat="1" applyFont="1" applyAlignment="1"/>
    <xf numFmtId="171" fontId="7" fillId="0" borderId="0" xfId="1" applyNumberFormat="1" applyFont="1" applyAlignment="1"/>
    <xf numFmtId="2" fontId="7" fillId="7" borderId="0" xfId="0" applyNumberFormat="1" applyFont="1" applyFill="1" applyAlignment="1"/>
    <xf numFmtId="2" fontId="53" fillId="0" borderId="31" xfId="0" applyNumberFormat="1" applyFont="1" applyBorder="1" applyAlignment="1">
      <alignment vertical="center"/>
    </xf>
    <xf numFmtId="2" fontId="17" fillId="0" borderId="0" xfId="0" applyNumberFormat="1" applyFont="1" applyFill="1" applyBorder="1" applyAlignment="1">
      <alignment horizontal="left"/>
    </xf>
    <xf numFmtId="2" fontId="7" fillId="16" borderId="0" xfId="0" applyNumberFormat="1" applyFont="1" applyFill="1" applyAlignment="1"/>
    <xf numFmtId="2" fontId="54" fillId="0" borderId="0" xfId="0" applyNumberFormat="1" applyFont="1" applyAlignment="1"/>
    <xf numFmtId="2" fontId="1" fillId="0" borderId="1" xfId="0" applyNumberFormat="1" applyFont="1" applyBorder="1" applyAlignment="1"/>
    <xf numFmtId="2" fontId="1" fillId="0" borderId="3" xfId="0" applyNumberFormat="1" applyFont="1" applyBorder="1" applyAlignment="1"/>
    <xf numFmtId="2" fontId="1" fillId="0" borderId="5" xfId="0" applyNumberFormat="1" applyFont="1" applyBorder="1" applyAlignment="1"/>
    <xf numFmtId="1" fontId="4" fillId="0" borderId="32" xfId="0" applyNumberFormat="1" applyFont="1" applyBorder="1" applyAlignment="1" applyProtection="1">
      <alignment horizontal="right"/>
      <protection locked="0"/>
    </xf>
    <xf numFmtId="1" fontId="1" fillId="0" borderId="9" xfId="0" applyNumberFormat="1" applyFont="1" applyBorder="1" applyAlignment="1">
      <alignment horizontal="right"/>
    </xf>
    <xf numFmtId="1" fontId="1" fillId="0" borderId="0" xfId="0" applyNumberFormat="1" applyFont="1" applyAlignment="1">
      <alignment horizontal="right"/>
    </xf>
    <xf numFmtId="2" fontId="7" fillId="0" borderId="32" xfId="0" applyNumberFormat="1" applyFont="1" applyBorder="1" applyAlignment="1">
      <alignment horizontal="right"/>
    </xf>
    <xf numFmtId="2" fontId="5" fillId="0" borderId="1" xfId="0" applyNumberFormat="1" applyFont="1" applyBorder="1" applyAlignment="1"/>
    <xf numFmtId="2" fontId="7" fillId="0" borderId="5" xfId="0" applyNumberFormat="1" applyFont="1" applyBorder="1" applyAlignment="1"/>
    <xf numFmtId="2" fontId="37" fillId="0" borderId="10" xfId="0" applyNumberFormat="1" applyFont="1" applyBorder="1" applyAlignment="1"/>
    <xf numFmtId="2" fontId="7" fillId="0" borderId="8" xfId="0" applyNumberFormat="1" applyFont="1" applyBorder="1" applyAlignment="1"/>
    <xf numFmtId="1" fontId="55" fillId="0" borderId="33" xfId="0" applyNumberFormat="1" applyFont="1" applyFill="1" applyBorder="1" applyAlignment="1" applyProtection="1">
      <protection locked="0"/>
    </xf>
    <xf numFmtId="2" fontId="56" fillId="0" borderId="0" xfId="0" applyNumberFormat="1" applyFont="1" applyAlignment="1"/>
    <xf numFmtId="2" fontId="56" fillId="0" borderId="0" xfId="0" applyNumberFormat="1" applyFont="1" applyAlignment="1" applyProtection="1">
      <protection locked="0"/>
    </xf>
    <xf numFmtId="2" fontId="7" fillId="0" borderId="35" xfId="0" applyNumberFormat="1" applyFont="1" applyBorder="1" applyAlignment="1"/>
    <xf numFmtId="2" fontId="0" fillId="0" borderId="37" xfId="0" applyNumberFormat="1" applyFont="1" applyBorder="1" applyAlignment="1"/>
    <xf numFmtId="1" fontId="57" fillId="0" borderId="40" xfId="0" applyNumberFormat="1" applyFont="1" applyBorder="1" applyAlignment="1" applyProtection="1">
      <alignment horizontal="center"/>
      <protection locked="0"/>
    </xf>
    <xf numFmtId="2" fontId="54" fillId="0" borderId="35" xfId="0" applyNumberFormat="1" applyFont="1" applyBorder="1" applyAlignment="1"/>
    <xf numFmtId="1" fontId="18" fillId="0" borderId="43" xfId="0" applyNumberFormat="1" applyFont="1" applyBorder="1" applyAlignment="1" applyProtection="1">
      <alignment horizontal="center"/>
      <protection locked="0"/>
    </xf>
    <xf numFmtId="2" fontId="7" fillId="0" borderId="44" xfId="0" applyNumberFormat="1" applyFont="1" applyBorder="1" applyAlignment="1"/>
    <xf numFmtId="9" fontId="16" fillId="0" borderId="45" xfId="1" applyFont="1" applyBorder="1" applyAlignment="1">
      <alignment horizontal="center"/>
    </xf>
    <xf numFmtId="1" fontId="17" fillId="18" borderId="47" xfId="0" applyNumberFormat="1" applyFont="1" applyFill="1" applyBorder="1" applyAlignment="1" applyProtection="1">
      <alignment horizontal="center"/>
      <protection locked="0"/>
    </xf>
    <xf numFmtId="2" fontId="16" fillId="3" borderId="48" xfId="0" applyNumberFormat="1" applyFont="1" applyFill="1" applyBorder="1" applyAlignment="1">
      <alignment horizontal="right"/>
    </xf>
    <xf numFmtId="4" fontId="59" fillId="19" borderId="49" xfId="1" applyNumberFormat="1" applyFont="1" applyFill="1" applyBorder="1" applyAlignment="1">
      <alignment horizontal="center"/>
    </xf>
    <xf numFmtId="2" fontId="60" fillId="0" borderId="50" xfId="0" applyNumberFormat="1" applyFont="1" applyBorder="1" applyAlignment="1"/>
    <xf numFmtId="1" fontId="23" fillId="0" borderId="47" xfId="0" applyNumberFormat="1" applyFont="1" applyBorder="1" applyAlignment="1">
      <alignment horizontal="right"/>
    </xf>
    <xf numFmtId="3" fontId="61" fillId="0" borderId="51" xfId="0" applyNumberFormat="1" applyFont="1" applyBorder="1" applyAlignment="1"/>
    <xf numFmtId="3" fontId="18" fillId="18" borderId="0" xfId="0" applyNumberFormat="1" applyFont="1" applyFill="1" applyBorder="1" applyAlignment="1" applyProtection="1">
      <alignment horizontal="center"/>
      <protection locked="0"/>
    </xf>
    <xf numFmtId="3" fontId="17" fillId="18" borderId="0" xfId="0" applyNumberFormat="1" applyFont="1" applyFill="1" applyBorder="1" applyAlignment="1" applyProtection="1">
      <alignment horizontal="center"/>
      <protection locked="0"/>
    </xf>
    <xf numFmtId="173" fontId="62" fillId="0" borderId="53" xfId="0" applyNumberFormat="1" applyFont="1" applyBorder="1" applyAlignment="1">
      <alignment horizontal="right"/>
    </xf>
    <xf numFmtId="3" fontId="63" fillId="0" borderId="0" xfId="0" applyNumberFormat="1" applyFont="1" applyBorder="1" applyAlignment="1">
      <alignment horizontal="left"/>
    </xf>
    <xf numFmtId="3" fontId="62" fillId="0" borderId="0" xfId="0" applyNumberFormat="1" applyFont="1" applyBorder="1" applyAlignment="1">
      <alignment horizontal="right"/>
    </xf>
    <xf numFmtId="2" fontId="64" fillId="20" borderId="55" xfId="0" applyNumberFormat="1" applyFont="1" applyFill="1" applyBorder="1" applyAlignment="1"/>
    <xf numFmtId="2" fontId="65" fillId="20" borderId="56" xfId="0" applyNumberFormat="1" applyFont="1" applyFill="1" applyBorder="1" applyAlignment="1"/>
    <xf numFmtId="1" fontId="66" fillId="20" borderId="57" xfId="0" applyNumberFormat="1" applyFont="1" applyFill="1" applyBorder="1" applyAlignment="1" applyProtection="1">
      <protection locked="0"/>
    </xf>
    <xf numFmtId="3" fontId="65" fillId="20" borderId="0" xfId="0" applyNumberFormat="1" applyFont="1" applyFill="1" applyBorder="1" applyAlignment="1" applyProtection="1">
      <protection locked="0"/>
    </xf>
    <xf numFmtId="2" fontId="35" fillId="0" borderId="0" xfId="0" applyNumberFormat="1" applyFont="1" applyAlignment="1" applyProtection="1">
      <protection locked="0"/>
    </xf>
    <xf numFmtId="2" fontId="5" fillId="0" borderId="6" xfId="0" applyNumberFormat="1" applyFont="1" applyBorder="1" applyAlignment="1"/>
    <xf numFmtId="2" fontId="5" fillId="0" borderId="9" xfId="0" applyNumberFormat="1" applyFont="1" applyBorder="1" applyAlignment="1"/>
    <xf numFmtId="2" fontId="1" fillId="0" borderId="9" xfId="0" applyNumberFormat="1" applyFont="1" applyBorder="1" applyAlignment="1"/>
    <xf numFmtId="2" fontId="1" fillId="13" borderId="9" xfId="0" applyNumberFormat="1" applyFont="1" applyFill="1" applyBorder="1" applyAlignment="1"/>
    <xf numFmtId="1" fontId="7" fillId="6" borderId="58" xfId="0" applyNumberFormat="1" applyFont="1" applyFill="1" applyBorder="1"/>
    <xf numFmtId="2" fontId="7" fillId="6" borderId="59" xfId="0" applyNumberFormat="1" applyFont="1" applyFill="1" applyBorder="1"/>
    <xf numFmtId="2" fontId="7" fillId="13" borderId="60" xfId="0" applyNumberFormat="1" applyFont="1" applyFill="1" applyBorder="1"/>
    <xf numFmtId="1" fontId="7" fillId="5" borderId="61" xfId="0" applyNumberFormat="1" applyFont="1" applyFill="1" applyBorder="1"/>
    <xf numFmtId="2" fontId="7" fillId="5" borderId="59" xfId="0" applyNumberFormat="1" applyFont="1" applyFill="1" applyBorder="1"/>
    <xf numFmtId="1" fontId="7" fillId="21" borderId="61" xfId="0" applyNumberFormat="1" applyFont="1" applyFill="1" applyBorder="1"/>
    <xf numFmtId="2" fontId="7" fillId="21" borderId="59" xfId="0" applyNumberFormat="1" applyFont="1" applyFill="1" applyBorder="1"/>
    <xf numFmtId="2" fontId="7" fillId="22" borderId="60" xfId="0" applyNumberFormat="1" applyFont="1" applyFill="1" applyBorder="1"/>
    <xf numFmtId="1" fontId="7" fillId="6" borderId="61" xfId="0" applyNumberFormat="1" applyFont="1" applyFill="1" applyBorder="1"/>
    <xf numFmtId="9" fontId="7" fillId="5" borderId="59" xfId="1" applyFont="1" applyFill="1" applyBorder="1"/>
    <xf numFmtId="9" fontId="7" fillId="6" borderId="59" xfId="1" applyFont="1" applyFill="1" applyBorder="1"/>
    <xf numFmtId="2" fontId="68" fillId="7" borderId="60" xfId="0" applyNumberFormat="1" applyFont="1" applyFill="1" applyBorder="1"/>
    <xf numFmtId="2" fontId="68" fillId="13" borderId="60" xfId="0" applyNumberFormat="1" applyFont="1" applyFill="1" applyBorder="1"/>
    <xf numFmtId="9" fontId="17" fillId="6" borderId="59" xfId="0" applyNumberFormat="1" applyFont="1" applyFill="1" applyBorder="1" applyAlignment="1" applyProtection="1">
      <protection locked="0"/>
    </xf>
    <xf numFmtId="1" fontId="57" fillId="6" borderId="59" xfId="0" applyNumberFormat="1" applyFont="1" applyFill="1" applyBorder="1" applyAlignment="1" applyProtection="1">
      <protection locked="0"/>
    </xf>
    <xf numFmtId="2" fontId="17" fillId="6" borderId="59" xfId="0" applyNumberFormat="1" applyFont="1" applyFill="1" applyBorder="1" applyProtection="1">
      <protection locked="0"/>
    </xf>
    <xf numFmtId="2" fontId="37" fillId="5" borderId="59" xfId="0" applyNumberFormat="1" applyFont="1" applyFill="1" applyBorder="1"/>
    <xf numFmtId="2" fontId="69" fillId="13" borderId="60" xfId="0" applyNumberFormat="1" applyFont="1" applyFill="1" applyBorder="1"/>
    <xf numFmtId="1" fontId="57" fillId="5" borderId="59" xfId="0" applyNumberFormat="1" applyFont="1" applyFill="1" applyBorder="1" applyAlignment="1" applyProtection="1">
      <protection locked="0"/>
    </xf>
    <xf numFmtId="2" fontId="37" fillId="6" borderId="59" xfId="0" applyNumberFormat="1" applyFont="1" applyFill="1" applyBorder="1"/>
    <xf numFmtId="2" fontId="37" fillId="13" borderId="60" xfId="0" applyNumberFormat="1" applyFont="1" applyFill="1" applyBorder="1"/>
    <xf numFmtId="2" fontId="7" fillId="5" borderId="62" xfId="0" applyNumberFormat="1" applyFont="1" applyFill="1" applyBorder="1"/>
    <xf numFmtId="2" fontId="17" fillId="5" borderId="59" xfId="0" applyNumberFormat="1" applyFont="1" applyFill="1" applyBorder="1" applyProtection="1">
      <protection locked="0"/>
    </xf>
    <xf numFmtId="9" fontId="7" fillId="6" borderId="59" xfId="1" applyFont="1" applyFill="1" applyBorder="1" applyAlignment="1">
      <alignment horizontal="right"/>
    </xf>
    <xf numFmtId="10" fontId="7" fillId="6" borderId="59" xfId="0" applyNumberFormat="1" applyFont="1" applyFill="1" applyBorder="1" applyAlignment="1">
      <alignment horizontal="right"/>
    </xf>
    <xf numFmtId="9" fontId="57" fillId="6" borderId="59" xfId="0" applyNumberFormat="1" applyFont="1" applyFill="1" applyBorder="1" applyAlignment="1" applyProtection="1">
      <protection locked="0"/>
    </xf>
    <xf numFmtId="2" fontId="7" fillId="5" borderId="61" xfId="0" applyNumberFormat="1" applyFont="1" applyFill="1" applyBorder="1"/>
    <xf numFmtId="2" fontId="7" fillId="6" borderId="63" xfId="0" applyNumberFormat="1" applyFont="1" applyFill="1" applyBorder="1"/>
    <xf numFmtId="2" fontId="7" fillId="6" borderId="64" xfId="0" applyNumberFormat="1" applyFont="1" applyFill="1" applyBorder="1"/>
    <xf numFmtId="2" fontId="37" fillId="6" borderId="64" xfId="0" applyNumberFormat="1" applyFont="1" applyFill="1" applyBorder="1"/>
    <xf numFmtId="4" fontId="37" fillId="6" borderId="64" xfId="0" applyNumberFormat="1" applyFont="1" applyFill="1" applyBorder="1"/>
    <xf numFmtId="2" fontId="37" fillId="13" borderId="65" xfId="0" applyNumberFormat="1" applyFont="1" applyFill="1" applyBorder="1"/>
    <xf numFmtId="2" fontId="7" fillId="0" borderId="9" xfId="0" applyNumberFormat="1" applyFont="1" applyBorder="1" applyAlignment="1"/>
    <xf numFmtId="2" fontId="7" fillId="13" borderId="0" xfId="0" applyNumberFormat="1" applyFont="1" applyFill="1" applyAlignment="1"/>
    <xf numFmtId="2" fontId="70" fillId="4" borderId="0" xfId="0" applyNumberFormat="1" applyFont="1" applyFill="1" applyAlignment="1"/>
    <xf numFmtId="2" fontId="70" fillId="4" borderId="0" xfId="0" applyNumberFormat="1" applyFont="1" applyFill="1" applyAlignment="1" applyProtection="1">
      <protection locked="0"/>
    </xf>
    <xf numFmtId="2" fontId="71" fillId="4" borderId="60" xfId="0" applyNumberFormat="1" applyFont="1" applyFill="1" applyBorder="1"/>
    <xf numFmtId="4" fontId="71" fillId="4" borderId="65" xfId="0" applyNumberFormat="1" applyFont="1" applyFill="1" applyBorder="1"/>
    <xf numFmtId="2" fontId="7" fillId="23" borderId="0" xfId="0" applyNumberFormat="1" applyFont="1" applyFill="1" applyAlignment="1"/>
    <xf numFmtId="2" fontId="7" fillId="0" borderId="0" xfId="0" applyNumberFormat="1" applyFont="1" applyAlignment="1" applyProtection="1">
      <protection locked="0"/>
    </xf>
    <xf numFmtId="2" fontId="16" fillId="0" borderId="14" xfId="0" applyNumberFormat="1" applyFont="1" applyBorder="1" applyAlignment="1"/>
    <xf numFmtId="4" fontId="16" fillId="0" borderId="66" xfId="0" applyNumberFormat="1" applyFont="1" applyBorder="1"/>
    <xf numFmtId="2" fontId="7" fillId="0" borderId="0" xfId="0" applyNumberFormat="1" applyFont="1" applyFill="1" applyBorder="1" applyAlignment="1" applyProtection="1">
      <protection locked="0"/>
    </xf>
    <xf numFmtId="2" fontId="16" fillId="0" borderId="0" xfId="0" applyNumberFormat="1" applyFont="1" applyFill="1" applyBorder="1" applyAlignment="1">
      <alignment horizontal="center"/>
    </xf>
    <xf numFmtId="2" fontId="24" fillId="0" borderId="0" xfId="0" applyNumberFormat="1" applyFont="1" applyFill="1" applyBorder="1" applyAlignment="1">
      <alignment horizontal="center"/>
    </xf>
    <xf numFmtId="2" fontId="7" fillId="0" borderId="0" xfId="0" applyNumberFormat="1" applyFont="1" applyFill="1" applyBorder="1" applyAlignment="1"/>
    <xf numFmtId="2" fontId="7" fillId="24" borderId="67" xfId="0" applyNumberFormat="1" applyFont="1" applyFill="1" applyBorder="1" applyAlignment="1">
      <alignment horizontal="left"/>
    </xf>
    <xf numFmtId="4" fontId="23" fillId="24" borderId="68" xfId="0" applyNumberFormat="1" applyFont="1" applyFill="1" applyBorder="1" applyAlignment="1">
      <alignment horizontal="left"/>
    </xf>
    <xf numFmtId="2" fontId="7" fillId="24" borderId="69" xfId="0" applyNumberFormat="1" applyFont="1" applyFill="1" applyBorder="1" applyAlignment="1">
      <alignment horizontal="left"/>
    </xf>
    <xf numFmtId="10" fontId="23" fillId="24" borderId="70" xfId="1" applyNumberFormat="1" applyFont="1" applyFill="1" applyBorder="1" applyAlignment="1">
      <alignment horizontal="center"/>
    </xf>
    <xf numFmtId="2" fontId="7" fillId="0" borderId="9" xfId="0" applyNumberFormat="1" applyFont="1" applyBorder="1" applyAlignment="1">
      <alignment horizontal="left"/>
    </xf>
    <xf numFmtId="2" fontId="1" fillId="0" borderId="9" xfId="0" applyNumberFormat="1" applyFont="1" applyBorder="1" applyAlignment="1">
      <alignment horizontal="left"/>
    </xf>
    <xf numFmtId="2" fontId="37" fillId="25" borderId="71" xfId="0" applyNumberFormat="1" applyFont="1" applyFill="1" applyBorder="1" applyAlignment="1"/>
    <xf numFmtId="4" fontId="23" fillId="26" borderId="68" xfId="0" applyNumberFormat="1" applyFont="1" applyFill="1" applyBorder="1" applyAlignment="1">
      <alignment horizontal="left"/>
    </xf>
    <xf numFmtId="10" fontId="23" fillId="25" borderId="71" xfId="1" applyNumberFormat="1" applyFont="1" applyFill="1" applyBorder="1" applyAlignment="1">
      <alignment horizontal="center"/>
    </xf>
    <xf numFmtId="2" fontId="1" fillId="0" borderId="0" xfId="0" applyNumberFormat="1" applyFont="1" applyBorder="1" applyAlignment="1">
      <alignment horizontal="left"/>
    </xf>
    <xf numFmtId="2" fontId="63" fillId="27" borderId="0" xfId="0" applyNumberFormat="1" applyFont="1" applyFill="1" applyAlignment="1"/>
    <xf numFmtId="1" fontId="37" fillId="27" borderId="0" xfId="0" applyNumberFormat="1" applyFont="1" applyFill="1" applyBorder="1" applyAlignment="1" applyProtection="1"/>
    <xf numFmtId="2" fontId="72" fillId="0" borderId="72" xfId="0" applyNumberFormat="1" applyFont="1" applyFill="1" applyBorder="1" applyAlignment="1" applyProtection="1">
      <protection locked="0"/>
    </xf>
    <xf numFmtId="3" fontId="25" fillId="0" borderId="14" xfId="1" applyNumberFormat="1" applyFont="1" applyFill="1" applyBorder="1" applyAlignment="1" applyProtection="1">
      <protection locked="0"/>
    </xf>
    <xf numFmtId="165" fontId="73" fillId="0" borderId="74" xfId="1" applyNumberFormat="1" applyFont="1" applyFill="1" applyBorder="1" applyAlignment="1" applyProtection="1">
      <protection locked="0"/>
    </xf>
    <xf numFmtId="2" fontId="74" fillId="0" borderId="0" xfId="0" applyNumberFormat="1" applyFont="1" applyAlignment="1"/>
    <xf numFmtId="4" fontId="16" fillId="24" borderId="68" xfId="0" applyNumberFormat="1" applyFont="1" applyFill="1" applyBorder="1" applyAlignment="1">
      <alignment horizontal="left"/>
    </xf>
    <xf numFmtId="2" fontId="75" fillId="0" borderId="0" xfId="0" applyNumberFormat="1" applyFont="1" applyAlignment="1"/>
    <xf numFmtId="2" fontId="76" fillId="0" borderId="0" xfId="0" applyNumberFormat="1" applyFont="1" applyAlignment="1"/>
    <xf numFmtId="2" fontId="71" fillId="4" borderId="0" xfId="0" applyNumberFormat="1" applyFont="1" applyFill="1" applyAlignment="1"/>
    <xf numFmtId="2" fontId="77" fillId="4" borderId="0" xfId="0" applyNumberFormat="1" applyFont="1" applyFill="1" applyAlignment="1"/>
    <xf numFmtId="2" fontId="78" fillId="4" borderId="0" xfId="0" applyNumberFormat="1" applyFont="1" applyFill="1" applyAlignment="1"/>
    <xf numFmtId="2" fontId="7" fillId="28" borderId="76" xfId="0" applyNumberFormat="1" applyFont="1" applyFill="1" applyBorder="1" applyAlignment="1">
      <alignment horizontal="left"/>
    </xf>
    <xf numFmtId="4" fontId="16" fillId="28" borderId="77" xfId="0" applyNumberFormat="1" applyFont="1" applyFill="1" applyBorder="1" applyAlignment="1">
      <alignment horizontal="left"/>
    </xf>
    <xf numFmtId="2" fontId="7" fillId="28" borderId="78" xfId="0" applyNumberFormat="1" applyFont="1" applyFill="1" applyBorder="1" applyAlignment="1">
      <alignment horizontal="left"/>
    </xf>
    <xf numFmtId="165" fontId="1" fillId="28" borderId="79" xfId="1" applyNumberFormat="1" applyFont="1" applyFill="1" applyBorder="1" applyAlignment="1">
      <alignment horizontal="left"/>
    </xf>
    <xf numFmtId="2" fontId="7" fillId="29" borderId="80" xfId="0" applyNumberFormat="1" applyFont="1" applyFill="1" applyBorder="1" applyAlignment="1">
      <alignment horizontal="left"/>
    </xf>
    <xf numFmtId="4" fontId="1" fillId="29" borderId="81" xfId="0" applyNumberFormat="1" applyFont="1" applyFill="1" applyBorder="1" applyAlignment="1">
      <alignment horizontal="left"/>
    </xf>
    <xf numFmtId="2" fontId="7" fillId="29" borderId="82" xfId="0" applyNumberFormat="1" applyFont="1" applyFill="1" applyBorder="1" applyAlignment="1">
      <alignment horizontal="left"/>
    </xf>
    <xf numFmtId="165" fontId="1" fillId="29" borderId="83" xfId="1" applyNumberFormat="1" applyFont="1" applyFill="1" applyBorder="1" applyAlignment="1">
      <alignment horizontal="left"/>
    </xf>
    <xf numFmtId="2" fontId="37" fillId="0" borderId="84" xfId="0" applyNumberFormat="1" applyFont="1" applyBorder="1" applyAlignment="1">
      <alignment horizontal="left"/>
    </xf>
    <xf numFmtId="2" fontId="7" fillId="0" borderId="85" xfId="0" applyNumberFormat="1" applyFont="1" applyBorder="1" applyAlignment="1">
      <alignment horizontal="left"/>
    </xf>
    <xf numFmtId="2" fontId="7" fillId="0" borderId="86" xfId="0" applyNumberFormat="1" applyFont="1" applyBorder="1" applyAlignment="1">
      <alignment horizontal="left"/>
    </xf>
    <xf numFmtId="2" fontId="1" fillId="0" borderId="87" xfId="0" applyNumberFormat="1" applyFont="1" applyBorder="1" applyAlignment="1">
      <alignment horizontal="left"/>
    </xf>
    <xf numFmtId="2" fontId="7" fillId="0" borderId="87" xfId="0" applyNumberFormat="1" applyFont="1" applyBorder="1" applyAlignment="1">
      <alignment horizontal="left"/>
    </xf>
    <xf numFmtId="1" fontId="7" fillId="0" borderId="86" xfId="0" applyNumberFormat="1" applyFont="1" applyBorder="1" applyAlignment="1">
      <alignment horizontal="left"/>
    </xf>
    <xf numFmtId="2" fontId="16" fillId="0" borderId="86" xfId="0" applyNumberFormat="1" applyFont="1" applyBorder="1" applyAlignment="1">
      <alignment horizontal="left"/>
    </xf>
    <xf numFmtId="2" fontId="16" fillId="0" borderId="87" xfId="0" applyNumberFormat="1" applyFont="1" applyBorder="1" applyAlignment="1">
      <alignment horizontal="left"/>
    </xf>
    <xf numFmtId="2" fontId="16" fillId="13" borderId="9" xfId="0" applyNumberFormat="1" applyFont="1" applyFill="1" applyBorder="1" applyAlignment="1"/>
    <xf numFmtId="2" fontId="7" fillId="0" borderId="88" xfId="0" applyNumberFormat="1" applyFont="1" applyBorder="1" applyAlignment="1">
      <alignment horizontal="left"/>
    </xf>
    <xf numFmtId="2" fontId="37" fillId="0" borderId="89" xfId="0" applyNumberFormat="1" applyFont="1" applyBorder="1" applyAlignment="1">
      <alignment horizontal="left"/>
    </xf>
    <xf numFmtId="2" fontId="35" fillId="13" borderId="0" xfId="0" applyNumberFormat="1" applyFont="1" applyFill="1" applyAlignment="1"/>
    <xf numFmtId="167" fontId="35" fillId="0" borderId="0" xfId="0" applyNumberFormat="1" applyFont="1" applyAlignment="1"/>
    <xf numFmtId="2" fontId="1" fillId="0" borderId="71" xfId="0" applyNumberFormat="1" applyFont="1" applyBorder="1" applyAlignment="1"/>
    <xf numFmtId="1" fontId="7" fillId="0" borderId="71" xfId="0" applyNumberFormat="1" applyFont="1" applyBorder="1" applyAlignment="1">
      <alignment horizontal="center"/>
    </xf>
    <xf numFmtId="2" fontId="7" fillId="0" borderId="71" xfId="0" applyNumberFormat="1" applyFont="1" applyBorder="1" applyAlignment="1"/>
    <xf numFmtId="2" fontId="8" fillId="0" borderId="71" xfId="0" applyNumberFormat="1" applyFont="1" applyBorder="1" applyAlignment="1">
      <alignment horizontal="left"/>
    </xf>
    <xf numFmtId="2" fontId="7" fillId="0" borderId="71" xfId="0" applyNumberFormat="1" applyFont="1" applyBorder="1" applyAlignment="1">
      <alignment horizontal="left"/>
    </xf>
    <xf numFmtId="2" fontId="8" fillId="7" borderId="71" xfId="0" applyNumberFormat="1" applyFont="1" applyFill="1" applyBorder="1" applyAlignment="1">
      <alignment horizontal="left"/>
    </xf>
    <xf numFmtId="1" fontId="7" fillId="5" borderId="71" xfId="0" applyNumberFormat="1" applyFont="1" applyFill="1" applyBorder="1" applyAlignment="1">
      <alignment horizontal="center"/>
    </xf>
    <xf numFmtId="2" fontId="7" fillId="5" borderId="71" xfId="0" applyNumberFormat="1" applyFont="1" applyFill="1" applyBorder="1" applyAlignment="1"/>
    <xf numFmtId="2" fontId="8" fillId="5" borderId="71" xfId="0" applyNumberFormat="1" applyFont="1" applyFill="1" applyBorder="1" applyAlignment="1">
      <alignment horizontal="left"/>
    </xf>
    <xf numFmtId="2" fontId="7" fillId="5" borderId="71" xfId="0" applyNumberFormat="1" applyFont="1" applyFill="1" applyBorder="1" applyAlignment="1">
      <alignment horizontal="left"/>
    </xf>
    <xf numFmtId="2" fontId="11" fillId="7" borderId="71" xfId="0" applyNumberFormat="1" applyFont="1" applyFill="1" applyBorder="1" applyAlignment="1">
      <alignment horizontal="left"/>
    </xf>
    <xf numFmtId="2" fontId="8" fillId="21" borderId="71" xfId="0" applyNumberFormat="1" applyFont="1" applyFill="1" applyBorder="1" applyAlignment="1">
      <alignment horizontal="left"/>
    </xf>
    <xf numFmtId="2" fontId="7" fillId="22" borderId="71" xfId="0" applyNumberFormat="1" applyFont="1" applyFill="1" applyBorder="1" applyAlignment="1">
      <alignment horizontal="left"/>
    </xf>
    <xf numFmtId="2" fontId="11" fillId="30" borderId="71" xfId="0" applyNumberFormat="1" applyFont="1" applyFill="1" applyBorder="1" applyAlignment="1">
      <alignment horizontal="left"/>
    </xf>
    <xf numFmtId="1" fontId="0" fillId="0" borderId="71" xfId="0" applyNumberFormat="1" applyFont="1" applyBorder="1" applyAlignment="1">
      <alignment horizontal="center"/>
    </xf>
    <xf numFmtId="2" fontId="0" fillId="0" borderId="71" xfId="0" applyNumberFormat="1" applyFont="1" applyBorder="1" applyAlignment="1"/>
    <xf numFmtId="2" fontId="60" fillId="0" borderId="71" xfId="0" applyNumberFormat="1" applyFont="1" applyBorder="1" applyAlignment="1">
      <alignment horizontal="left"/>
    </xf>
    <xf numFmtId="2" fontId="0" fillId="0" borderId="71" xfId="0" applyNumberFormat="1" applyFont="1" applyBorder="1" applyAlignment="1">
      <alignment horizontal="left"/>
    </xf>
    <xf numFmtId="1" fontId="7" fillId="31" borderId="71" xfId="0" applyNumberFormat="1" applyFont="1" applyFill="1" applyBorder="1" applyAlignment="1">
      <alignment horizontal="center"/>
    </xf>
    <xf numFmtId="2" fontId="7" fillId="31" borderId="71" xfId="0" applyNumberFormat="1" applyFont="1" applyFill="1" applyBorder="1" applyAlignment="1"/>
    <xf numFmtId="2" fontId="7" fillId="31" borderId="71" xfId="0" applyNumberFormat="1" applyFont="1" applyFill="1" applyBorder="1" applyAlignment="1">
      <alignment horizontal="left"/>
    </xf>
    <xf numFmtId="2" fontId="9" fillId="7" borderId="71" xfId="0" applyNumberFormat="1" applyFont="1" applyFill="1" applyBorder="1" applyAlignment="1"/>
    <xf numFmtId="2" fontId="7" fillId="5" borderId="71" xfId="0" applyNumberFormat="1" applyFont="1" applyFill="1" applyBorder="1" applyAlignment="1">
      <alignment horizontal="right"/>
    </xf>
    <xf numFmtId="2" fontId="9" fillId="7" borderId="71" xfId="0" applyNumberFormat="1" applyFont="1" applyFill="1" applyBorder="1" applyAlignment="1">
      <alignment horizontal="right"/>
    </xf>
    <xf numFmtId="2" fontId="1" fillId="5" borderId="71" xfId="0" applyNumberFormat="1" applyFont="1" applyFill="1" applyBorder="1" applyAlignment="1">
      <alignment horizontal="left"/>
    </xf>
    <xf numFmtId="2" fontId="17" fillId="17" borderId="71" xfId="0" applyNumberFormat="1" applyFont="1" applyFill="1" applyBorder="1" applyAlignment="1">
      <alignment horizontal="left"/>
    </xf>
    <xf numFmtId="2" fontId="4" fillId="7" borderId="71" xfId="0" applyNumberFormat="1" applyFont="1" applyFill="1" applyBorder="1" applyAlignment="1">
      <alignment horizontal="right"/>
    </xf>
    <xf numFmtId="2" fontId="79" fillId="32" borderId="71" xfId="0" applyNumberFormat="1" applyFont="1" applyFill="1" applyBorder="1"/>
    <xf numFmtId="9" fontId="17" fillId="0" borderId="71" xfId="1" applyFont="1" applyBorder="1" applyAlignment="1">
      <alignment horizontal="right"/>
    </xf>
    <xf numFmtId="2" fontId="1" fillId="0" borderId="71" xfId="0" applyNumberFormat="1" applyFont="1" applyBorder="1" applyAlignment="1">
      <alignment horizontal="left"/>
    </xf>
    <xf numFmtId="2" fontId="80" fillId="5" borderId="71" xfId="0" applyNumberFormat="1" applyFont="1" applyFill="1" applyBorder="1" applyAlignment="1"/>
    <xf numFmtId="2" fontId="80" fillId="5" borderId="71" xfId="0" applyNumberFormat="1" applyFont="1" applyFill="1" applyBorder="1" applyAlignment="1">
      <alignment horizontal="left"/>
    </xf>
    <xf numFmtId="1" fontId="17" fillId="0" borderId="71" xfId="0" applyNumberFormat="1" applyFont="1" applyBorder="1" applyAlignment="1">
      <alignment horizontal="right"/>
    </xf>
    <xf numFmtId="2" fontId="7" fillId="0" borderId="71" xfId="0" applyNumberFormat="1" applyFont="1" applyBorder="1" applyAlignment="1">
      <alignment horizontal="right"/>
    </xf>
    <xf numFmtId="2" fontId="7" fillId="5" borderId="71" xfId="0" applyNumberFormat="1" applyFont="1" applyFill="1" applyBorder="1" applyAlignment="1">
      <alignment horizontal="center"/>
    </xf>
    <xf numFmtId="2" fontId="4" fillId="5" borderId="71" xfId="0" applyNumberFormat="1" applyFont="1" applyFill="1" applyBorder="1" applyAlignment="1">
      <alignment horizontal="right"/>
    </xf>
    <xf numFmtId="2" fontId="1" fillId="5" borderId="71" xfId="0" applyNumberFormat="1" applyFont="1" applyFill="1" applyBorder="1" applyAlignment="1"/>
    <xf numFmtId="4" fontId="81" fillId="5" borderId="71" xfId="0" applyNumberFormat="1" applyFont="1" applyFill="1" applyBorder="1" applyAlignment="1">
      <alignment horizontal="left"/>
    </xf>
    <xf numFmtId="2" fontId="4" fillId="7" borderId="71" xfId="0" applyNumberFormat="1" applyFont="1" applyFill="1" applyBorder="1" applyAlignment="1"/>
    <xf numFmtId="2" fontId="16" fillId="5" borderId="71" xfId="0" applyNumberFormat="1" applyFont="1" applyFill="1" applyBorder="1" applyAlignment="1">
      <alignment horizontal="right"/>
    </xf>
    <xf numFmtId="2" fontId="7" fillId="7" borderId="71" xfId="0" applyNumberFormat="1" applyFont="1" applyFill="1" applyBorder="1" applyAlignment="1"/>
    <xf numFmtId="2" fontId="16" fillId="5" borderId="71" xfId="0" applyNumberFormat="1" applyFont="1" applyFill="1" applyBorder="1" applyAlignment="1"/>
    <xf numFmtId="2" fontId="16" fillId="7" borderId="71" xfId="0" applyNumberFormat="1" applyFont="1" applyFill="1" applyBorder="1" applyAlignment="1"/>
    <xf numFmtId="10" fontId="7" fillId="5" borderId="71" xfId="0" applyNumberFormat="1" applyFont="1" applyFill="1" applyBorder="1" applyAlignment="1">
      <alignment horizontal="right"/>
    </xf>
    <xf numFmtId="2" fontId="1" fillId="5" borderId="71" xfId="0" applyNumberFormat="1" applyFont="1" applyFill="1" applyBorder="1" applyAlignment="1">
      <alignment horizontal="center"/>
    </xf>
    <xf numFmtId="2" fontId="0" fillId="5" borderId="71" xfId="0" applyNumberFormat="1" applyFont="1" applyFill="1" applyBorder="1" applyAlignment="1">
      <alignment horizontal="right"/>
    </xf>
    <xf numFmtId="2" fontId="4" fillId="5" borderId="71" xfId="0" applyNumberFormat="1" applyFont="1" applyFill="1" applyBorder="1" applyAlignment="1"/>
    <xf numFmtId="2" fontId="7" fillId="0" borderId="71" xfId="0" applyNumberFormat="1" applyFont="1" applyBorder="1" applyAlignment="1">
      <alignment horizontal="center"/>
    </xf>
    <xf numFmtId="2" fontId="57" fillId="5" borderId="71" xfId="0" applyNumberFormat="1" applyFont="1" applyFill="1" applyBorder="1" applyAlignment="1">
      <alignment horizontal="right"/>
    </xf>
    <xf numFmtId="4" fontId="82" fillId="5" borderId="71" xfId="0" applyNumberFormat="1" applyFont="1" applyFill="1" applyBorder="1" applyAlignment="1">
      <alignment horizontal="right"/>
    </xf>
    <xf numFmtId="2" fontId="7" fillId="7" borderId="71" xfId="0" applyNumberFormat="1" applyFont="1" applyFill="1" applyBorder="1" applyAlignment="1">
      <alignment horizontal="right"/>
    </xf>
    <xf numFmtId="2" fontId="16" fillId="0" borderId="71" xfId="0" applyNumberFormat="1" applyFont="1" applyBorder="1" applyAlignment="1"/>
    <xf numFmtId="4" fontId="82" fillId="0" borderId="71" xfId="0" applyNumberFormat="1" applyFont="1" applyBorder="1" applyAlignment="1">
      <alignment horizontal="left"/>
    </xf>
    <xf numFmtId="2" fontId="82" fillId="0" borderId="71" xfId="0" applyNumberFormat="1" applyFont="1" applyBorder="1" applyAlignment="1">
      <alignment horizontal="left"/>
    </xf>
    <xf numFmtId="2" fontId="25" fillId="33" borderId="71" xfId="0" applyNumberFormat="1" applyFont="1" applyFill="1" applyBorder="1" applyAlignment="1"/>
    <xf numFmtId="4" fontId="83" fillId="34" borderId="71" xfId="0" applyNumberFormat="1" applyFont="1" applyFill="1" applyBorder="1" applyAlignment="1">
      <alignment horizontal="left"/>
    </xf>
    <xf numFmtId="10" fontId="83" fillId="34" borderId="71" xfId="1" applyNumberFormat="1" applyFont="1" applyFill="1" applyBorder="1" applyAlignment="1">
      <alignment horizontal="right"/>
    </xf>
    <xf numFmtId="10" fontId="1" fillId="29" borderId="83" xfId="1" applyNumberFormat="1" applyFont="1" applyFill="1" applyBorder="1" applyAlignment="1">
      <alignment horizontal="left"/>
    </xf>
    <xf numFmtId="2" fontId="7" fillId="0" borderId="0" xfId="0" applyNumberFormat="1" applyFont="1" applyAlignment="1">
      <alignment horizontal="left"/>
    </xf>
    <xf numFmtId="2" fontId="84" fillId="0" borderId="0" xfId="0" applyNumberFormat="1" applyFont="1" applyAlignment="1"/>
    <xf numFmtId="2" fontId="0" fillId="0" borderId="0" xfId="0" applyNumberFormat="1" applyFont="1" applyAlignment="1">
      <alignment horizontal="left"/>
    </xf>
    <xf numFmtId="2" fontId="7" fillId="0" borderId="0" xfId="0" applyNumberFormat="1" applyFont="1" applyBorder="1" applyAlignment="1">
      <alignment horizontal="left"/>
    </xf>
    <xf numFmtId="2" fontId="84" fillId="0" borderId="0" xfId="0" applyNumberFormat="1" applyFont="1" applyBorder="1" applyAlignment="1"/>
    <xf numFmtId="2" fontId="7" fillId="0" borderId="0" xfId="0" applyNumberFormat="1" applyFont="1" applyBorder="1" applyAlignment="1">
      <alignment horizontal="center"/>
    </xf>
    <xf numFmtId="2" fontId="55" fillId="0" borderId="0" xfId="0" applyNumberFormat="1" applyFont="1" applyBorder="1" applyAlignment="1"/>
    <xf numFmtId="2" fontId="85" fillId="0" borderId="0" xfId="0" applyNumberFormat="1" applyFont="1" applyAlignment="1"/>
    <xf numFmtId="167" fontId="17" fillId="0" borderId="0" xfId="0" applyNumberFormat="1" applyFont="1" applyBorder="1" applyAlignment="1"/>
    <xf numFmtId="2" fontId="80" fillId="0" borderId="0" xfId="0" applyNumberFormat="1" applyFont="1" applyBorder="1" applyAlignment="1">
      <alignment horizontal="left"/>
    </xf>
    <xf numFmtId="2" fontId="49" fillId="0" borderId="0" xfId="0" applyNumberFormat="1" applyFont="1" applyAlignment="1">
      <alignment horizontal="left"/>
    </xf>
    <xf numFmtId="2" fontId="13" fillId="0" borderId="0" xfId="0" applyNumberFormat="1" applyFont="1" applyAlignment="1">
      <alignment horizontal="left"/>
    </xf>
    <xf numFmtId="164" fontId="7" fillId="0" borderId="0" xfId="0" applyNumberFormat="1" applyFont="1" applyAlignment="1">
      <alignment horizontal="left"/>
    </xf>
    <xf numFmtId="2" fontId="57" fillId="0" borderId="0" xfId="0" applyNumberFormat="1" applyFont="1" applyAlignment="1">
      <alignment horizontal="left"/>
    </xf>
    <xf numFmtId="2" fontId="82" fillId="0" borderId="0" xfId="0" applyNumberFormat="1" applyFont="1" applyAlignment="1">
      <alignment horizontal="left"/>
    </xf>
    <xf numFmtId="2" fontId="57" fillId="0" borderId="0" xfId="0" applyNumberFormat="1" applyFont="1" applyAlignment="1"/>
    <xf numFmtId="2" fontId="1" fillId="0" borderId="0" xfId="0" applyNumberFormat="1" applyFont="1" applyAlignment="1">
      <alignment horizontal="left"/>
    </xf>
    <xf numFmtId="2" fontId="84" fillId="0" borderId="0" xfId="0" applyNumberFormat="1" applyFont="1" applyAlignment="1">
      <alignment horizontal="left"/>
    </xf>
    <xf numFmtId="2" fontId="82" fillId="0" borderId="0" xfId="0" applyNumberFormat="1" applyFont="1" applyAlignment="1">
      <alignment horizontal="right"/>
    </xf>
    <xf numFmtId="2" fontId="86" fillId="0" borderId="0" xfId="0" applyNumberFormat="1" applyFont="1" applyAlignment="1">
      <alignment horizontal="left"/>
    </xf>
    <xf numFmtId="2" fontId="83" fillId="34" borderId="71" xfId="0" applyNumberFormat="1" applyFont="1" applyFill="1" applyBorder="1" applyAlignment="1">
      <alignment horizontal="left"/>
    </xf>
    <xf numFmtId="2" fontId="87" fillId="0" borderId="0" xfId="0" applyNumberFormat="1" applyFont="1" applyAlignment="1"/>
    <xf numFmtId="2" fontId="83" fillId="0" borderId="0" xfId="0" applyNumberFormat="1" applyFont="1" applyAlignment="1">
      <alignment horizontal="left"/>
    </xf>
    <xf numFmtId="2" fontId="83" fillId="0" borderId="0" xfId="0" applyNumberFormat="1" applyFont="1" applyAlignment="1">
      <alignment horizontal="right"/>
    </xf>
    <xf numFmtId="2" fontId="37" fillId="0" borderId="0" xfId="0" applyNumberFormat="1" applyFont="1" applyAlignment="1"/>
    <xf numFmtId="2" fontId="7" fillId="0" borderId="71" xfId="0" applyNumberFormat="1" applyFont="1" applyFill="1" applyBorder="1" applyAlignment="1"/>
    <xf numFmtId="2" fontId="25" fillId="0" borderId="71" xfId="0" applyNumberFormat="1" applyFont="1" applyFill="1" applyBorder="1" applyAlignment="1"/>
    <xf numFmtId="165" fontId="83" fillId="0" borderId="71" xfId="1" applyNumberFormat="1" applyFont="1" applyFill="1" applyBorder="1" applyAlignment="1">
      <alignment horizontal="right"/>
    </xf>
    <xf numFmtId="4" fontId="83" fillId="25" borderId="71" xfId="1" applyNumberFormat="1" applyFont="1" applyFill="1" applyBorder="1" applyAlignment="1">
      <alignment horizontal="left"/>
    </xf>
    <xf numFmtId="10" fontId="83" fillId="35" borderId="71" xfId="1" applyNumberFormat="1" applyFont="1" applyFill="1" applyBorder="1" applyAlignment="1">
      <alignment horizontal="right"/>
    </xf>
    <xf numFmtId="2" fontId="25" fillId="36" borderId="71" xfId="0" applyNumberFormat="1" applyFont="1" applyFill="1" applyBorder="1" applyAlignment="1"/>
    <xf numFmtId="4" fontId="83" fillId="36" borderId="71" xfId="0" applyNumberFormat="1" applyFont="1" applyFill="1" applyBorder="1" applyAlignment="1">
      <alignment horizontal="left"/>
    </xf>
    <xf numFmtId="165" fontId="83" fillId="36" borderId="71" xfId="1" applyNumberFormat="1" applyFont="1" applyFill="1" applyBorder="1" applyAlignment="1">
      <alignment horizontal="right"/>
    </xf>
    <xf numFmtId="2" fontId="82" fillId="0" borderId="71" xfId="0" applyNumberFormat="1" applyFont="1" applyBorder="1" applyAlignment="1">
      <alignment horizontal="right"/>
    </xf>
    <xf numFmtId="2" fontId="1" fillId="0" borderId="71" xfId="0" applyNumberFormat="1" applyFont="1" applyBorder="1" applyAlignment="1">
      <alignment horizontal="right"/>
    </xf>
    <xf numFmtId="2" fontId="37" fillId="0" borderId="71" xfId="0" applyNumberFormat="1" applyFont="1" applyBorder="1" applyAlignment="1"/>
    <xf numFmtId="2" fontId="88" fillId="29" borderId="71" xfId="0" applyNumberFormat="1" applyFont="1" applyFill="1" applyBorder="1" applyAlignment="1"/>
    <xf numFmtId="2" fontId="39" fillId="0" borderId="71" xfId="0" applyNumberFormat="1" applyFont="1" applyBorder="1"/>
    <xf numFmtId="4" fontId="89" fillId="29" borderId="71" xfId="0" applyNumberFormat="1" applyFont="1" applyFill="1" applyBorder="1" applyAlignment="1">
      <alignment horizontal="left"/>
    </xf>
    <xf numFmtId="2" fontId="90" fillId="16" borderId="0" xfId="0" applyNumberFormat="1" applyFont="1" applyFill="1" applyAlignment="1"/>
    <xf numFmtId="1" fontId="91" fillId="0" borderId="0" xfId="0" applyNumberFormat="1" applyFont="1" applyFill="1" applyBorder="1" applyAlignment="1" applyProtection="1">
      <protection locked="0"/>
    </xf>
    <xf numFmtId="1" fontId="92" fillId="0" borderId="0" xfId="0" applyNumberFormat="1" applyFont="1" applyFill="1" applyBorder="1" applyAlignment="1" applyProtection="1">
      <protection locked="0"/>
    </xf>
    <xf numFmtId="17" fontId="7" fillId="0" borderId="0" xfId="0" applyNumberFormat="1" applyFont="1" applyFill="1" applyBorder="1" applyAlignment="1" applyProtection="1">
      <protection locked="0"/>
    </xf>
    <xf numFmtId="3" fontId="7" fillId="0" borderId="0" xfId="0" applyNumberFormat="1" applyFont="1" applyFill="1" applyBorder="1" applyAlignment="1" applyProtection="1">
      <protection locked="0"/>
    </xf>
    <xf numFmtId="3" fontId="7" fillId="0" borderId="0" xfId="1" applyNumberFormat="1" applyFont="1" applyFill="1" applyBorder="1" applyAlignment="1" applyProtection="1">
      <protection locked="0"/>
    </xf>
    <xf numFmtId="3" fontId="30" fillId="0" borderId="0" xfId="0" applyNumberFormat="1" applyFont="1" applyFill="1" applyBorder="1" applyAlignment="1" applyProtection="1">
      <protection locked="0"/>
    </xf>
    <xf numFmtId="1" fontId="17" fillId="0" borderId="15" xfId="0" applyNumberFormat="1" applyFont="1" applyBorder="1" applyAlignment="1" applyProtection="1">
      <alignment horizontal="center"/>
      <protection locked="0"/>
    </xf>
    <xf numFmtId="10" fontId="7" fillId="0" borderId="0" xfId="1" applyNumberFormat="1" applyFont="1" applyFill="1" applyBorder="1" applyAlignment="1" applyProtection="1">
      <protection locked="0"/>
    </xf>
    <xf numFmtId="2" fontId="30" fillId="0" borderId="0" xfId="0" applyNumberFormat="1" applyFont="1" applyFill="1" applyBorder="1" applyAlignment="1" applyProtection="1">
      <protection locked="0"/>
    </xf>
    <xf numFmtId="1" fontId="17" fillId="0" borderId="10" xfId="0" applyNumberFormat="1" applyFont="1" applyBorder="1" applyAlignment="1" applyProtection="1">
      <alignment horizontal="center"/>
      <protection locked="0"/>
    </xf>
    <xf numFmtId="9" fontId="13" fillId="0" borderId="0" xfId="1" applyFont="1" applyFill="1" applyBorder="1" applyAlignment="1" applyProtection="1">
      <protection locked="0"/>
    </xf>
    <xf numFmtId="165" fontId="73" fillId="0" borderId="0" xfId="1" applyNumberFormat="1" applyFont="1" applyFill="1" applyBorder="1" applyAlignment="1" applyProtection="1">
      <protection locked="0"/>
    </xf>
    <xf numFmtId="9" fontId="16" fillId="0" borderId="0" xfId="1" applyFont="1" applyAlignment="1">
      <alignment horizontal="center"/>
    </xf>
    <xf numFmtId="2" fontId="16" fillId="3" borderId="90" xfId="0" applyNumberFormat="1" applyFont="1" applyFill="1" applyBorder="1" applyAlignment="1">
      <alignment horizontal="right"/>
    </xf>
    <xf numFmtId="2" fontId="93" fillId="0" borderId="91" xfId="0" applyNumberFormat="1" applyFont="1" applyBorder="1" applyAlignment="1"/>
    <xf numFmtId="2" fontId="39" fillId="0" borderId="4" xfId="0" applyNumberFormat="1" applyFont="1" applyBorder="1"/>
    <xf numFmtId="1" fontId="16" fillId="0" borderId="4" xfId="0" applyNumberFormat="1" applyFont="1" applyBorder="1" applyAlignment="1" applyProtection="1">
      <alignment horizontal="center"/>
      <protection locked="0"/>
    </xf>
    <xf numFmtId="3" fontId="61" fillId="0" borderId="75" xfId="0" applyNumberFormat="1" applyFont="1" applyBorder="1" applyAlignment="1"/>
    <xf numFmtId="3" fontId="16" fillId="0" borderId="0" xfId="0" applyNumberFormat="1" applyFont="1" applyBorder="1" applyAlignment="1" applyProtection="1">
      <alignment horizontal="center"/>
      <protection locked="0"/>
    </xf>
    <xf numFmtId="1" fontId="17" fillId="0" borderId="92" xfId="0" applyNumberFormat="1" applyFont="1" applyBorder="1" applyAlignment="1" applyProtection="1">
      <alignment horizontal="center"/>
      <protection locked="0"/>
    </xf>
    <xf numFmtId="3" fontId="17" fillId="0" borderId="0" xfId="0" applyNumberFormat="1" applyFont="1" applyBorder="1" applyAlignment="1" applyProtection="1">
      <alignment horizontal="center"/>
      <protection locked="0"/>
    </xf>
    <xf numFmtId="165" fontId="65" fillId="20" borderId="0" xfId="1" applyNumberFormat="1" applyFont="1" applyFill="1" applyBorder="1" applyAlignment="1" applyProtection="1">
      <protection locked="0"/>
    </xf>
    <xf numFmtId="1" fontId="17" fillId="0" borderId="0" xfId="0" applyNumberFormat="1" applyFont="1" applyBorder="1" applyAlignment="1" applyProtection="1">
      <alignment horizontal="center"/>
      <protection locked="0"/>
    </xf>
    <xf numFmtId="1" fontId="17" fillId="0" borderId="0" xfId="0" applyNumberFormat="1" applyFont="1" applyAlignment="1" applyProtection="1">
      <alignment horizontal="center"/>
      <protection locked="0"/>
    </xf>
    <xf numFmtId="164" fontId="17" fillId="0" borderId="0" xfId="0" applyNumberFormat="1" applyFont="1" applyBorder="1" applyAlignment="1" applyProtection="1">
      <alignment horizontal="center"/>
      <protection locked="0"/>
    </xf>
    <xf numFmtId="2" fontId="1" fillId="0" borderId="0" xfId="0" applyNumberFormat="1" applyFont="1" applyAlignment="1">
      <alignment horizontal="center"/>
    </xf>
    <xf numFmtId="2" fontId="23" fillId="0" borderId="8" xfId="0" applyNumberFormat="1" applyFont="1" applyBorder="1" applyAlignment="1">
      <alignment horizontal="right"/>
    </xf>
    <xf numFmtId="2" fontId="23" fillId="0" borderId="0" xfId="0" applyNumberFormat="1" applyFont="1" applyBorder="1" applyAlignment="1">
      <alignment horizontal="right"/>
    </xf>
    <xf numFmtId="2" fontId="7" fillId="12" borderId="0" xfId="0" applyNumberFormat="1" applyFont="1" applyFill="1" applyAlignment="1"/>
    <xf numFmtId="2" fontId="1" fillId="0" borderId="93" xfId="0" applyNumberFormat="1" applyFont="1" applyBorder="1" applyAlignment="1"/>
    <xf numFmtId="2" fontId="1" fillId="0" borderId="2" xfId="0" applyNumberFormat="1" applyFont="1" applyBorder="1" applyAlignment="1"/>
    <xf numFmtId="2" fontId="1" fillId="0" borderId="4" xfId="0" applyNumberFormat="1" applyFont="1" applyBorder="1" applyAlignment="1"/>
    <xf numFmtId="1" fontId="7" fillId="0" borderId="59" xfId="0" applyNumberFormat="1" applyFont="1" applyFill="1" applyBorder="1" applyAlignment="1">
      <alignment horizontal="right"/>
    </xf>
    <xf numFmtId="1" fontId="37" fillId="0" borderId="59" xfId="0" applyNumberFormat="1" applyFont="1" applyFill="1" applyBorder="1" applyAlignment="1">
      <alignment horizontal="right"/>
    </xf>
    <xf numFmtId="2" fontId="7" fillId="0" borderId="59" xfId="0" applyNumberFormat="1" applyFont="1" applyFill="1" applyBorder="1" applyAlignment="1"/>
    <xf numFmtId="2" fontId="7" fillId="6" borderId="59" xfId="0" applyNumberFormat="1" applyFont="1" applyFill="1" applyBorder="1" applyAlignment="1">
      <alignment horizontal="left"/>
    </xf>
    <xf numFmtId="2" fontId="7" fillId="6" borderId="60" xfId="0" applyNumberFormat="1" applyFont="1" applyFill="1" applyBorder="1" applyAlignment="1">
      <alignment horizontal="left"/>
    </xf>
    <xf numFmtId="2" fontId="0" fillId="13" borderId="0" xfId="0" applyNumberFormat="1" applyFont="1" applyFill="1" applyAlignment="1"/>
    <xf numFmtId="1" fontId="7" fillId="5" borderId="59" xfId="0" applyNumberFormat="1" applyFont="1" applyFill="1" applyBorder="1" applyAlignment="1">
      <alignment horizontal="right"/>
    </xf>
    <xf numFmtId="9" fontId="7" fillId="5" borderId="59" xfId="1" applyFont="1" applyFill="1" applyBorder="1" applyAlignment="1">
      <alignment horizontal="right"/>
    </xf>
    <xf numFmtId="2" fontId="7" fillId="5" borderId="59" xfId="0" applyNumberFormat="1" applyFont="1" applyFill="1" applyBorder="1" applyAlignment="1"/>
    <xf numFmtId="2" fontId="7" fillId="5" borderId="59" xfId="0" applyNumberFormat="1" applyFont="1" applyFill="1" applyBorder="1" applyAlignment="1">
      <alignment horizontal="left"/>
    </xf>
    <xf numFmtId="2" fontId="7" fillId="5" borderId="60" xfId="0" applyNumberFormat="1" applyFont="1" applyFill="1" applyBorder="1" applyAlignment="1">
      <alignment horizontal="left"/>
    </xf>
    <xf numFmtId="1" fontId="16" fillId="0" borderId="59" xfId="0" applyNumberFormat="1" applyFont="1" applyFill="1" applyBorder="1" applyAlignment="1">
      <alignment horizontal="right"/>
    </xf>
    <xf numFmtId="2" fontId="7" fillId="0" borderId="59" xfId="0" applyNumberFormat="1" applyFont="1" applyFill="1" applyBorder="1" applyAlignment="1">
      <alignment horizontal="left"/>
    </xf>
    <xf numFmtId="1" fontId="7" fillId="6" borderId="59" xfId="0" applyNumberFormat="1" applyFont="1" applyFill="1" applyBorder="1" applyAlignment="1">
      <alignment horizontal="right"/>
    </xf>
    <xf numFmtId="9" fontId="57" fillId="6" borderId="59" xfId="1" applyNumberFormat="1" applyFont="1" applyFill="1" applyBorder="1" applyAlignment="1" applyProtection="1">
      <alignment horizontal="right"/>
      <protection locked="0"/>
    </xf>
    <xf numFmtId="2" fontId="7" fillId="6" borderId="59" xfId="0" applyNumberFormat="1" applyFont="1" applyFill="1" applyBorder="1" applyAlignment="1"/>
    <xf numFmtId="1" fontId="25" fillId="5" borderId="59" xfId="0" applyNumberFormat="1" applyFont="1" applyFill="1" applyBorder="1" applyAlignment="1">
      <alignment horizontal="right"/>
    </xf>
    <xf numFmtId="2" fontId="16" fillId="5" borderId="60" xfId="0" applyNumberFormat="1" applyFont="1" applyFill="1" applyBorder="1" applyAlignment="1">
      <alignment horizontal="left"/>
    </xf>
    <xf numFmtId="1" fontId="16" fillId="0" borderId="59" xfId="0" applyNumberFormat="1" applyFont="1" applyFill="1" applyBorder="1" applyAlignment="1"/>
    <xf numFmtId="1" fontId="7" fillId="31" borderId="59" xfId="0" applyNumberFormat="1" applyFont="1" applyFill="1" applyBorder="1" applyAlignment="1">
      <alignment horizontal="right"/>
    </xf>
    <xf numFmtId="1" fontId="16" fillId="31" borderId="59" xfId="0" applyNumberFormat="1" applyFont="1" applyFill="1" applyBorder="1" applyAlignment="1" applyProtection="1">
      <alignment horizontal="right"/>
    </xf>
    <xf numFmtId="2" fontId="60" fillId="9" borderId="59" xfId="0" applyNumberFormat="1" applyFont="1" applyFill="1" applyBorder="1" applyAlignment="1"/>
    <xf numFmtId="1" fontId="17" fillId="6" borderId="59" xfId="0" applyNumberFormat="1" applyFont="1" applyFill="1" applyBorder="1" applyAlignment="1"/>
    <xf numFmtId="2" fontId="37" fillId="6" borderId="59" xfId="0" applyNumberFormat="1" applyFont="1" applyFill="1" applyBorder="1" applyAlignment="1"/>
    <xf numFmtId="2" fontId="37" fillId="6" borderId="59" xfId="0" applyNumberFormat="1" applyFont="1" applyFill="1" applyBorder="1" applyAlignment="1">
      <alignment horizontal="left"/>
    </xf>
    <xf numFmtId="1" fontId="1" fillId="5" borderId="59" xfId="0" applyNumberFormat="1" applyFont="1" applyFill="1" applyBorder="1" applyAlignment="1">
      <alignment horizontal="right"/>
    </xf>
    <xf numFmtId="1" fontId="7" fillId="5" borderId="62" xfId="0" applyNumberFormat="1" applyFont="1" applyFill="1" applyBorder="1" applyAlignment="1"/>
    <xf numFmtId="2" fontId="7" fillId="5" borderId="62" xfId="0" applyNumberFormat="1" applyFont="1" applyFill="1" applyBorder="1" applyAlignment="1"/>
    <xf numFmtId="2" fontId="57" fillId="5" borderId="59" xfId="0" applyNumberFormat="1" applyFont="1" applyFill="1" applyBorder="1" applyAlignment="1" applyProtection="1">
      <alignment horizontal="right"/>
      <protection locked="0"/>
    </xf>
    <xf numFmtId="1" fontId="16" fillId="6" borderId="59" xfId="0" applyNumberFormat="1" applyFont="1" applyFill="1" applyBorder="1" applyAlignment="1">
      <alignment horizontal="right"/>
    </xf>
    <xf numFmtId="1" fontId="1" fillId="6" borderId="59" xfId="0" applyNumberFormat="1" applyFont="1" applyFill="1" applyBorder="1" applyAlignment="1">
      <alignment horizontal="right"/>
    </xf>
    <xf numFmtId="1" fontId="7" fillId="6" borderId="59" xfId="0" applyNumberFormat="1" applyFont="1" applyFill="1" applyBorder="1" applyAlignment="1"/>
    <xf numFmtId="1" fontId="0" fillId="5" borderId="59" xfId="0" applyNumberFormat="1" applyFill="1" applyBorder="1"/>
    <xf numFmtId="2" fontId="37" fillId="5" borderId="59" xfId="0" applyNumberFormat="1" applyFont="1" applyFill="1" applyBorder="1" applyAlignment="1"/>
    <xf numFmtId="2" fontId="37" fillId="5" borderId="59" xfId="0" applyNumberFormat="1" applyFont="1" applyFill="1" applyBorder="1" applyAlignment="1">
      <alignment horizontal="left"/>
    </xf>
    <xf numFmtId="1" fontId="1" fillId="6" borderId="59" xfId="0" applyNumberFormat="1" applyFont="1" applyFill="1" applyBorder="1" applyAlignment="1"/>
    <xf numFmtId="2" fontId="57" fillId="6" borderId="59" xfId="0" applyNumberFormat="1" applyFont="1" applyFill="1" applyBorder="1" applyAlignment="1" applyProtection="1">
      <alignment horizontal="left"/>
      <protection locked="0"/>
    </xf>
    <xf numFmtId="2" fontId="7" fillId="6" borderId="60" xfId="0" applyNumberFormat="1" applyFont="1" applyFill="1" applyBorder="1" applyAlignment="1">
      <alignment horizontal="right"/>
    </xf>
    <xf numFmtId="1" fontId="92" fillId="0" borderId="72" xfId="0" applyNumberFormat="1" applyFont="1" applyFill="1" applyBorder="1" applyAlignment="1" applyProtection="1">
      <protection locked="0"/>
    </xf>
    <xf numFmtId="10" fontId="83" fillId="0" borderId="71" xfId="1" applyNumberFormat="1" applyFont="1" applyFill="1" applyBorder="1" applyAlignment="1">
      <alignment horizontal="right"/>
    </xf>
    <xf numFmtId="2" fontId="87" fillId="0" borderId="0" xfId="0" applyNumberFormat="1" applyFont="1" applyFill="1" applyAlignment="1"/>
    <xf numFmtId="2" fontId="83" fillId="0" borderId="0" xfId="0" applyNumberFormat="1" applyFont="1" applyFill="1" applyAlignment="1">
      <alignment horizontal="right"/>
    </xf>
    <xf numFmtId="2" fontId="37" fillId="0" borderId="0" xfId="0" applyNumberFormat="1" applyFont="1" applyFill="1" applyAlignment="1"/>
    <xf numFmtId="2" fontId="83" fillId="36" borderId="71" xfId="0" applyNumberFormat="1" applyFont="1" applyFill="1" applyBorder="1" applyAlignment="1">
      <alignment horizontal="left"/>
    </xf>
    <xf numFmtId="10" fontId="83" fillId="36" borderId="71" xfId="1" applyNumberFormat="1" applyFont="1" applyFill="1" applyBorder="1" applyAlignment="1">
      <alignment horizontal="right"/>
    </xf>
    <xf numFmtId="2" fontId="52" fillId="0" borderId="0" xfId="0" applyNumberFormat="1" applyFont="1" applyAlignment="1">
      <alignment horizontal="right"/>
    </xf>
    <xf numFmtId="2" fontId="22" fillId="0" borderId="0" xfId="0" applyNumberFormat="1" applyFont="1" applyAlignment="1"/>
    <xf numFmtId="2" fontId="95" fillId="0" borderId="0" xfId="0" applyNumberFormat="1" applyFont="1" applyAlignment="1"/>
    <xf numFmtId="2" fontId="96" fillId="0" borderId="0" xfId="0" applyNumberFormat="1" applyFont="1" applyAlignment="1"/>
    <xf numFmtId="2" fontId="93" fillId="0" borderId="0" xfId="0" applyNumberFormat="1" applyFont="1" applyAlignment="1"/>
    <xf numFmtId="2" fontId="97" fillId="0" borderId="0" xfId="0" applyNumberFormat="1" applyFont="1" applyAlignment="1"/>
    <xf numFmtId="2" fontId="7" fillId="5" borderId="60" xfId="0" applyNumberFormat="1" applyFont="1" applyFill="1" applyBorder="1" applyAlignment="1">
      <alignment horizontal="right"/>
    </xf>
    <xf numFmtId="1" fontId="7" fillId="6" borderId="59" xfId="0" applyNumberFormat="1" applyFont="1" applyFill="1" applyBorder="1" applyAlignment="1">
      <alignment horizontal="center"/>
    </xf>
    <xf numFmtId="9" fontId="4" fillId="6" borderId="59" xfId="1" applyNumberFormat="1" applyFont="1" applyFill="1" applyBorder="1" applyAlignment="1" applyProtection="1">
      <alignment horizontal="right"/>
      <protection locked="0"/>
    </xf>
    <xf numFmtId="1" fontId="7" fillId="5" borderId="64" xfId="0" applyNumberFormat="1" applyFont="1" applyFill="1" applyBorder="1" applyAlignment="1">
      <alignment horizontal="center"/>
    </xf>
    <xf numFmtId="9" fontId="4" fillId="5" borderId="64" xfId="1" applyNumberFormat="1" applyFont="1" applyFill="1" applyBorder="1" applyAlignment="1" applyProtection="1">
      <alignment horizontal="right"/>
      <protection locked="0"/>
    </xf>
    <xf numFmtId="2" fontId="7" fillId="5" borderId="64" xfId="0" applyNumberFormat="1" applyFont="1" applyFill="1" applyBorder="1" applyAlignment="1"/>
    <xf numFmtId="2" fontId="7" fillId="5" borderId="64" xfId="0" applyNumberFormat="1" applyFont="1" applyFill="1" applyBorder="1" applyAlignment="1">
      <alignment horizontal="left"/>
    </xf>
    <xf numFmtId="2" fontId="7" fillId="5" borderId="65" xfId="0" applyNumberFormat="1" applyFont="1" applyFill="1" applyBorder="1" applyAlignment="1">
      <alignment horizontal="right"/>
    </xf>
    <xf numFmtId="2" fontId="1" fillId="0" borderId="65" xfId="0" applyNumberFormat="1" applyFont="1" applyBorder="1" applyAlignment="1"/>
    <xf numFmtId="1" fontId="1" fillId="0" borderId="65" xfId="0" applyNumberFormat="1" applyFont="1" applyBorder="1" applyAlignment="1"/>
    <xf numFmtId="2" fontId="37" fillId="0" borderId="65" xfId="0" applyNumberFormat="1" applyFont="1" applyBorder="1" applyAlignment="1">
      <alignment horizontal="left"/>
    </xf>
    <xf numFmtId="2" fontId="7" fillId="0" borderId="65" xfId="0" applyNumberFormat="1" applyFont="1" applyBorder="1" applyAlignment="1">
      <alignment horizontal="left"/>
    </xf>
    <xf numFmtId="4" fontId="37" fillId="0" borderId="65" xfId="0" applyNumberFormat="1" applyFont="1" applyBorder="1" applyAlignment="1">
      <alignment horizontal="right"/>
    </xf>
    <xf numFmtId="2" fontId="7" fillId="0" borderId="9" xfId="0" applyNumberFormat="1" applyFont="1" applyBorder="1" applyAlignment="1">
      <alignment horizontal="right"/>
    </xf>
    <xf numFmtId="2" fontId="70" fillId="4" borderId="0" xfId="0" applyNumberFormat="1" applyFont="1" applyFill="1" applyAlignment="1">
      <alignment horizontal="right"/>
    </xf>
    <xf numFmtId="2" fontId="71" fillId="4" borderId="4" xfId="0" applyNumberFormat="1" applyFont="1" applyFill="1" applyBorder="1" applyAlignment="1"/>
    <xf numFmtId="2" fontId="71" fillId="4" borderId="60" xfId="0" applyNumberFormat="1" applyFont="1" applyFill="1" applyBorder="1" applyAlignment="1">
      <alignment horizontal="left"/>
    </xf>
    <xf numFmtId="4" fontId="71" fillId="4" borderId="65" xfId="0" applyNumberFormat="1" applyFont="1" applyFill="1" applyBorder="1" applyAlignment="1">
      <alignment horizontal="left"/>
    </xf>
    <xf numFmtId="2" fontId="71" fillId="4" borderId="0" xfId="0" applyNumberFormat="1" applyFont="1" applyFill="1" applyBorder="1" applyAlignment="1"/>
    <xf numFmtId="2" fontId="7" fillId="23" borderId="0" xfId="0" applyNumberFormat="1" applyFont="1" applyFill="1" applyAlignment="1">
      <alignment horizontal="right"/>
    </xf>
    <xf numFmtId="2" fontId="16" fillId="0" borderId="0" xfId="0" applyNumberFormat="1" applyFont="1" applyBorder="1" applyAlignment="1"/>
    <xf numFmtId="4" fontId="16" fillId="0" borderId="66" xfId="0" applyNumberFormat="1" applyFont="1" applyBorder="1" applyAlignment="1">
      <alignment horizontal="left"/>
    </xf>
    <xf numFmtId="2" fontId="16" fillId="13" borderId="0" xfId="0" applyNumberFormat="1" applyFont="1" applyFill="1" applyBorder="1" applyAlignment="1"/>
    <xf numFmtId="2" fontId="37" fillId="0" borderId="94" xfId="0" applyNumberFormat="1" applyFont="1" applyBorder="1" applyAlignment="1">
      <alignment horizontal="left"/>
    </xf>
    <xf numFmtId="4" fontId="16" fillId="0" borderId="65" xfId="0" applyNumberFormat="1" applyFont="1" applyBorder="1" applyAlignment="1">
      <alignment horizontal="left"/>
    </xf>
    <xf numFmtId="2" fontId="7" fillId="0" borderId="65" xfId="0" applyNumberFormat="1" applyFont="1" applyBorder="1" applyAlignment="1" applyProtection="1">
      <alignment horizontal="left"/>
      <protection locked="0"/>
    </xf>
    <xf numFmtId="2" fontId="16" fillId="13" borderId="0" xfId="0" applyNumberFormat="1" applyFont="1" applyFill="1" applyAlignment="1"/>
    <xf numFmtId="2" fontId="88" fillId="0" borderId="0" xfId="0" applyNumberFormat="1" applyFont="1" applyAlignment="1"/>
    <xf numFmtId="2" fontId="7" fillId="24" borderId="95" xfId="0" applyNumberFormat="1" applyFont="1" applyFill="1" applyBorder="1" applyAlignment="1">
      <alignment horizontal="left"/>
    </xf>
    <xf numFmtId="2" fontId="88" fillId="13" borderId="0" xfId="0" applyNumberFormat="1" applyFont="1" applyFill="1" applyAlignment="1"/>
    <xf numFmtId="2" fontId="7" fillId="24" borderId="96" xfId="0" applyNumberFormat="1" applyFont="1" applyFill="1" applyBorder="1" applyAlignment="1">
      <alignment horizontal="left"/>
    </xf>
    <xf numFmtId="2" fontId="7" fillId="0" borderId="97" xfId="0" applyNumberFormat="1" applyFont="1" applyBorder="1" applyAlignment="1">
      <alignment horizontal="left"/>
    </xf>
    <xf numFmtId="10" fontId="1" fillId="0" borderId="98" xfId="1" applyNumberFormat="1" applyFont="1" applyFill="1" applyBorder="1" applyAlignment="1">
      <alignment horizontal="left"/>
    </xf>
    <xf numFmtId="2" fontId="7" fillId="28" borderId="99" xfId="0" applyNumberFormat="1" applyFont="1" applyFill="1" applyBorder="1" applyAlignment="1">
      <alignment horizontal="left"/>
    </xf>
    <xf numFmtId="4" fontId="16" fillId="28" borderId="77" xfId="0" applyNumberFormat="1" applyFont="1" applyFill="1" applyBorder="1" applyAlignment="1">
      <alignment horizontal="center"/>
    </xf>
    <xf numFmtId="2" fontId="7" fillId="28" borderId="100" xfId="0" applyNumberFormat="1" applyFont="1" applyFill="1" applyBorder="1" applyAlignment="1">
      <alignment horizontal="left"/>
    </xf>
    <xf numFmtId="10" fontId="16" fillId="28" borderId="79" xfId="1" applyNumberFormat="1" applyFont="1" applyFill="1" applyBorder="1" applyAlignment="1">
      <alignment horizontal="center"/>
    </xf>
    <xf numFmtId="2" fontId="7" fillId="0" borderId="66" xfId="0" applyNumberFormat="1" applyFont="1" applyBorder="1" applyAlignment="1">
      <alignment horizontal="left"/>
    </xf>
    <xf numFmtId="2" fontId="16" fillId="0" borderId="65" xfId="0" applyNumberFormat="1" applyFont="1" applyBorder="1" applyAlignment="1">
      <alignment horizontal="center"/>
    </xf>
    <xf numFmtId="4" fontId="16" fillId="29" borderId="81" xfId="0" applyNumberFormat="1" applyFont="1" applyFill="1" applyBorder="1" applyAlignment="1">
      <alignment horizontal="center"/>
    </xf>
    <xf numFmtId="10" fontId="16" fillId="29" borderId="83" xfId="1" applyNumberFormat="1" applyFont="1" applyFill="1" applyBorder="1" applyAlignment="1">
      <alignment horizontal="center"/>
    </xf>
    <xf numFmtId="4" fontId="1" fillId="0" borderId="87" xfId="0" applyNumberFormat="1" applyFont="1" applyBorder="1" applyAlignment="1">
      <alignment horizontal="left"/>
    </xf>
    <xf numFmtId="2" fontId="7" fillId="37" borderId="86" xfId="0" applyNumberFormat="1" applyFont="1" applyFill="1" applyBorder="1" applyAlignment="1">
      <alignment horizontal="left"/>
    </xf>
    <xf numFmtId="2" fontId="7" fillId="37" borderId="87" xfId="0" applyNumberFormat="1" applyFont="1" applyFill="1" applyBorder="1" applyAlignment="1">
      <alignment horizontal="left"/>
    </xf>
    <xf numFmtId="2" fontId="88" fillId="0" borderId="0" xfId="0" applyNumberFormat="1" applyFont="1" applyAlignment="1" applyProtection="1">
      <protection locked="0"/>
    </xf>
    <xf numFmtId="2" fontId="1" fillId="37" borderId="87" xfId="0" applyNumberFormat="1" applyFont="1" applyFill="1" applyBorder="1" applyAlignment="1">
      <alignment horizontal="left"/>
    </xf>
    <xf numFmtId="2" fontId="37" fillId="6" borderId="86" xfId="0" applyNumberFormat="1" applyFont="1" applyFill="1" applyBorder="1" applyAlignment="1">
      <alignment horizontal="left"/>
    </xf>
    <xf numFmtId="2" fontId="7" fillId="37" borderId="88" xfId="0" applyNumberFormat="1" applyFont="1" applyFill="1" applyBorder="1" applyAlignment="1">
      <alignment horizontal="left"/>
    </xf>
    <xf numFmtId="4" fontId="37" fillId="37" borderId="89" xfId="0" applyNumberFormat="1" applyFont="1" applyFill="1" applyBorder="1" applyAlignment="1">
      <alignment horizontal="left"/>
    </xf>
    <xf numFmtId="2" fontId="98" fillId="20" borderId="0" xfId="0" applyNumberFormat="1" applyFont="1" applyFill="1" applyAlignment="1"/>
    <xf numFmtId="2" fontId="98" fillId="39" borderId="0" xfId="0" applyNumberFormat="1" applyFont="1" applyFill="1" applyAlignment="1"/>
    <xf numFmtId="164" fontId="98" fillId="20" borderId="0" xfId="0" applyNumberFormat="1" applyFont="1" applyFill="1" applyAlignment="1"/>
    <xf numFmtId="1" fontId="7" fillId="5" borderId="71" xfId="0" applyNumberFormat="1" applyFont="1" applyFill="1" applyBorder="1" applyAlignment="1">
      <alignment horizontal="right"/>
    </xf>
    <xf numFmtId="2" fontId="37" fillId="5" borderId="71" xfId="0" applyNumberFormat="1" applyFont="1" applyFill="1" applyBorder="1" applyAlignment="1">
      <alignment horizontal="right"/>
    </xf>
    <xf numFmtId="2" fontId="7" fillId="40" borderId="71" xfId="0" applyNumberFormat="1" applyFont="1" applyFill="1" applyBorder="1" applyAlignment="1"/>
    <xf numFmtId="1" fontId="7" fillId="0" borderId="71" xfId="0" applyNumberFormat="1" applyFont="1" applyBorder="1" applyAlignment="1">
      <alignment horizontal="right"/>
    </xf>
    <xf numFmtId="9" fontId="7" fillId="0" borderId="71" xfId="1" applyFont="1" applyBorder="1" applyAlignment="1">
      <alignment horizontal="right"/>
    </xf>
    <xf numFmtId="2" fontId="7" fillId="13" borderId="71" xfId="0" applyNumberFormat="1" applyFont="1" applyFill="1" applyBorder="1" applyAlignment="1"/>
    <xf numFmtId="2" fontId="7" fillId="5" borderId="101" xfId="0" applyNumberFormat="1" applyFont="1" applyFill="1" applyBorder="1" applyAlignment="1"/>
    <xf numFmtId="2" fontId="7" fillId="0" borderId="101" xfId="0" applyNumberFormat="1" applyFont="1" applyBorder="1" applyAlignment="1"/>
    <xf numFmtId="2" fontId="7" fillId="40" borderId="71" xfId="0" applyNumberFormat="1" applyFont="1" applyFill="1" applyBorder="1" applyAlignment="1">
      <alignment horizontal="left"/>
    </xf>
    <xf numFmtId="167" fontId="7" fillId="5" borderId="71" xfId="0" applyNumberFormat="1" applyFont="1" applyFill="1" applyBorder="1" applyAlignment="1"/>
    <xf numFmtId="9" fontId="17" fillId="31" borderId="71" xfId="1" applyFont="1" applyFill="1" applyBorder="1" applyAlignment="1">
      <alignment horizontal="right"/>
    </xf>
    <xf numFmtId="2" fontId="25" fillId="5" borderId="71" xfId="0" applyNumberFormat="1" applyFont="1" applyFill="1" applyBorder="1" applyAlignment="1">
      <alignment horizontal="right"/>
    </xf>
    <xf numFmtId="2" fontId="37" fillId="31" borderId="71" xfId="0" applyNumberFormat="1" applyFont="1" applyFill="1" applyBorder="1" applyAlignment="1">
      <alignment horizontal="right"/>
    </xf>
    <xf numFmtId="2" fontId="60" fillId="41" borderId="71" xfId="0" applyNumberFormat="1" applyFont="1" applyFill="1" applyBorder="1" applyAlignment="1"/>
    <xf numFmtId="2" fontId="17" fillId="0" borderId="71" xfId="0" applyNumberFormat="1" applyFont="1" applyBorder="1" applyAlignment="1"/>
    <xf numFmtId="2" fontId="37" fillId="0" borderId="71" xfId="0" applyNumberFormat="1" applyFont="1" applyBorder="1" applyAlignment="1">
      <alignment horizontal="right"/>
    </xf>
    <xf numFmtId="2" fontId="37" fillId="13" borderId="71" xfId="0" applyNumberFormat="1" applyFont="1" applyFill="1" applyBorder="1" applyAlignment="1"/>
    <xf numFmtId="1" fontId="1" fillId="0" borderId="71" xfId="0" applyNumberFormat="1" applyFont="1" applyBorder="1" applyAlignment="1">
      <alignment horizontal="right"/>
    </xf>
    <xf numFmtId="2" fontId="57" fillId="31" borderId="71" xfId="0" applyNumberFormat="1" applyFont="1" applyFill="1" applyBorder="1" applyAlignment="1">
      <alignment horizontal="right"/>
    </xf>
    <xf numFmtId="2" fontId="25" fillId="0" borderId="71" xfId="0" applyNumberFormat="1" applyFont="1" applyBorder="1" applyAlignment="1"/>
    <xf numFmtId="2" fontId="25" fillId="13" borderId="71" xfId="0" applyNumberFormat="1" applyFont="1" applyFill="1" applyBorder="1" applyAlignment="1"/>
    <xf numFmtId="2" fontId="16" fillId="0" borderId="71" xfId="0" applyNumberFormat="1" applyFont="1" applyBorder="1" applyAlignment="1">
      <alignment horizontal="right"/>
    </xf>
    <xf numFmtId="167" fontId="7" fillId="0" borderId="71" xfId="0" applyNumberFormat="1" applyFont="1" applyBorder="1" applyAlignment="1">
      <alignment horizontal="right"/>
    </xf>
    <xf numFmtId="2" fontId="57" fillId="0" borderId="71" xfId="0" applyNumberFormat="1" applyFont="1" applyBorder="1" applyAlignment="1"/>
    <xf numFmtId="2" fontId="82" fillId="5" borderId="71" xfId="0" applyNumberFormat="1" applyFont="1" applyFill="1" applyBorder="1" applyAlignment="1">
      <alignment horizontal="left"/>
    </xf>
    <xf numFmtId="2" fontId="16" fillId="40" borderId="71" xfId="0" applyNumberFormat="1" applyFont="1" applyFill="1" applyBorder="1" applyAlignment="1"/>
    <xf numFmtId="2" fontId="47" fillId="31" borderId="71" xfId="0" applyNumberFormat="1" applyFont="1" applyFill="1" applyBorder="1" applyAlignment="1">
      <alignment horizontal="right"/>
    </xf>
    <xf numFmtId="164" fontId="7" fillId="0" borderId="71" xfId="0" applyNumberFormat="1" applyFont="1" applyBorder="1" applyAlignment="1"/>
    <xf numFmtId="164" fontId="12" fillId="0" borderId="71" xfId="0" applyNumberFormat="1" applyFont="1" applyBorder="1" applyAlignment="1">
      <alignment horizontal="left"/>
    </xf>
    <xf numFmtId="9" fontId="7" fillId="5" borderId="71" xfId="1" applyFont="1" applyFill="1" applyBorder="1" applyAlignment="1">
      <alignment horizontal="right"/>
    </xf>
    <xf numFmtId="2" fontId="7" fillId="13" borderId="71" xfId="0" applyNumberFormat="1" applyFont="1" applyFill="1" applyBorder="1" applyAlignment="1">
      <alignment horizontal="left"/>
    </xf>
    <xf numFmtId="2" fontId="16" fillId="13" borderId="71" xfId="0" applyNumberFormat="1" applyFont="1" applyFill="1" applyBorder="1" applyAlignment="1"/>
    <xf numFmtId="4" fontId="99" fillId="0" borderId="71" xfId="0" applyNumberFormat="1" applyFont="1" applyBorder="1" applyAlignment="1">
      <alignment horizontal="center"/>
    </xf>
    <xf numFmtId="2" fontId="7" fillId="23" borderId="71" xfId="0" applyNumberFormat="1" applyFont="1" applyFill="1" applyBorder="1" applyAlignment="1">
      <alignment horizontal="right"/>
    </xf>
    <xf numFmtId="2" fontId="99" fillId="0" borderId="71" xfId="0" applyNumberFormat="1" applyFont="1" applyBorder="1" applyAlignment="1">
      <alignment horizontal="center"/>
    </xf>
    <xf numFmtId="2" fontId="88" fillId="0" borderId="71" xfId="0" applyNumberFormat="1" applyFont="1" applyBorder="1" applyAlignment="1"/>
    <xf numFmtId="2" fontId="88" fillId="13" borderId="71" xfId="0" applyNumberFormat="1" applyFont="1" applyFill="1" applyBorder="1" applyAlignment="1"/>
    <xf numFmtId="2" fontId="7" fillId="0" borderId="71" xfId="0" applyNumberFormat="1" applyFont="1" applyFill="1" applyBorder="1" applyAlignment="1">
      <alignment horizontal="center"/>
    </xf>
    <xf numFmtId="2" fontId="16" fillId="0" borderId="71" xfId="0" applyNumberFormat="1" applyFont="1" applyFill="1" applyBorder="1" applyAlignment="1"/>
    <xf numFmtId="2" fontId="88" fillId="0" borderId="71" xfId="0" applyNumberFormat="1" applyFont="1" applyFill="1" applyBorder="1" applyAlignment="1"/>
    <xf numFmtId="2" fontId="83" fillId="0" borderId="71" xfId="0" applyNumberFormat="1" applyFont="1" applyBorder="1" applyAlignment="1">
      <alignment horizontal="right"/>
    </xf>
    <xf numFmtId="4" fontId="100" fillId="29" borderId="71" xfId="0" applyNumberFormat="1" applyFont="1" applyFill="1" applyBorder="1" applyAlignment="1">
      <alignment horizontal="left"/>
    </xf>
    <xf numFmtId="2" fontId="24" fillId="38" borderId="0" xfId="0" applyNumberFormat="1" applyFont="1" applyFill="1" applyAlignment="1"/>
    <xf numFmtId="17" fontId="37" fillId="0" borderId="0" xfId="0" applyNumberFormat="1" applyFont="1" applyFill="1" applyBorder="1" applyAlignment="1" applyProtection="1">
      <alignment horizontal="center"/>
      <protection locked="0"/>
    </xf>
    <xf numFmtId="17" fontId="37" fillId="0" borderId="14" xfId="0" applyNumberFormat="1" applyFont="1" applyFill="1" applyBorder="1" applyAlignment="1" applyProtection="1">
      <alignment horizontal="center"/>
      <protection locked="0"/>
    </xf>
    <xf numFmtId="2" fontId="60" fillId="0" borderId="0" xfId="0" applyNumberFormat="1" applyFont="1" applyAlignment="1"/>
    <xf numFmtId="2" fontId="0" fillId="0" borderId="0" xfId="0" applyNumberFormat="1" applyFont="1" applyFill="1" applyBorder="1" applyAlignment="1" applyProtection="1">
      <protection locked="0"/>
    </xf>
    <xf numFmtId="9" fontId="16" fillId="0" borderId="8" xfId="1" applyFont="1" applyBorder="1" applyAlignment="1">
      <alignment horizontal="center"/>
    </xf>
    <xf numFmtId="2" fontId="0" fillId="0" borderId="50" xfId="0" applyNumberFormat="1" applyFont="1" applyBorder="1" applyAlignment="1"/>
    <xf numFmtId="2" fontId="40" fillId="29" borderId="91" xfId="0" applyNumberFormat="1" applyFont="1" applyFill="1" applyBorder="1" applyAlignment="1"/>
    <xf numFmtId="1" fontId="16" fillId="29" borderId="2" xfId="0" applyNumberFormat="1" applyFont="1" applyFill="1" applyBorder="1" applyAlignment="1">
      <alignment horizontal="center"/>
    </xf>
    <xf numFmtId="4" fontId="61" fillId="0" borderId="75" xfId="0" applyNumberFormat="1" applyFont="1" applyBorder="1" applyAlignment="1"/>
    <xf numFmtId="3" fontId="16" fillId="29" borderId="0" xfId="0" applyNumberFormat="1" applyFont="1" applyFill="1" applyBorder="1" applyAlignment="1">
      <alignment horizontal="center"/>
    </xf>
    <xf numFmtId="1" fontId="17" fillId="29" borderId="102" xfId="0" applyNumberFormat="1" applyFont="1" applyFill="1" applyBorder="1" applyAlignment="1" applyProtection="1">
      <alignment horizontal="center"/>
      <protection locked="0"/>
    </xf>
    <xf numFmtId="3" fontId="17" fillId="29" borderId="0" xfId="0" applyNumberFormat="1" applyFont="1" applyFill="1" applyBorder="1" applyAlignment="1" applyProtection="1">
      <alignment horizontal="center"/>
      <protection locked="0"/>
    </xf>
    <xf numFmtId="1" fontId="17" fillId="29" borderId="103" xfId="0" applyNumberFormat="1" applyFont="1" applyFill="1" applyBorder="1" applyAlignment="1" applyProtection="1">
      <alignment horizontal="center"/>
      <protection locked="0"/>
    </xf>
    <xf numFmtId="1" fontId="4" fillId="7" borderId="0" xfId="0" applyNumberFormat="1" applyFont="1" applyFill="1" applyAlignment="1" applyProtection="1">
      <alignment horizontal="center"/>
      <protection locked="0"/>
    </xf>
    <xf numFmtId="2" fontId="23" fillId="0" borderId="0" xfId="0" applyNumberFormat="1" applyFont="1" applyAlignment="1">
      <alignment horizontal="right"/>
    </xf>
    <xf numFmtId="2" fontId="35" fillId="42" borderId="0" xfId="0" applyNumberFormat="1" applyFont="1" applyFill="1" applyAlignment="1"/>
    <xf numFmtId="2" fontId="102" fillId="12" borderId="0" xfId="0" applyNumberFormat="1" applyFont="1" applyFill="1" applyAlignment="1"/>
    <xf numFmtId="2" fontId="35" fillId="12" borderId="0" xfId="0" applyNumberFormat="1" applyFont="1" applyFill="1" applyAlignment="1"/>
    <xf numFmtId="2" fontId="1" fillId="13" borderId="4" xfId="0" applyNumberFormat="1" applyFont="1" applyFill="1" applyBorder="1" applyAlignment="1"/>
    <xf numFmtId="1" fontId="37" fillId="6" borderId="59" xfId="0" applyNumberFormat="1" applyFont="1" applyFill="1" applyBorder="1" applyAlignment="1">
      <alignment horizontal="right"/>
    </xf>
    <xf numFmtId="2" fontId="7" fillId="6" borderId="59" xfId="0" applyNumberFormat="1" applyFont="1" applyFill="1" applyBorder="1" applyAlignment="1">
      <alignment horizontal="right"/>
    </xf>
    <xf numFmtId="2" fontId="7" fillId="13" borderId="60" xfId="0" applyNumberFormat="1" applyFont="1" applyFill="1" applyBorder="1" applyAlignment="1">
      <alignment horizontal="right"/>
    </xf>
    <xf numFmtId="2" fontId="7" fillId="40" borderId="60" xfId="0" applyNumberFormat="1" applyFont="1" applyFill="1" applyBorder="1" applyAlignment="1"/>
    <xf numFmtId="2" fontId="7" fillId="13" borderId="60" xfId="0" applyNumberFormat="1" applyFont="1" applyFill="1" applyBorder="1" applyAlignment="1"/>
    <xf numFmtId="9" fontId="7" fillId="0" borderId="59" xfId="1" applyFont="1" applyFill="1" applyBorder="1" applyAlignment="1">
      <alignment horizontal="right"/>
    </xf>
    <xf numFmtId="1" fontId="16" fillId="5" borderId="59" xfId="0" applyNumberFormat="1" applyFont="1" applyFill="1" applyBorder="1" applyAlignment="1"/>
    <xf numFmtId="1" fontId="37" fillId="31" borderId="59" xfId="0" applyNumberFormat="1" applyFont="1" applyFill="1" applyBorder="1" applyAlignment="1" applyProtection="1">
      <alignment horizontal="right"/>
    </xf>
    <xf numFmtId="2" fontId="60" fillId="41" borderId="60" xfId="0" applyNumberFormat="1" applyFont="1" applyFill="1" applyBorder="1" applyAlignment="1"/>
    <xf numFmtId="1" fontId="17" fillId="0" borderId="59" xfId="0" applyNumberFormat="1" applyFont="1" applyFill="1" applyBorder="1" applyAlignment="1"/>
    <xf numFmtId="2" fontId="16" fillId="0" borderId="59" xfId="0" applyNumberFormat="1" applyFont="1" applyFill="1" applyBorder="1" applyAlignment="1">
      <alignment horizontal="right"/>
    </xf>
    <xf numFmtId="2" fontId="16" fillId="0" borderId="60" xfId="0" applyNumberFormat="1" applyFont="1" applyFill="1" applyBorder="1" applyAlignment="1">
      <alignment horizontal="right"/>
    </xf>
    <xf numFmtId="1" fontId="7" fillId="5" borderId="59" xfId="0" applyNumberFormat="1" applyFont="1" applyFill="1" applyBorder="1" applyAlignment="1"/>
    <xf numFmtId="2" fontId="17" fillId="5" borderId="59" xfId="0" applyNumberFormat="1" applyFont="1" applyFill="1" applyBorder="1" applyAlignment="1" applyProtection="1">
      <protection locked="0"/>
    </xf>
    <xf numFmtId="1" fontId="1" fillId="0" borderId="59" xfId="0" applyNumberFormat="1" applyFont="1" applyFill="1" applyBorder="1" applyAlignment="1">
      <alignment horizontal="right"/>
    </xf>
    <xf numFmtId="1" fontId="7" fillId="0" borderId="59" xfId="0" applyNumberFormat="1" applyFont="1" applyFill="1" applyBorder="1" applyAlignment="1"/>
    <xf numFmtId="1" fontId="16" fillId="5" borderId="59" xfId="0" applyNumberFormat="1" applyFont="1" applyFill="1" applyBorder="1" applyAlignment="1">
      <alignment horizontal="right"/>
    </xf>
    <xf numFmtId="2" fontId="7" fillId="0" borderId="60" xfId="0" applyNumberFormat="1" applyFont="1" applyFill="1" applyBorder="1" applyAlignment="1"/>
    <xf numFmtId="2" fontId="86" fillId="0" borderId="0" xfId="0" applyNumberFormat="1" applyFont="1" applyAlignment="1">
      <alignment horizontal="center"/>
    </xf>
    <xf numFmtId="2" fontId="103" fillId="0" borderId="0" xfId="0" applyNumberFormat="1" applyFont="1" applyAlignment="1"/>
    <xf numFmtId="2" fontId="103" fillId="0" borderId="0" xfId="0" applyNumberFormat="1" applyFont="1" applyFill="1" applyAlignment="1"/>
    <xf numFmtId="2" fontId="104" fillId="0" borderId="0" xfId="0" applyNumberFormat="1" applyFont="1" applyAlignment="1"/>
    <xf numFmtId="2" fontId="16" fillId="0" borderId="0" xfId="0" applyNumberFormat="1" applyFont="1" applyAlignment="1">
      <alignment horizontal="right"/>
    </xf>
    <xf numFmtId="2" fontId="61" fillId="0" borderId="0" xfId="0" applyNumberFormat="1" applyFont="1" applyAlignment="1"/>
    <xf numFmtId="2" fontId="105" fillId="0" borderId="0" xfId="0" applyNumberFormat="1" applyFont="1" applyAlignment="1"/>
    <xf numFmtId="1" fontId="0" fillId="6" borderId="59" xfId="0" applyNumberFormat="1" applyFill="1" applyBorder="1"/>
    <xf numFmtId="2" fontId="16" fillId="6" borderId="59" xfId="0" applyNumberFormat="1" applyFont="1" applyFill="1" applyBorder="1" applyAlignment="1"/>
    <xf numFmtId="4" fontId="16" fillId="6" borderId="59" xfId="0" applyNumberFormat="1" applyFont="1" applyFill="1" applyBorder="1" applyAlignment="1"/>
    <xf numFmtId="2" fontId="16" fillId="13" borderId="60" xfId="0" applyNumberFormat="1" applyFont="1" applyFill="1" applyBorder="1" applyAlignment="1"/>
    <xf numFmtId="1" fontId="1" fillId="5" borderId="59" xfId="0" applyNumberFormat="1" applyFont="1" applyFill="1" applyBorder="1" applyAlignment="1"/>
    <xf numFmtId="2" fontId="7" fillId="13" borderId="60" xfId="0" applyNumberFormat="1" applyFont="1" applyFill="1" applyBorder="1" applyAlignment="1">
      <alignment horizontal="left"/>
    </xf>
    <xf numFmtId="1" fontId="7" fillId="5" borderId="59" xfId="0" applyNumberFormat="1" applyFont="1" applyFill="1" applyBorder="1" applyAlignment="1">
      <alignment horizontal="center"/>
    </xf>
    <xf numFmtId="9" fontId="4" fillId="5" borderId="59" xfId="1" applyNumberFormat="1" applyFont="1" applyFill="1" applyBorder="1" applyAlignment="1" applyProtection="1">
      <alignment horizontal="right"/>
      <protection locked="0"/>
    </xf>
    <xf numFmtId="2" fontId="7" fillId="5" borderId="59" xfId="0" applyNumberFormat="1" applyFont="1" applyFill="1" applyBorder="1" applyAlignment="1">
      <alignment horizontal="right"/>
    </xf>
    <xf numFmtId="2" fontId="7" fillId="40" borderId="60" xfId="0" applyNumberFormat="1" applyFont="1" applyFill="1" applyBorder="1" applyAlignment="1">
      <alignment horizontal="left"/>
    </xf>
    <xf numFmtId="2" fontId="1" fillId="5" borderId="64" xfId="0" applyNumberFormat="1" applyFont="1" applyFill="1" applyBorder="1" applyAlignment="1"/>
    <xf numFmtId="2" fontId="16" fillId="5" borderId="64" xfId="0" applyNumberFormat="1" applyFont="1" applyFill="1" applyBorder="1" applyAlignment="1"/>
    <xf numFmtId="2" fontId="16" fillId="40" borderId="65" xfId="0" applyNumberFormat="1" applyFont="1" applyFill="1" applyBorder="1" applyAlignment="1"/>
    <xf numFmtId="2" fontId="7" fillId="0" borderId="65" xfId="0" applyNumberFormat="1" applyFont="1" applyBorder="1" applyAlignment="1"/>
    <xf numFmtId="2" fontId="7" fillId="13" borderId="65" xfId="0" applyNumberFormat="1" applyFont="1" applyFill="1" applyBorder="1" applyAlignment="1"/>
    <xf numFmtId="2" fontId="24" fillId="4" borderId="0" xfId="0" applyNumberFormat="1" applyFont="1" applyFill="1" applyAlignment="1"/>
    <xf numFmtId="2" fontId="24" fillId="4" borderId="0" xfId="0" applyNumberFormat="1" applyFont="1" applyFill="1" applyAlignment="1">
      <alignment horizontal="left"/>
    </xf>
    <xf numFmtId="2" fontId="23" fillId="4" borderId="0" xfId="0" applyNumberFormat="1" applyFont="1" applyFill="1" applyAlignment="1"/>
    <xf numFmtId="2" fontId="23" fillId="4" borderId="65" xfId="0" applyNumberFormat="1" applyFont="1" applyFill="1" applyBorder="1" applyAlignment="1">
      <alignment horizontal="left"/>
    </xf>
    <xf numFmtId="4" fontId="23" fillId="4" borderId="65" xfId="0" applyNumberFormat="1" applyFont="1" applyFill="1" applyBorder="1" applyAlignment="1">
      <alignment horizontal="left"/>
    </xf>
    <xf numFmtId="2" fontId="7" fillId="23" borderId="0" xfId="0" applyNumberFormat="1" applyFont="1" applyFill="1" applyAlignment="1">
      <alignment horizontal="left"/>
    </xf>
    <xf numFmtId="2" fontId="37" fillId="0" borderId="0" xfId="0" applyNumberFormat="1" applyFont="1" applyBorder="1" applyAlignment="1">
      <alignment horizontal="left"/>
    </xf>
    <xf numFmtId="2" fontId="7" fillId="0" borderId="9" xfId="0" applyNumberFormat="1" applyFont="1" applyBorder="1" applyAlignment="1" applyProtection="1">
      <alignment horizontal="left"/>
      <protection locked="0"/>
    </xf>
    <xf numFmtId="10" fontId="16" fillId="24" borderId="70" xfId="1" applyNumberFormat="1" applyFont="1" applyFill="1" applyBorder="1" applyAlignment="1">
      <alignment horizontal="center"/>
    </xf>
    <xf numFmtId="169" fontId="7" fillId="0" borderId="0" xfId="0" applyNumberFormat="1" applyFont="1" applyFill="1" applyBorder="1" applyAlignment="1" applyProtection="1">
      <protection locked="0"/>
    </xf>
    <xf numFmtId="169" fontId="16" fillId="0" borderId="0" xfId="0" applyNumberFormat="1" applyFont="1" applyFill="1" applyAlignment="1"/>
    <xf numFmtId="2" fontId="16" fillId="0" borderId="0" xfId="0" applyNumberFormat="1" applyFont="1" applyFill="1" applyAlignment="1"/>
    <xf numFmtId="10" fontId="7" fillId="28" borderId="79" xfId="1" applyNumberFormat="1" applyFont="1" applyFill="1" applyBorder="1" applyAlignment="1">
      <alignment horizontal="left"/>
    </xf>
    <xf numFmtId="168" fontId="16" fillId="0" borderId="0" xfId="0" applyNumberFormat="1" applyFont="1" applyFill="1" applyAlignment="1"/>
    <xf numFmtId="2" fontId="7" fillId="29" borderId="104" xfId="0" applyNumberFormat="1" applyFont="1" applyFill="1" applyBorder="1" applyAlignment="1">
      <alignment horizontal="left"/>
    </xf>
    <xf numFmtId="2" fontId="7" fillId="6" borderId="105" xfId="0" applyNumberFormat="1" applyFont="1" applyFill="1" applyBorder="1" applyAlignment="1">
      <alignment horizontal="left"/>
    </xf>
    <xf numFmtId="2" fontId="7" fillId="6" borderId="106" xfId="0" applyNumberFormat="1" applyFont="1" applyFill="1" applyBorder="1" applyAlignment="1">
      <alignment horizontal="left"/>
    </xf>
    <xf numFmtId="2" fontId="7" fillId="5" borderId="107" xfId="0" applyNumberFormat="1" applyFont="1" applyFill="1" applyBorder="1" applyAlignment="1">
      <alignment horizontal="left"/>
    </xf>
    <xf numFmtId="2" fontId="7" fillId="5" borderId="108" xfId="0" applyNumberFormat="1" applyFont="1" applyFill="1" applyBorder="1" applyAlignment="1">
      <alignment horizontal="left"/>
    </xf>
    <xf numFmtId="2" fontId="7" fillId="6" borderId="107" xfId="0" applyNumberFormat="1" applyFont="1" applyFill="1" applyBorder="1" applyAlignment="1">
      <alignment horizontal="left"/>
    </xf>
    <xf numFmtId="2" fontId="7" fillId="6" borderId="108" xfId="0" applyNumberFormat="1" applyFont="1" applyFill="1" applyBorder="1" applyAlignment="1">
      <alignment horizontal="left"/>
    </xf>
    <xf numFmtId="2" fontId="1" fillId="5" borderId="108" xfId="0" applyNumberFormat="1" applyFont="1" applyFill="1" applyBorder="1" applyAlignment="1">
      <alignment horizontal="left"/>
    </xf>
    <xf numFmtId="2" fontId="37" fillId="6" borderId="107" xfId="0" applyNumberFormat="1" applyFont="1" applyFill="1" applyBorder="1" applyAlignment="1">
      <alignment horizontal="left"/>
    </xf>
    <xf numFmtId="2" fontId="37" fillId="6" borderId="108" xfId="0" applyNumberFormat="1" applyFont="1" applyFill="1" applyBorder="1" applyAlignment="1">
      <alignment horizontal="left"/>
    </xf>
    <xf numFmtId="2" fontId="37" fillId="13" borderId="0" xfId="0" applyNumberFormat="1" applyFont="1" applyFill="1" applyAlignment="1"/>
    <xf numFmtId="2" fontId="7" fillId="5" borderId="109" xfId="0" applyNumberFormat="1" applyFont="1" applyFill="1" applyBorder="1" applyAlignment="1">
      <alignment horizontal="left"/>
    </xf>
    <xf numFmtId="2" fontId="37" fillId="5" borderId="110" xfId="0" applyNumberFormat="1" applyFont="1" applyFill="1" applyBorder="1" applyAlignment="1">
      <alignment horizontal="left"/>
    </xf>
    <xf numFmtId="2" fontId="88" fillId="0" borderId="0" xfId="0" applyNumberFormat="1" applyFont="1" applyAlignment="1">
      <alignment horizontal="right"/>
    </xf>
    <xf numFmtId="2" fontId="1" fillId="0" borderId="101" xfId="0" applyNumberFormat="1" applyFont="1" applyBorder="1" applyAlignment="1"/>
    <xf numFmtId="2" fontId="1" fillId="13" borderId="101" xfId="0" applyNumberFormat="1" applyFont="1" applyFill="1" applyBorder="1" applyAlignment="1"/>
    <xf numFmtId="1" fontId="7" fillId="0" borderId="101" xfId="0" applyNumberFormat="1" applyFont="1" applyBorder="1" applyAlignment="1">
      <alignment horizontal="right"/>
    </xf>
    <xf numFmtId="2" fontId="37" fillId="0" borderId="101" xfId="0" applyNumberFormat="1" applyFont="1" applyBorder="1" applyAlignment="1">
      <alignment horizontal="right"/>
    </xf>
    <xf numFmtId="2" fontId="7" fillId="0" borderId="101" xfId="0" applyNumberFormat="1" applyFont="1" applyBorder="1" applyAlignment="1">
      <alignment horizontal="left"/>
    </xf>
    <xf numFmtId="2" fontId="7" fillId="13" borderId="101" xfId="0" applyNumberFormat="1" applyFont="1" applyFill="1" applyBorder="1" applyAlignment="1"/>
    <xf numFmtId="1" fontId="7" fillId="5" borderId="101" xfId="0" applyNumberFormat="1" applyFont="1" applyFill="1" applyBorder="1" applyAlignment="1">
      <alignment horizontal="right"/>
    </xf>
    <xf numFmtId="2" fontId="7" fillId="5" borderId="101" xfId="0" applyNumberFormat="1" applyFont="1" applyFill="1" applyBorder="1" applyAlignment="1">
      <alignment horizontal="right"/>
    </xf>
    <xf numFmtId="2" fontId="7" fillId="5" borderId="101" xfId="0" applyNumberFormat="1" applyFont="1" applyFill="1" applyBorder="1" applyAlignment="1">
      <alignment horizontal="left"/>
    </xf>
    <xf numFmtId="2" fontId="7" fillId="40" borderId="101" xfId="0" applyNumberFormat="1" applyFont="1" applyFill="1" applyBorder="1" applyAlignment="1"/>
    <xf numFmtId="2" fontId="16" fillId="0" borderId="101" xfId="0" applyNumberFormat="1" applyFont="1" applyBorder="1" applyAlignment="1">
      <alignment horizontal="right"/>
    </xf>
    <xf numFmtId="2" fontId="16" fillId="0" borderId="101" xfId="0" applyNumberFormat="1" applyFont="1" applyBorder="1" applyAlignment="1"/>
    <xf numFmtId="2" fontId="7" fillId="0" borderId="101" xfId="0" applyNumberFormat="1" applyFont="1" applyBorder="1" applyAlignment="1">
      <alignment horizontal="right"/>
    </xf>
    <xf numFmtId="1" fontId="7" fillId="31" borderId="101" xfId="0" applyNumberFormat="1" applyFont="1" applyFill="1" applyBorder="1" applyAlignment="1">
      <alignment horizontal="right"/>
    </xf>
    <xf numFmtId="1" fontId="17" fillId="31" borderId="101" xfId="0" applyNumberFormat="1" applyFont="1" applyFill="1" applyBorder="1" applyAlignment="1">
      <alignment horizontal="right"/>
    </xf>
    <xf numFmtId="2" fontId="60" fillId="9" borderId="101" xfId="0" applyNumberFormat="1" applyFont="1" applyFill="1" applyBorder="1" applyAlignment="1"/>
    <xf numFmtId="2" fontId="7" fillId="31" borderId="101" xfId="0" applyNumberFormat="1" applyFont="1" applyFill="1" applyBorder="1" applyAlignment="1">
      <alignment horizontal="left"/>
    </xf>
    <xf numFmtId="167" fontId="37" fillId="0" borderId="101" xfId="0" applyNumberFormat="1" applyFont="1" applyBorder="1" applyAlignment="1"/>
    <xf numFmtId="2" fontId="60" fillId="41" borderId="101" xfId="0" applyNumberFormat="1" applyFont="1" applyFill="1" applyBorder="1" applyAlignment="1"/>
    <xf numFmtId="2" fontId="17" fillId="31" borderId="101" xfId="0" applyNumberFormat="1" applyFont="1" applyFill="1" applyBorder="1" applyAlignment="1"/>
    <xf numFmtId="2" fontId="1" fillId="5" borderId="101" xfId="0" applyNumberFormat="1" applyFont="1" applyFill="1" applyBorder="1" applyAlignment="1">
      <alignment horizontal="right"/>
    </xf>
    <xf numFmtId="2" fontId="37" fillId="0" borderId="101" xfId="0" applyNumberFormat="1" applyFont="1" applyBorder="1" applyAlignment="1">
      <alignment horizontal="center"/>
    </xf>
    <xf numFmtId="2" fontId="1" fillId="40" borderId="101" xfId="0" applyNumberFormat="1" applyFont="1" applyFill="1" applyBorder="1" applyAlignment="1">
      <alignment horizontal="right"/>
    </xf>
    <xf numFmtId="1" fontId="1" fillId="5" borderId="101" xfId="0" applyNumberFormat="1" applyFont="1" applyFill="1" applyBorder="1" applyAlignment="1">
      <alignment horizontal="right"/>
    </xf>
    <xf numFmtId="2" fontId="17" fillId="31" borderId="101" xfId="0" applyNumberFormat="1" applyFont="1" applyFill="1" applyBorder="1" applyAlignment="1">
      <alignment horizontal="right"/>
    </xf>
    <xf numFmtId="2" fontId="57" fillId="5" borderId="101" xfId="0" applyNumberFormat="1" applyFont="1" applyFill="1" applyBorder="1" applyAlignment="1"/>
    <xf numFmtId="164" fontId="7" fillId="5" borderId="59" xfId="0" applyNumberFormat="1" applyFont="1" applyFill="1" applyBorder="1" applyAlignment="1"/>
    <xf numFmtId="2" fontId="16" fillId="5" borderId="101" xfId="0" applyNumberFormat="1" applyFont="1" applyFill="1" applyBorder="1" applyAlignment="1">
      <alignment horizontal="right"/>
    </xf>
    <xf numFmtId="164" fontId="7" fillId="5" borderId="101" xfId="0" applyNumberFormat="1" applyFont="1" applyFill="1" applyBorder="1" applyAlignment="1"/>
    <xf numFmtId="2" fontId="0" fillId="0" borderId="101" xfId="0" applyNumberFormat="1" applyFont="1" applyBorder="1" applyAlignment="1"/>
    <xf numFmtId="2" fontId="82" fillId="0" borderId="101" xfId="0" applyNumberFormat="1" applyFont="1" applyBorder="1" applyAlignment="1">
      <alignment horizontal="left"/>
    </xf>
    <xf numFmtId="2" fontId="16" fillId="13" borderId="101" xfId="0" applyNumberFormat="1" applyFont="1" applyFill="1" applyBorder="1" applyAlignment="1"/>
    <xf numFmtId="2" fontId="104" fillId="4" borderId="0" xfId="0" applyNumberFormat="1" applyFont="1" applyFill="1" applyAlignment="1"/>
    <xf numFmtId="2" fontId="1" fillId="5" borderId="101" xfId="0" applyNumberFormat="1" applyFont="1" applyFill="1" applyBorder="1" applyAlignment="1"/>
    <xf numFmtId="10" fontId="7" fillId="0" borderId="101" xfId="0" applyNumberFormat="1" applyFont="1" applyBorder="1" applyAlignment="1">
      <alignment horizontal="right"/>
    </xf>
    <xf numFmtId="2" fontId="7" fillId="13" borderId="101" xfId="0" applyNumberFormat="1" applyFont="1" applyFill="1" applyBorder="1" applyAlignment="1">
      <alignment horizontal="left"/>
    </xf>
    <xf numFmtId="9" fontId="7" fillId="0" borderId="101" xfId="1" applyFont="1" applyBorder="1" applyAlignment="1">
      <alignment horizontal="right"/>
    </xf>
    <xf numFmtId="1" fontId="7" fillId="5" borderId="101" xfId="0" applyNumberFormat="1" applyFont="1" applyFill="1" applyBorder="1" applyAlignment="1">
      <alignment horizontal="center"/>
    </xf>
    <xf numFmtId="9" fontId="17" fillId="31" borderId="101" xfId="1" applyFont="1" applyFill="1" applyBorder="1" applyAlignment="1">
      <alignment horizontal="right"/>
    </xf>
    <xf numFmtId="2" fontId="7" fillId="40" borderId="101" xfId="0" applyNumberFormat="1" applyFont="1" applyFill="1" applyBorder="1" applyAlignment="1">
      <alignment horizontal="left"/>
    </xf>
    <xf numFmtId="1" fontId="7" fillId="0" borderId="101" xfId="0" applyNumberFormat="1" applyFont="1" applyBorder="1" applyAlignment="1">
      <alignment horizontal="center"/>
    </xf>
    <xf numFmtId="2" fontId="16" fillId="5" borderId="101" xfId="0" applyNumberFormat="1" applyFont="1" applyFill="1" applyBorder="1" applyAlignment="1"/>
    <xf numFmtId="2" fontId="16" fillId="40" borderId="101" xfId="0" applyNumberFormat="1" applyFont="1" applyFill="1" applyBorder="1" applyAlignment="1"/>
    <xf numFmtId="4" fontId="99" fillId="0" borderId="101" xfId="0" applyNumberFormat="1" applyFont="1" applyBorder="1" applyAlignment="1">
      <alignment horizontal="center"/>
    </xf>
    <xf numFmtId="2" fontId="7" fillId="23" borderId="101" xfId="0" applyNumberFormat="1" applyFont="1" applyFill="1" applyBorder="1" applyAlignment="1">
      <alignment horizontal="left"/>
    </xf>
    <xf numFmtId="2" fontId="86" fillId="0" borderId="101" xfId="0" applyNumberFormat="1" applyFont="1" applyBorder="1" applyAlignment="1">
      <alignment horizontal="center"/>
    </xf>
    <xf numFmtId="2" fontId="37" fillId="33" borderId="101" xfId="0" applyNumberFormat="1" applyFont="1" applyFill="1" applyBorder="1" applyAlignment="1"/>
    <xf numFmtId="2" fontId="7" fillId="0" borderId="101" xfId="0" applyNumberFormat="1" applyFont="1" applyFill="1" applyBorder="1" applyAlignment="1">
      <alignment horizontal="left"/>
    </xf>
    <xf numFmtId="2" fontId="7" fillId="0" borderId="101" xfId="0" applyNumberFormat="1" applyFont="1" applyFill="1" applyBorder="1" applyAlignment="1"/>
    <xf numFmtId="2" fontId="16" fillId="0" borderId="101" xfId="0" applyNumberFormat="1" applyFont="1" applyFill="1" applyBorder="1" applyAlignment="1"/>
    <xf numFmtId="2" fontId="37" fillId="0" borderId="101" xfId="0" applyNumberFormat="1" applyFont="1" applyFill="1" applyBorder="1" applyAlignment="1"/>
    <xf numFmtId="2" fontId="7" fillId="0" borderId="101" xfId="0" applyNumberFormat="1" applyFont="1" applyBorder="1" applyAlignment="1">
      <alignment horizontal="center"/>
    </xf>
    <xf numFmtId="2" fontId="88" fillId="0" borderId="101" xfId="0" applyNumberFormat="1" applyFont="1" applyBorder="1" applyAlignment="1"/>
    <xf numFmtId="2" fontId="37" fillId="36" borderId="71" xfId="0" applyNumberFormat="1" applyFont="1" applyFill="1" applyBorder="1" applyAlignment="1"/>
    <xf numFmtId="2" fontId="88" fillId="13" borderId="101" xfId="0" applyNumberFormat="1" applyFont="1" applyFill="1" applyBorder="1" applyAlignment="1"/>
    <xf numFmtId="2" fontId="82" fillId="0" borderId="101" xfId="0" applyNumberFormat="1" applyFont="1" applyBorder="1" applyAlignment="1">
      <alignment horizontal="right"/>
    </xf>
    <xf numFmtId="2" fontId="1" fillId="0" borderId="101" xfId="0" applyNumberFormat="1" applyFont="1" applyBorder="1" applyAlignment="1">
      <alignment horizontal="right"/>
    </xf>
    <xf numFmtId="2" fontId="37" fillId="0" borderId="101" xfId="0" applyNumberFormat="1" applyFont="1" applyBorder="1" applyAlignment="1"/>
    <xf numFmtId="2" fontId="88" fillId="29" borderId="101" xfId="0" applyNumberFormat="1" applyFont="1" applyFill="1" applyBorder="1" applyAlignment="1"/>
    <xf numFmtId="2" fontId="106" fillId="29" borderId="101" xfId="0" applyNumberFormat="1" applyFont="1" applyFill="1" applyBorder="1" applyAlignment="1">
      <alignment horizontal="left"/>
    </xf>
    <xf numFmtId="2" fontId="24" fillId="13" borderId="101" xfId="0" applyNumberFormat="1" applyFont="1" applyFill="1" applyBorder="1" applyAlignment="1"/>
    <xf numFmtId="2" fontId="107" fillId="3" borderId="0" xfId="0" applyNumberFormat="1" applyFont="1" applyFill="1" applyAlignment="1"/>
    <xf numFmtId="2" fontId="7" fillId="7" borderId="29" xfId="0" applyNumberFormat="1" applyFont="1" applyFill="1" applyBorder="1" applyAlignment="1"/>
    <xf numFmtId="2" fontId="7" fillId="16" borderId="29" xfId="0" applyNumberFormat="1" applyFont="1" applyFill="1" applyBorder="1" applyAlignment="1"/>
    <xf numFmtId="2" fontId="7" fillId="16" borderId="0" xfId="0" applyNumberFormat="1" applyFont="1" applyFill="1" applyBorder="1" applyAlignment="1"/>
    <xf numFmtId="2" fontId="7" fillId="16" borderId="114" xfId="0" applyNumberFormat="1" applyFont="1" applyFill="1" applyBorder="1" applyAlignment="1"/>
    <xf numFmtId="2" fontId="110" fillId="0" borderId="0" xfId="2" applyNumberFormat="1" applyAlignment="1"/>
    <xf numFmtId="2" fontId="99" fillId="0" borderId="0" xfId="0" applyNumberFormat="1" applyFont="1" applyAlignment="1"/>
    <xf numFmtId="2" fontId="0" fillId="0" borderId="0" xfId="0" applyNumberFormat="1" applyFont="1" applyAlignment="1"/>
    <xf numFmtId="2" fontId="23" fillId="0" borderId="0" xfId="0" applyNumberFormat="1" applyFont="1" applyAlignment="1"/>
    <xf numFmtId="1" fontId="57" fillId="6" borderId="62" xfId="0" applyNumberFormat="1" applyFont="1" applyFill="1" applyBorder="1" applyAlignment="1" applyProtection="1">
      <protection locked="0"/>
    </xf>
    <xf numFmtId="2" fontId="7" fillId="6" borderId="62" xfId="0" applyNumberFormat="1" applyFont="1" applyFill="1" applyBorder="1"/>
    <xf numFmtId="2" fontId="68" fillId="13" borderId="115" xfId="0" applyNumberFormat="1" applyFont="1" applyFill="1" applyBorder="1"/>
    <xf numFmtId="2" fontId="35" fillId="0" borderId="116" xfId="0" applyNumberFormat="1" applyFont="1" applyBorder="1" applyAlignment="1"/>
    <xf numFmtId="1" fontId="7" fillId="5" borderId="116" xfId="0" applyNumberFormat="1" applyFont="1" applyFill="1" applyBorder="1"/>
    <xf numFmtId="2" fontId="7" fillId="5" borderId="116" xfId="0" applyNumberFormat="1" applyFont="1" applyFill="1" applyBorder="1"/>
    <xf numFmtId="2" fontId="68" fillId="13" borderId="116" xfId="0" applyNumberFormat="1" applyFont="1" applyFill="1" applyBorder="1"/>
    <xf numFmtId="2" fontId="16" fillId="0" borderId="116" xfId="0" applyNumberFormat="1" applyFont="1" applyBorder="1" applyAlignment="1"/>
    <xf numFmtId="2" fontId="75" fillId="0" borderId="116" xfId="0" applyNumberFormat="1" applyFont="1" applyBorder="1" applyAlignment="1"/>
    <xf numFmtId="2" fontId="76" fillId="0" borderId="116" xfId="0" applyNumberFormat="1" applyFont="1" applyBorder="1" applyAlignment="1"/>
    <xf numFmtId="2" fontId="0" fillId="0" borderId="116" xfId="0" applyNumberFormat="1" applyFont="1" applyBorder="1" applyAlignment="1"/>
    <xf numFmtId="17" fontId="115" fillId="5" borderId="0" xfId="0" applyNumberFormat="1" applyFont="1" applyFill="1" applyAlignment="1">
      <alignment horizontal="center"/>
    </xf>
    <xf numFmtId="10" fontId="116" fillId="5" borderId="0" xfId="1" applyNumberFormat="1" applyFont="1" applyFill="1" applyAlignment="1">
      <alignment horizontal="center"/>
    </xf>
    <xf numFmtId="2" fontId="118" fillId="0" borderId="0" xfId="0" applyNumberFormat="1" applyFont="1" applyAlignment="1"/>
    <xf numFmtId="2" fontId="119" fillId="0" borderId="0" xfId="0" applyNumberFormat="1" applyFont="1" applyAlignment="1"/>
    <xf numFmtId="2" fontId="120" fillId="0" borderId="0" xfId="0" applyNumberFormat="1" applyFont="1" applyAlignment="1"/>
    <xf numFmtId="2" fontId="121" fillId="0" borderId="0" xfId="0" applyNumberFormat="1" applyFont="1" applyAlignment="1"/>
    <xf numFmtId="167" fontId="7" fillId="0" borderId="71" xfId="0" applyNumberFormat="1" applyFont="1" applyBorder="1" applyAlignment="1">
      <alignment horizontal="left"/>
    </xf>
    <xf numFmtId="2" fontId="7" fillId="44" borderId="0" xfId="0" applyNumberFormat="1" applyFont="1" applyFill="1" applyAlignment="1"/>
    <xf numFmtId="2" fontId="122" fillId="0" borderId="0" xfId="0" applyNumberFormat="1" applyFont="1" applyAlignment="1"/>
    <xf numFmtId="2" fontId="123" fillId="0" borderId="0" xfId="0" applyNumberFormat="1" applyFont="1" applyAlignment="1"/>
    <xf numFmtId="2" fontId="124" fillId="0" borderId="0" xfId="0" applyNumberFormat="1" applyFont="1" applyAlignment="1"/>
    <xf numFmtId="167" fontId="35" fillId="0" borderId="0" xfId="0" applyNumberFormat="1" applyFont="1" applyAlignment="1" applyProtection="1">
      <protection locked="0"/>
    </xf>
    <xf numFmtId="2" fontId="7" fillId="45" borderId="0" xfId="0" applyNumberFormat="1" applyFont="1" applyFill="1" applyAlignment="1"/>
    <xf numFmtId="2" fontId="117" fillId="23" borderId="0" xfId="0" applyNumberFormat="1" applyFont="1" applyFill="1" applyAlignment="1">
      <alignment vertical="center"/>
    </xf>
    <xf numFmtId="1" fontId="17" fillId="0" borderId="0" xfId="0" applyNumberFormat="1" applyFont="1" applyAlignment="1"/>
    <xf numFmtId="2" fontId="16" fillId="46" borderId="54" xfId="0" applyNumberFormat="1" applyFont="1" applyFill="1" applyBorder="1" applyAlignment="1">
      <alignment horizontal="right"/>
    </xf>
    <xf numFmtId="3" fontId="67" fillId="46" borderId="51" xfId="0" applyNumberFormat="1" applyFont="1" applyFill="1" applyBorder="1" applyAlignment="1"/>
    <xf numFmtId="174" fontId="7" fillId="0" borderId="0" xfId="1" applyNumberFormat="1" applyFont="1" applyAlignment="1"/>
    <xf numFmtId="164" fontId="46" fillId="0" borderId="23" xfId="0" applyNumberFormat="1" applyFont="1" applyBorder="1" applyAlignment="1">
      <alignment vertical="center" wrapText="1"/>
    </xf>
    <xf numFmtId="164" fontId="0" fillId="0" borderId="0" xfId="0" applyNumberFormat="1" applyFont="1" applyAlignment="1"/>
    <xf numFmtId="2" fontId="0" fillId="0" borderId="0" xfId="0" applyNumberFormat="1" applyFont="1" applyAlignment="1"/>
    <xf numFmtId="2" fontId="1" fillId="0" borderId="0" xfId="0" applyNumberFormat="1" applyFont="1" applyAlignment="1"/>
    <xf numFmtId="2" fontId="23" fillId="0" borderId="0" xfId="0" applyNumberFormat="1" applyFont="1" applyAlignment="1"/>
    <xf numFmtId="2" fontId="0" fillId="0" borderId="0" xfId="0" applyNumberFormat="1" applyFont="1" applyAlignment="1"/>
    <xf numFmtId="2" fontId="23" fillId="0" borderId="0" xfId="0" applyNumberFormat="1" applyFont="1" applyAlignment="1"/>
    <xf numFmtId="167" fontId="0" fillId="0" borderId="0" xfId="0" applyNumberFormat="1" applyFont="1" applyAlignment="1"/>
    <xf numFmtId="4" fontId="7" fillId="6" borderId="59" xfId="0" applyNumberFormat="1" applyFont="1" applyFill="1" applyBorder="1" applyAlignment="1">
      <alignment horizontal="left"/>
    </xf>
    <xf numFmtId="4" fontId="7" fillId="5" borderId="59" xfId="0" applyNumberFormat="1" applyFont="1" applyFill="1" applyBorder="1" applyAlignment="1">
      <alignment horizontal="left"/>
    </xf>
    <xf numFmtId="4" fontId="37" fillId="6" borderId="59" xfId="0" applyNumberFormat="1" applyFont="1" applyFill="1" applyBorder="1" applyAlignment="1">
      <alignment horizontal="left"/>
    </xf>
    <xf numFmtId="17" fontId="16" fillId="0" borderId="14" xfId="0" applyNumberFormat="1" applyFont="1" applyFill="1" applyBorder="1" applyAlignment="1" applyProtection="1">
      <alignment horizontal="center"/>
      <protection locked="0"/>
    </xf>
    <xf numFmtId="17" fontId="125" fillId="0" borderId="34" xfId="0" applyNumberFormat="1" applyFont="1" applyFill="1" applyBorder="1" applyAlignment="1" applyProtection="1">
      <alignment horizontal="center"/>
      <protection locked="0"/>
    </xf>
    <xf numFmtId="17" fontId="125" fillId="0" borderId="14" xfId="0" applyNumberFormat="1" applyFont="1" applyFill="1" applyBorder="1" applyAlignment="1" applyProtection="1">
      <alignment horizontal="center"/>
      <protection locked="0"/>
    </xf>
    <xf numFmtId="171" fontId="1" fillId="29" borderId="83" xfId="1" applyNumberFormat="1" applyFont="1" applyFill="1" applyBorder="1" applyAlignment="1">
      <alignment horizontal="left"/>
    </xf>
    <xf numFmtId="3" fontId="114" fillId="0" borderId="0" xfId="0" applyNumberFormat="1" applyFont="1" applyAlignment="1"/>
    <xf numFmtId="2" fontId="7" fillId="47" borderId="71" xfId="0" applyNumberFormat="1" applyFont="1" applyFill="1" applyBorder="1" applyAlignment="1">
      <alignment horizontal="left"/>
    </xf>
    <xf numFmtId="1" fontId="127" fillId="47" borderId="71" xfId="0" applyNumberFormat="1" applyFont="1" applyFill="1" applyBorder="1" applyAlignment="1">
      <alignment horizontal="center"/>
    </xf>
    <xf numFmtId="1" fontId="127" fillId="47" borderId="71" xfId="0" applyNumberFormat="1" applyFont="1" applyFill="1" applyBorder="1" applyAlignment="1">
      <alignment horizontal="right"/>
    </xf>
    <xf numFmtId="2" fontId="127" fillId="47" borderId="71" xfId="0" applyNumberFormat="1" applyFont="1" applyFill="1" applyBorder="1" applyAlignment="1"/>
    <xf numFmtId="2" fontId="127" fillId="47" borderId="71" xfId="0" applyNumberFormat="1" applyFont="1" applyFill="1" applyBorder="1" applyAlignment="1">
      <alignment horizontal="left"/>
    </xf>
    <xf numFmtId="2" fontId="68" fillId="13" borderId="117" xfId="0" applyNumberFormat="1" applyFont="1" applyFill="1" applyBorder="1"/>
    <xf numFmtId="1" fontId="7" fillId="5" borderId="58" xfId="0" applyNumberFormat="1" applyFont="1" applyFill="1" applyBorder="1"/>
    <xf numFmtId="1" fontId="7" fillId="5" borderId="62" xfId="0" applyNumberFormat="1" applyFont="1" applyFill="1" applyBorder="1"/>
    <xf numFmtId="2" fontId="7" fillId="48" borderId="14" xfId="0" applyNumberFormat="1" applyFont="1" applyFill="1" applyBorder="1"/>
    <xf numFmtId="2" fontId="37" fillId="31" borderId="71" xfId="0" applyNumberFormat="1" applyFont="1" applyFill="1" applyBorder="1" applyAlignment="1">
      <alignment horizontal="left"/>
    </xf>
    <xf numFmtId="167" fontId="37" fillId="0" borderId="0" xfId="0" applyNumberFormat="1" applyFont="1" applyBorder="1" applyAlignment="1"/>
    <xf numFmtId="2" fontId="53" fillId="0" borderId="30" xfId="0" applyNumberFormat="1" applyFont="1" applyBorder="1" applyAlignment="1">
      <alignment vertical="center"/>
    </xf>
    <xf numFmtId="2" fontId="17" fillId="0" borderId="36" xfId="0" applyNumberFormat="1" applyFont="1" applyFill="1" applyBorder="1" applyAlignment="1"/>
    <xf numFmtId="172" fontId="47" fillId="0" borderId="41" xfId="0" applyNumberFormat="1" applyFont="1" applyFill="1" applyBorder="1" applyAlignment="1"/>
    <xf numFmtId="3" fontId="25" fillId="0" borderId="14" xfId="0" applyNumberFormat="1" applyFont="1" applyFill="1" applyBorder="1" applyAlignment="1" applyProtection="1">
      <protection locked="0"/>
    </xf>
    <xf numFmtId="10" fontId="25" fillId="0" borderId="14" xfId="1" applyNumberFormat="1" applyFont="1" applyFill="1" applyBorder="1" applyAlignment="1" applyProtection="1">
      <protection locked="0"/>
    </xf>
    <xf numFmtId="3" fontId="37" fillId="0" borderId="34" xfId="0" applyNumberFormat="1" applyFont="1" applyFill="1" applyBorder="1" applyAlignment="1" applyProtection="1">
      <protection locked="0"/>
    </xf>
    <xf numFmtId="3" fontId="37" fillId="0" borderId="14" xfId="0" applyNumberFormat="1" applyFont="1" applyFill="1" applyBorder="1" applyAlignment="1" applyProtection="1">
      <protection locked="0"/>
    </xf>
    <xf numFmtId="3" fontId="25" fillId="0" borderId="34" xfId="0" applyNumberFormat="1" applyFont="1" applyFill="1" applyBorder="1" applyAlignment="1" applyProtection="1">
      <protection locked="0"/>
    </xf>
    <xf numFmtId="2" fontId="25" fillId="0" borderId="34" xfId="0" applyNumberFormat="1" applyFont="1" applyFill="1" applyBorder="1" applyAlignment="1" applyProtection="1">
      <protection locked="0"/>
    </xf>
    <xf numFmtId="2" fontId="73" fillId="0" borderId="46" xfId="0" applyNumberFormat="1" applyFont="1" applyFill="1" applyBorder="1" applyAlignment="1" applyProtection="1">
      <protection locked="0"/>
    </xf>
    <xf numFmtId="2" fontId="25" fillId="0" borderId="0" xfId="0" applyNumberFormat="1" applyFont="1" applyAlignment="1"/>
    <xf numFmtId="2" fontId="128" fillId="47" borderId="71" xfId="0" applyNumberFormat="1" applyFont="1" applyFill="1" applyBorder="1" applyAlignment="1"/>
    <xf numFmtId="2" fontId="128" fillId="48" borderId="14" xfId="0" applyNumberFormat="1" applyFont="1" applyFill="1" applyBorder="1"/>
    <xf numFmtId="2" fontId="128" fillId="47" borderId="14" xfId="0" applyNumberFormat="1" applyFont="1" applyFill="1" applyBorder="1"/>
    <xf numFmtId="2" fontId="129" fillId="5" borderId="0" xfId="0" applyNumberFormat="1" applyFont="1" applyFill="1" applyAlignment="1">
      <alignment horizontal="center"/>
    </xf>
    <xf numFmtId="10" fontId="7" fillId="5" borderId="71" xfId="1" applyNumberFormat="1" applyFont="1" applyFill="1" applyBorder="1" applyAlignment="1"/>
    <xf numFmtId="1" fontId="25" fillId="5" borderId="71" xfId="0" applyNumberFormat="1" applyFont="1" applyFill="1" applyBorder="1" applyAlignment="1">
      <alignment horizontal="right"/>
    </xf>
    <xf numFmtId="2" fontId="25" fillId="5" borderId="71" xfId="0" applyNumberFormat="1" applyFont="1" applyFill="1" applyBorder="1" applyAlignment="1">
      <alignment horizontal="left"/>
    </xf>
    <xf numFmtId="164" fontId="130" fillId="5" borderId="71" xfId="0" applyNumberFormat="1" applyFont="1" applyFill="1" applyBorder="1" applyAlignment="1"/>
    <xf numFmtId="2" fontId="25" fillId="40" borderId="71" xfId="0" applyNumberFormat="1" applyFont="1" applyFill="1" applyBorder="1" applyAlignment="1">
      <alignment horizontal="left"/>
    </xf>
    <xf numFmtId="2" fontId="25" fillId="0" borderId="0" xfId="0" applyNumberFormat="1" applyFont="1" applyAlignment="1">
      <alignment horizontal="left"/>
    </xf>
    <xf numFmtId="2" fontId="73" fillId="0" borderId="0" xfId="0" applyNumberFormat="1" applyFont="1" applyAlignment="1"/>
    <xf numFmtId="2" fontId="25" fillId="5" borderId="71" xfId="0" applyNumberFormat="1" applyFont="1" applyFill="1" applyBorder="1" applyAlignment="1"/>
    <xf numFmtId="2" fontId="25" fillId="6" borderId="60" xfId="0" applyNumberFormat="1" applyFont="1" applyFill="1" applyBorder="1" applyAlignment="1">
      <alignment horizontal="left"/>
    </xf>
    <xf numFmtId="2" fontId="25" fillId="40" borderId="71" xfId="0" applyNumberFormat="1" applyFont="1" applyFill="1" applyBorder="1" applyAlignment="1"/>
    <xf numFmtId="1" fontId="25" fillId="31" borderId="71" xfId="0" applyNumberFormat="1" applyFont="1" applyFill="1" applyBorder="1" applyAlignment="1">
      <alignment horizontal="right"/>
    </xf>
    <xf numFmtId="1" fontId="130" fillId="31" borderId="71" xfId="0" applyNumberFormat="1" applyFont="1" applyFill="1" applyBorder="1" applyAlignment="1">
      <alignment horizontal="right"/>
    </xf>
    <xf numFmtId="2" fontId="73" fillId="9" borderId="71" xfId="0" applyNumberFormat="1" applyFont="1" applyFill="1" applyBorder="1" applyAlignment="1"/>
    <xf numFmtId="2" fontId="25" fillId="31" borderId="71" xfId="0" applyNumberFormat="1" applyFont="1" applyFill="1" applyBorder="1" applyAlignment="1">
      <alignment horizontal="left"/>
    </xf>
    <xf numFmtId="2" fontId="73" fillId="41" borderId="71" xfId="0" applyNumberFormat="1" applyFont="1" applyFill="1" applyBorder="1" applyAlignment="1"/>
    <xf numFmtId="2" fontId="25" fillId="31" borderId="71" xfId="0" applyNumberFormat="1" applyFont="1" applyFill="1" applyBorder="1" applyAlignment="1">
      <alignment horizontal="right"/>
    </xf>
    <xf numFmtId="2" fontId="130" fillId="0" borderId="0" xfId="0" applyNumberFormat="1" applyFont="1" applyAlignment="1"/>
    <xf numFmtId="164" fontId="25" fillId="0" borderId="0" xfId="0" applyNumberFormat="1" applyFont="1" applyAlignment="1"/>
    <xf numFmtId="167" fontId="16" fillId="13" borderId="71" xfId="0" applyNumberFormat="1" applyFont="1" applyFill="1" applyBorder="1" applyAlignment="1"/>
    <xf numFmtId="10" fontId="7" fillId="0" borderId="71" xfId="1" applyNumberFormat="1" applyFont="1" applyFill="1" applyBorder="1" applyAlignment="1"/>
    <xf numFmtId="164" fontId="16" fillId="40" borderId="101" xfId="0" applyNumberFormat="1" applyFont="1" applyFill="1" applyBorder="1" applyAlignment="1"/>
    <xf numFmtId="2" fontId="131" fillId="9" borderId="59" xfId="0" applyNumberFormat="1" applyFont="1" applyFill="1" applyBorder="1" applyAlignment="1"/>
    <xf numFmtId="1" fontId="17" fillId="47" borderId="71" xfId="0" applyNumberFormat="1" applyFont="1" applyFill="1" applyBorder="1" applyAlignment="1" applyProtection="1">
      <alignment horizontal="right"/>
      <protection locked="0"/>
    </xf>
    <xf numFmtId="1" fontId="57" fillId="47" borderId="71" xfId="0" applyNumberFormat="1" applyFont="1" applyFill="1" applyBorder="1" applyAlignment="1" applyProtection="1">
      <alignment horizontal="right"/>
      <protection locked="0"/>
    </xf>
    <xf numFmtId="2" fontId="0" fillId="0" borderId="0" xfId="0" applyNumberFormat="1" applyFont="1" applyAlignment="1"/>
    <xf numFmtId="2" fontId="23" fillId="0" borderId="0" xfId="0" applyNumberFormat="1" applyFont="1" applyAlignment="1"/>
    <xf numFmtId="2" fontId="0" fillId="0" borderId="0" xfId="0" applyNumberFormat="1" applyFont="1" applyAlignment="1"/>
    <xf numFmtId="2" fontId="23" fillId="0" borderId="0" xfId="0" applyNumberFormat="1" applyFont="1" applyAlignment="1"/>
    <xf numFmtId="2" fontId="17" fillId="7" borderId="71" xfId="0" applyNumberFormat="1" applyFont="1" applyFill="1" applyBorder="1" applyAlignment="1">
      <alignment horizontal="right"/>
    </xf>
    <xf numFmtId="10" fontId="16" fillId="25" borderId="71" xfId="1" applyNumberFormat="1" applyFont="1" applyFill="1" applyBorder="1" applyAlignment="1">
      <alignment horizontal="center"/>
    </xf>
    <xf numFmtId="165" fontId="16" fillId="28" borderId="79" xfId="1" applyNumberFormat="1" applyFont="1" applyFill="1" applyBorder="1" applyAlignment="1">
      <alignment horizontal="center"/>
    </xf>
    <xf numFmtId="2" fontId="79" fillId="0" borderId="71" xfId="0" applyNumberFormat="1" applyFont="1" applyFill="1" applyBorder="1"/>
    <xf numFmtId="2" fontId="0" fillId="0" borderId="118" xfId="0" applyNumberFormat="1" applyFont="1" applyBorder="1" applyAlignment="1"/>
    <xf numFmtId="1" fontId="91" fillId="0" borderId="33" xfId="0" applyNumberFormat="1" applyFont="1" applyFill="1" applyBorder="1" applyAlignment="1" applyProtection="1">
      <protection locked="0"/>
    </xf>
    <xf numFmtId="17" fontId="16" fillId="0" borderId="34" xfId="0" applyNumberFormat="1" applyFont="1" applyFill="1" applyBorder="1" applyAlignment="1" applyProtection="1">
      <alignment horizontal="center"/>
      <protection locked="0"/>
    </xf>
    <xf numFmtId="17" fontId="16" fillId="0" borderId="119" xfId="0" applyNumberFormat="1" applyFont="1" applyFill="1" applyBorder="1" applyAlignment="1" applyProtection="1">
      <alignment horizontal="center"/>
      <protection locked="0"/>
    </xf>
    <xf numFmtId="3" fontId="25" fillId="0" borderId="119" xfId="1" applyNumberFormat="1" applyFont="1" applyFill="1" applyBorder="1" applyAlignment="1" applyProtection="1">
      <protection locked="0"/>
    </xf>
    <xf numFmtId="10" fontId="25" fillId="0" borderId="119" xfId="1" applyNumberFormat="1" applyFont="1" applyFill="1" applyBorder="1" applyAlignment="1" applyProtection="1">
      <protection locked="0"/>
    </xf>
    <xf numFmtId="9" fontId="1" fillId="0" borderId="72" xfId="1" applyFont="1" applyBorder="1" applyAlignment="1" applyProtection="1">
      <alignment horizontal="center"/>
      <protection locked="0"/>
    </xf>
    <xf numFmtId="2" fontId="0" fillId="0" borderId="72" xfId="0" applyNumberFormat="1" applyFont="1" applyBorder="1" applyAlignment="1" applyProtection="1">
      <protection locked="0"/>
    </xf>
    <xf numFmtId="3" fontId="73" fillId="0" borderId="14" xfId="0" applyNumberFormat="1" applyFont="1" applyBorder="1" applyAlignment="1" applyProtection="1">
      <protection locked="0"/>
    </xf>
    <xf numFmtId="3" fontId="73" fillId="0" borderId="119" xfId="0" applyNumberFormat="1" applyFont="1" applyBorder="1" applyAlignment="1" applyProtection="1">
      <protection locked="0"/>
    </xf>
    <xf numFmtId="9" fontId="73" fillId="0" borderId="74" xfId="1" applyFont="1" applyBorder="1" applyAlignment="1" applyProtection="1">
      <protection locked="0"/>
    </xf>
    <xf numFmtId="2" fontId="73" fillId="0" borderId="74" xfId="0" applyNumberFormat="1" applyFont="1" applyBorder="1" applyAlignment="1" applyProtection="1">
      <protection locked="0"/>
    </xf>
    <xf numFmtId="2" fontId="73" fillId="0" borderId="120" xfId="0" applyNumberFormat="1" applyFont="1" applyBorder="1" applyAlignment="1" applyProtection="1">
      <protection locked="0"/>
    </xf>
    <xf numFmtId="17" fontId="37" fillId="0" borderId="34" xfId="0" applyNumberFormat="1" applyFont="1" applyFill="1" applyBorder="1" applyAlignment="1" applyProtection="1">
      <alignment horizontal="center"/>
      <protection locked="0"/>
    </xf>
    <xf numFmtId="17" fontId="37" fillId="0" borderId="119" xfId="0" applyNumberFormat="1" applyFont="1" applyFill="1" applyBorder="1" applyAlignment="1" applyProtection="1">
      <alignment horizontal="center"/>
      <protection locked="0"/>
    </xf>
    <xf numFmtId="2" fontId="16" fillId="3" borderId="0" xfId="0" applyNumberFormat="1" applyFont="1" applyFill="1" applyBorder="1" applyAlignment="1">
      <alignment horizontal="right"/>
    </xf>
    <xf numFmtId="2" fontId="60" fillId="0" borderId="118" xfId="0" applyNumberFormat="1" applyFont="1" applyBorder="1" applyAlignment="1"/>
    <xf numFmtId="2" fontId="3" fillId="0" borderId="72" xfId="0" applyNumberFormat="1" applyFont="1" applyFill="1" applyBorder="1" applyAlignment="1" applyProtection="1">
      <protection locked="0"/>
    </xf>
    <xf numFmtId="17" fontId="125" fillId="0" borderId="119" xfId="0" applyNumberFormat="1" applyFont="1" applyFill="1" applyBorder="1" applyAlignment="1" applyProtection="1">
      <alignment horizontal="center"/>
      <protection locked="0"/>
    </xf>
    <xf numFmtId="4" fontId="37" fillId="0" borderId="14" xfId="0" applyNumberFormat="1" applyFont="1" applyBorder="1" applyAlignment="1" applyProtection="1">
      <protection locked="0"/>
    </xf>
    <xf numFmtId="4" fontId="37" fillId="0" borderId="119" xfId="0" applyNumberFormat="1" applyFont="1" applyBorder="1" applyAlignment="1" applyProtection="1">
      <protection locked="0"/>
    </xf>
    <xf numFmtId="2" fontId="132" fillId="49" borderId="0" xfId="0" applyNumberFormat="1" applyFont="1" applyFill="1" applyAlignment="1"/>
    <xf numFmtId="164" fontId="133" fillId="49" borderId="0" xfId="1" applyNumberFormat="1" applyFont="1" applyFill="1" applyAlignment="1"/>
    <xf numFmtId="2" fontId="132" fillId="49" borderId="121" xfId="0" applyNumberFormat="1" applyFont="1" applyFill="1" applyBorder="1" applyAlignment="1"/>
    <xf numFmtId="164" fontId="133" fillId="49" borderId="121" xfId="1" applyNumberFormat="1" applyFont="1" applyFill="1" applyBorder="1" applyAlignment="1"/>
    <xf numFmtId="2" fontId="0" fillId="0" borderId="0" xfId="0" applyNumberFormat="1" applyFont="1" applyAlignment="1"/>
    <xf numFmtId="2" fontId="23" fillId="0" borderId="0" xfId="0" applyNumberFormat="1" applyFont="1" applyAlignment="1"/>
    <xf numFmtId="2" fontId="0" fillId="0" borderId="0" xfId="0" applyNumberFormat="1" applyFont="1" applyAlignment="1"/>
    <xf numFmtId="2" fontId="23" fillId="0" borderId="0" xfId="0" applyNumberFormat="1" applyFont="1" applyAlignment="1"/>
    <xf numFmtId="2" fontId="22" fillId="50" borderId="0" xfId="0" applyNumberFormat="1" applyFont="1" applyFill="1" applyAlignment="1">
      <alignment vertical="center"/>
    </xf>
    <xf numFmtId="2" fontId="23" fillId="50" borderId="0" xfId="0" applyNumberFormat="1" applyFont="1" applyFill="1" applyAlignment="1">
      <alignment vertical="center"/>
    </xf>
    <xf numFmtId="2" fontId="24" fillId="50" borderId="0" xfId="0" applyNumberFormat="1" applyFont="1" applyFill="1" applyAlignment="1">
      <alignment vertical="center"/>
    </xf>
    <xf numFmtId="2" fontId="25" fillId="50" borderId="0" xfId="0" applyNumberFormat="1" applyFont="1" applyFill="1" applyAlignment="1">
      <alignment vertical="center"/>
    </xf>
    <xf numFmtId="175" fontId="7" fillId="0" borderId="0" xfId="1" applyNumberFormat="1" applyFont="1" applyAlignment="1"/>
    <xf numFmtId="2" fontId="0" fillId="0" borderId="73" xfId="0" applyNumberFormat="1" applyFont="1" applyBorder="1" applyAlignment="1" applyProtection="1">
      <protection locked="0"/>
    </xf>
    <xf numFmtId="2" fontId="0" fillId="0" borderId="0" xfId="0" applyNumberFormat="1" applyFont="1" applyAlignment="1" applyProtection="1">
      <protection locked="0"/>
    </xf>
    <xf numFmtId="2" fontId="7" fillId="0" borderId="73" xfId="0" applyNumberFormat="1" applyFont="1" applyBorder="1" applyAlignment="1" applyProtection="1">
      <protection locked="0"/>
    </xf>
    <xf numFmtId="2" fontId="25" fillId="0" borderId="74" xfId="0" applyNumberFormat="1" applyFont="1" applyBorder="1" applyAlignment="1" applyProtection="1">
      <protection locked="0"/>
    </xf>
    <xf numFmtId="2" fontId="7" fillId="0" borderId="120" xfId="0" applyNumberFormat="1" applyFont="1" applyBorder="1" applyAlignment="1" applyProtection="1">
      <protection locked="0"/>
    </xf>
    <xf numFmtId="3" fontId="117" fillId="23" borderId="0" xfId="0" applyNumberFormat="1" applyFont="1" applyFill="1" applyAlignment="1">
      <alignment vertical="center"/>
    </xf>
    <xf numFmtId="2" fontId="18" fillId="17" borderId="0" xfId="0" applyNumberFormat="1" applyFont="1" applyFill="1" applyAlignment="1" applyProtection="1">
      <protection locked="0"/>
    </xf>
    <xf numFmtId="2" fontId="53" fillId="0" borderId="0" xfId="0" applyNumberFormat="1" applyFont="1" applyAlignment="1">
      <alignment horizontal="center"/>
    </xf>
    <xf numFmtId="165" fontId="53" fillId="0" borderId="0" xfId="1" applyNumberFormat="1" applyFont="1" applyAlignment="1">
      <alignment horizontal="center"/>
    </xf>
    <xf numFmtId="2" fontId="0" fillId="0" borderId="0" xfId="0" applyNumberFormat="1" applyFont="1" applyAlignment="1"/>
    <xf numFmtId="2" fontId="23" fillId="0" borderId="0" xfId="0" applyNumberFormat="1" applyFont="1" applyAlignment="1"/>
    <xf numFmtId="2" fontId="0" fillId="0" borderId="0" xfId="0" applyNumberFormat="1" applyFont="1" applyAlignment="1"/>
    <xf numFmtId="2" fontId="23" fillId="0" borderId="0" xfId="0" applyNumberFormat="1" applyFont="1" applyAlignment="1"/>
    <xf numFmtId="175" fontId="53" fillId="0" borderId="0" xfId="1" applyNumberFormat="1" applyFont="1" applyAlignment="1">
      <alignment horizontal="center"/>
    </xf>
    <xf numFmtId="176" fontId="29" fillId="17" borderId="0" xfId="3" applyNumberFormat="1" applyFont="1" applyFill="1" applyAlignment="1" applyProtection="1">
      <alignment horizontal="center"/>
      <protection locked="0"/>
    </xf>
    <xf numFmtId="176" fontId="135" fillId="23" borderId="0" xfId="3" applyNumberFormat="1" applyFont="1" applyFill="1" applyAlignment="1">
      <alignment vertical="center"/>
    </xf>
    <xf numFmtId="2" fontId="138" fillId="0" borderId="0" xfId="0" applyNumberFormat="1" applyFont="1" applyAlignment="1"/>
    <xf numFmtId="2" fontId="136" fillId="23" borderId="0" xfId="0" applyNumberFormat="1" applyFont="1" applyFill="1" applyAlignment="1"/>
    <xf numFmtId="10" fontId="127" fillId="46" borderId="0" xfId="1" applyNumberFormat="1" applyFont="1" applyFill="1" applyAlignment="1"/>
    <xf numFmtId="2" fontId="42" fillId="51" borderId="0" xfId="0" applyNumberFormat="1" applyFont="1" applyFill="1" applyAlignment="1">
      <alignment vertical="center"/>
    </xf>
    <xf numFmtId="2" fontId="9" fillId="51" borderId="0" xfId="0" applyNumberFormat="1" applyFont="1" applyFill="1" applyAlignment="1"/>
    <xf numFmtId="2" fontId="7" fillId="51" borderId="0" xfId="0" applyNumberFormat="1" applyFont="1" applyFill="1" applyAlignment="1"/>
    <xf numFmtId="2" fontId="0" fillId="0" borderId="0" xfId="0" applyNumberFormat="1" applyFont="1" applyAlignment="1"/>
    <xf numFmtId="2" fontId="23" fillId="0" borderId="0" xfId="0" applyNumberFormat="1" applyFont="1" applyAlignment="1"/>
    <xf numFmtId="2" fontId="0" fillId="0" borderId="0" xfId="0" applyNumberFormat="1" applyFont="1" applyAlignment="1"/>
    <xf numFmtId="2" fontId="23" fillId="0" borderId="0" xfId="0" applyNumberFormat="1" applyFont="1" applyAlignment="1"/>
    <xf numFmtId="2" fontId="139" fillId="23" borderId="0" xfId="0" applyNumberFormat="1" applyFont="1" applyFill="1" applyAlignment="1"/>
    <xf numFmtId="2" fontId="0" fillId="0" borderId="0" xfId="0" applyNumberFormat="1" applyFont="1" applyAlignment="1"/>
    <xf numFmtId="2" fontId="23" fillId="0" borderId="0" xfId="0" applyNumberFormat="1" applyFont="1" applyAlignment="1"/>
    <xf numFmtId="2" fontId="139" fillId="23" borderId="0" xfId="0" applyNumberFormat="1" applyFont="1" applyFill="1" applyAlignment="1">
      <alignment vertical="center"/>
    </xf>
    <xf numFmtId="2" fontId="140" fillId="23" borderId="0" xfId="0" applyNumberFormat="1" applyFont="1" applyFill="1" applyAlignment="1" applyProtection="1">
      <alignment vertical="center"/>
      <protection locked="0"/>
    </xf>
    <xf numFmtId="10" fontId="7" fillId="0" borderId="0" xfId="1" applyNumberFormat="1" applyFont="1" applyAlignment="1"/>
    <xf numFmtId="0" fontId="142" fillId="0" borderId="14" xfId="0" applyFont="1" applyBorder="1" applyAlignment="1">
      <alignment horizontal="center" vertical="center" wrapText="1"/>
    </xf>
    <xf numFmtId="0" fontId="142" fillId="0" borderId="1" xfId="0" applyFont="1" applyBorder="1" applyAlignment="1">
      <alignment horizontal="center" vertical="center" wrapText="1"/>
    </xf>
    <xf numFmtId="0" fontId="142" fillId="0" borderId="6" xfId="0" applyFont="1" applyBorder="1" applyAlignment="1">
      <alignment horizontal="center" vertical="center" wrapText="1"/>
    </xf>
    <xf numFmtId="0" fontId="142" fillId="0" borderId="0" xfId="0" applyFont="1" applyBorder="1" applyAlignment="1">
      <alignment horizontal="center" vertical="center" wrapText="1"/>
    </xf>
    <xf numFmtId="0" fontId="1" fillId="0" borderId="8" xfId="0" applyFont="1" applyBorder="1" applyAlignment="1"/>
    <xf numFmtId="0" fontId="1" fillId="0" borderId="14" xfId="0" applyFont="1" applyBorder="1" applyAlignment="1"/>
    <xf numFmtId="1" fontId="7" fillId="0" borderId="14" xfId="0" applyNumberFormat="1" applyFont="1" applyFill="1" applyBorder="1" applyAlignment="1">
      <alignment horizontal="right"/>
    </xf>
    <xf numFmtId="1" fontId="12" fillId="0" borderId="14" xfId="0" applyNumberFormat="1" applyFont="1" applyFill="1" applyBorder="1" applyAlignment="1">
      <alignment horizontal="right"/>
    </xf>
    <xf numFmtId="0" fontId="0" fillId="0" borderId="0" xfId="0" applyAlignment="1">
      <alignment horizontal="center"/>
    </xf>
    <xf numFmtId="0" fontId="0" fillId="0" borderId="0" xfId="0"/>
    <xf numFmtId="0" fontId="2" fillId="0" borderId="7" xfId="0" applyFont="1" applyBorder="1" applyAlignment="1">
      <alignment horizontal="left"/>
    </xf>
    <xf numFmtId="0" fontId="6" fillId="0" borderId="4" xfId="0" applyFont="1" applyBorder="1" applyAlignment="1"/>
    <xf numFmtId="0" fontId="4" fillId="0" borderId="4" xfId="0" applyFont="1" applyBorder="1" applyAlignment="1"/>
    <xf numFmtId="0" fontId="4" fillId="0" borderId="0" xfId="0" applyFont="1" applyBorder="1" applyAlignment="1"/>
    <xf numFmtId="0" fontId="114" fillId="0" borderId="0" xfId="0" applyFont="1" applyAlignment="1"/>
    <xf numFmtId="0" fontId="143" fillId="0" borderId="0" xfId="0" applyFont="1" applyAlignment="1">
      <alignment vertical="center" wrapText="1"/>
    </xf>
    <xf numFmtId="2" fontId="1" fillId="0" borderId="0" xfId="0" applyNumberFormat="1" applyFont="1" applyBorder="1" applyAlignment="1">
      <alignment horizontal="right"/>
    </xf>
    <xf numFmtId="2" fontId="1" fillId="0" borderId="14" xfId="0" applyNumberFormat="1" applyFont="1" applyBorder="1" applyAlignment="1"/>
    <xf numFmtId="2" fontId="1" fillId="0" borderId="14" xfId="0" applyNumberFormat="1" applyFont="1" applyBorder="1" applyAlignment="1">
      <alignment horizontal="center"/>
    </xf>
    <xf numFmtId="2" fontId="1" fillId="0" borderId="0" xfId="0" applyNumberFormat="1" applyFont="1" applyBorder="1" applyAlignment="1"/>
    <xf numFmtId="0" fontId="1" fillId="0" borderId="0" xfId="0" applyFont="1" applyBorder="1" applyAlignment="1"/>
    <xf numFmtId="0" fontId="143" fillId="0" borderId="122" xfId="0" applyFont="1" applyBorder="1" applyAlignment="1">
      <alignment vertical="center" wrapText="1"/>
    </xf>
    <xf numFmtId="0" fontId="143" fillId="0" borderId="123" xfId="0" applyFont="1" applyBorder="1" applyAlignment="1">
      <alignment vertical="center" wrapText="1"/>
    </xf>
    <xf numFmtId="0" fontId="143" fillId="0" borderId="124" xfId="0" applyFont="1" applyBorder="1" applyAlignment="1">
      <alignment vertical="center" wrapText="1"/>
    </xf>
    <xf numFmtId="0" fontId="3" fillId="3" borderId="9" xfId="0" applyFont="1" applyFill="1" applyBorder="1" applyAlignment="1"/>
    <xf numFmtId="0" fontId="1" fillId="0" borderId="32" xfId="0" applyFont="1" applyBorder="1" applyAlignment="1"/>
    <xf numFmtId="0" fontId="1" fillId="2" borderId="9" xfId="0" applyFont="1" applyFill="1" applyBorder="1" applyAlignment="1"/>
    <xf numFmtId="0" fontId="3" fillId="3" borderId="125" xfId="0" applyFont="1" applyFill="1" applyBorder="1" applyAlignment="1"/>
    <xf numFmtId="0" fontId="142" fillId="0" borderId="14" xfId="0" applyFont="1" applyFill="1" applyBorder="1" applyAlignment="1">
      <alignment horizontal="center" vertical="center" wrapText="1"/>
    </xf>
    <xf numFmtId="0" fontId="0" fillId="0" borderId="14" xfId="0" applyFill="1" applyBorder="1" applyAlignment="1">
      <alignment horizontal="center"/>
    </xf>
    <xf numFmtId="0" fontId="142" fillId="0" borderId="32" xfId="0" applyFont="1" applyBorder="1" applyAlignment="1">
      <alignment horizontal="center" vertical="center" wrapText="1"/>
    </xf>
    <xf numFmtId="0" fontId="143" fillId="0" borderId="0" xfId="0" applyFont="1" applyBorder="1" applyAlignment="1">
      <alignment vertical="center" wrapText="1"/>
    </xf>
    <xf numFmtId="0" fontId="142" fillId="0" borderId="125" xfId="0" applyFont="1" applyFill="1" applyBorder="1" applyAlignment="1">
      <alignment horizontal="center" vertical="center" wrapText="1"/>
    </xf>
    <xf numFmtId="0" fontId="0" fillId="0" borderId="125" xfId="0" applyFill="1" applyBorder="1" applyAlignment="1">
      <alignment horizontal="center"/>
    </xf>
    <xf numFmtId="0" fontId="7" fillId="0" borderId="126" xfId="0" applyFont="1" applyBorder="1" applyAlignment="1">
      <alignment horizontal="right"/>
    </xf>
    <xf numFmtId="0" fontId="7" fillId="0" borderId="126" xfId="0" applyFont="1" applyBorder="1" applyAlignment="1"/>
    <xf numFmtId="2" fontId="7" fillId="0" borderId="126" xfId="0" applyNumberFormat="1" applyFont="1" applyBorder="1" applyAlignment="1">
      <alignment horizontal="right"/>
    </xf>
    <xf numFmtId="2" fontId="9" fillId="0" borderId="126" xfId="0" applyNumberFormat="1" applyFont="1" applyBorder="1" applyAlignment="1">
      <alignment horizontal="right"/>
    </xf>
    <xf numFmtId="2" fontId="10" fillId="0" borderId="126" xfId="0" applyNumberFormat="1" applyFont="1" applyBorder="1" applyAlignment="1">
      <alignment horizontal="right"/>
    </xf>
    <xf numFmtId="2" fontId="7" fillId="2" borderId="126" xfId="0" applyNumberFormat="1" applyFont="1" applyFill="1" applyBorder="1" applyAlignment="1">
      <alignment horizontal="right"/>
    </xf>
    <xf numFmtId="0" fontId="142" fillId="0" borderId="126" xfId="0" applyFont="1" applyBorder="1" applyAlignment="1">
      <alignment horizontal="center" vertical="center" wrapText="1"/>
    </xf>
    <xf numFmtId="1" fontId="7" fillId="0" borderId="126" xfId="0" applyNumberFormat="1" applyFont="1" applyFill="1" applyBorder="1" applyAlignment="1">
      <alignment horizontal="right"/>
    </xf>
    <xf numFmtId="0" fontId="142" fillId="52" borderId="14" xfId="0" applyFont="1" applyFill="1" applyBorder="1" applyAlignment="1">
      <alignment horizontal="center" vertical="center" wrapText="1"/>
    </xf>
    <xf numFmtId="0" fontId="142" fillId="52" borderId="14" xfId="0" applyFont="1" applyFill="1" applyBorder="1" applyAlignment="1">
      <alignment horizontal="center" vertical="center" wrapText="1" shrinkToFit="1"/>
    </xf>
    <xf numFmtId="0" fontId="142" fillId="52" borderId="125" xfId="0" applyFont="1" applyFill="1" applyBorder="1" applyAlignment="1">
      <alignment horizontal="center" vertical="center" wrapText="1"/>
    </xf>
    <xf numFmtId="0" fontId="142" fillId="53" borderId="14" xfId="0" applyFont="1" applyFill="1" applyBorder="1" applyAlignment="1">
      <alignment horizontal="center" vertical="center" wrapText="1"/>
    </xf>
    <xf numFmtId="0" fontId="142" fillId="53" borderId="125" xfId="0" applyFont="1" applyFill="1" applyBorder="1" applyAlignment="1">
      <alignment horizontal="center" vertical="center" wrapText="1"/>
    </xf>
    <xf numFmtId="173" fontId="142" fillId="52" borderId="14" xfId="0" applyNumberFormat="1" applyFont="1" applyFill="1" applyBorder="1" applyAlignment="1">
      <alignment horizontal="center" vertical="center" wrapText="1"/>
    </xf>
    <xf numFmtId="2" fontId="142" fillId="52" borderId="14" xfId="0" applyNumberFormat="1" applyFont="1" applyFill="1" applyBorder="1" applyAlignment="1">
      <alignment horizontal="center" vertical="center" wrapText="1"/>
    </xf>
    <xf numFmtId="173" fontId="142" fillId="53" borderId="14" xfId="0" applyNumberFormat="1" applyFont="1" applyFill="1" applyBorder="1" applyAlignment="1">
      <alignment horizontal="center" vertical="center" wrapText="1"/>
    </xf>
    <xf numFmtId="0" fontId="7" fillId="53" borderId="14" xfId="0" applyFont="1" applyFill="1" applyBorder="1" applyAlignment="1">
      <alignment horizontal="right"/>
    </xf>
    <xf numFmtId="2" fontId="24" fillId="53" borderId="0" xfId="0" applyNumberFormat="1" applyFont="1" applyFill="1" applyAlignment="1"/>
    <xf numFmtId="165" fontId="144" fillId="53" borderId="0" xfId="1" applyNumberFormat="1" applyFont="1" applyFill="1" applyAlignment="1"/>
    <xf numFmtId="2" fontId="23" fillId="53" borderId="0" xfId="0" applyNumberFormat="1" applyFont="1" applyFill="1" applyAlignment="1"/>
    <xf numFmtId="165" fontId="137" fillId="23" borderId="0" xfId="1" applyNumberFormat="1" applyFont="1" applyFill="1" applyAlignment="1"/>
    <xf numFmtId="165" fontId="115" fillId="46" borderId="0" xfId="1" applyNumberFormat="1" applyFont="1" applyFill="1" applyAlignment="1"/>
    <xf numFmtId="2" fontId="24" fillId="54" borderId="0" xfId="0" applyNumberFormat="1" applyFont="1" applyFill="1" applyAlignment="1"/>
    <xf numFmtId="2" fontId="7" fillId="54" borderId="0" xfId="0" applyNumberFormat="1" applyFont="1" applyFill="1" applyAlignment="1"/>
    <xf numFmtId="2" fontId="16" fillId="54" borderId="0" xfId="0" applyNumberFormat="1" applyFont="1" applyFill="1" applyAlignment="1"/>
    <xf numFmtId="2" fontId="28" fillId="0" borderId="0" xfId="0" applyNumberFormat="1" applyFont="1" applyAlignment="1"/>
    <xf numFmtId="2" fontId="0" fillId="0" borderId="0" xfId="0" applyNumberFormat="1" applyFont="1" applyAlignment="1"/>
    <xf numFmtId="2" fontId="36" fillId="3" borderId="22" xfId="0" applyNumberFormat="1" applyFont="1" applyFill="1" applyBorder="1" applyAlignment="1"/>
    <xf numFmtId="2" fontId="7" fillId="0" borderId="22" xfId="0" applyNumberFormat="1" applyFont="1" applyBorder="1" applyAlignment="1"/>
    <xf numFmtId="2" fontId="38" fillId="0" borderId="10" xfId="0" applyNumberFormat="1" applyFont="1" applyBorder="1" applyAlignment="1"/>
    <xf numFmtId="2" fontId="39" fillId="0" borderId="5" xfId="0" applyNumberFormat="1" applyFont="1" applyBorder="1"/>
    <xf numFmtId="2" fontId="1" fillId="0" borderId="38" xfId="0" applyNumberFormat="1" applyFont="1" applyFill="1" applyBorder="1" applyAlignment="1"/>
    <xf numFmtId="2" fontId="0" fillId="0" borderId="39" xfId="0" applyNumberFormat="1" applyFont="1" applyFill="1" applyBorder="1" applyAlignment="1"/>
    <xf numFmtId="2" fontId="16" fillId="0" borderId="42" xfId="0" applyNumberFormat="1" applyFont="1" applyBorder="1" applyAlignment="1"/>
    <xf numFmtId="2" fontId="58" fillId="18" borderId="44" xfId="0" applyNumberFormat="1" applyFont="1" applyFill="1" applyBorder="1" applyAlignment="1"/>
    <xf numFmtId="2" fontId="0" fillId="0" borderId="0" xfId="0" applyNumberFormat="1" applyFont="1" applyBorder="1" applyAlignment="1"/>
    <xf numFmtId="2" fontId="23" fillId="0" borderId="44" xfId="0" applyNumberFormat="1" applyFont="1" applyBorder="1" applyAlignment="1"/>
    <xf numFmtId="2" fontId="7" fillId="0" borderId="52" xfId="0" applyNumberFormat="1" applyFont="1" applyBorder="1" applyAlignment="1">
      <alignment horizontal="left"/>
    </xf>
    <xf numFmtId="2" fontId="39" fillId="0" borderId="7" xfId="0" applyNumberFormat="1" applyFont="1" applyBorder="1"/>
    <xf numFmtId="2" fontId="16" fillId="0" borderId="10" xfId="0" applyNumberFormat="1" applyFont="1" applyBorder="1" applyAlignment="1"/>
    <xf numFmtId="2" fontId="1" fillId="0" borderId="58" xfId="0" applyNumberFormat="1" applyFont="1" applyBorder="1" applyAlignment="1"/>
    <xf numFmtId="2" fontId="1" fillId="0" borderId="0" xfId="0" applyNumberFormat="1" applyFont="1" applyAlignment="1"/>
    <xf numFmtId="2" fontId="94" fillId="0" borderId="0" xfId="0" applyNumberFormat="1" applyFont="1" applyAlignment="1"/>
    <xf numFmtId="2" fontId="3" fillId="0" borderId="0" xfId="0" applyNumberFormat="1" applyFont="1" applyAlignment="1"/>
    <xf numFmtId="2" fontId="97" fillId="0" borderId="0" xfId="0" applyNumberFormat="1" applyFont="1" applyAlignment="1"/>
    <xf numFmtId="2" fontId="23" fillId="0" borderId="8" xfId="0" applyNumberFormat="1" applyFont="1" applyBorder="1" applyAlignment="1"/>
    <xf numFmtId="2" fontId="39" fillId="0" borderId="8" xfId="0" applyNumberFormat="1" applyFont="1" applyBorder="1"/>
    <xf numFmtId="2" fontId="35" fillId="7" borderId="112" xfId="0" applyNumberFormat="1" applyFont="1" applyFill="1" applyBorder="1" applyAlignment="1"/>
    <xf numFmtId="2" fontId="108" fillId="7" borderId="112" xfId="2" applyNumberFormat="1" applyFont="1" applyFill="1" applyBorder="1" applyAlignment="1"/>
    <xf numFmtId="2" fontId="14" fillId="0" borderId="0" xfId="0" applyNumberFormat="1" applyFont="1" applyAlignment="1"/>
    <xf numFmtId="2" fontId="109" fillId="7" borderId="113" xfId="0" applyNumberFormat="1" applyFont="1" applyFill="1" applyBorder="1" applyAlignment="1"/>
    <xf numFmtId="2" fontId="39" fillId="0" borderId="114" xfId="0" applyNumberFormat="1" applyFont="1" applyBorder="1"/>
    <xf numFmtId="2" fontId="109" fillId="43" borderId="0" xfId="0" applyNumberFormat="1" applyFont="1" applyFill="1" applyAlignment="1"/>
    <xf numFmtId="2" fontId="1" fillId="29" borderId="58" xfId="0" applyNumberFormat="1" applyFont="1" applyFill="1" applyBorder="1" applyAlignment="1"/>
    <xf numFmtId="2" fontId="101" fillId="7" borderId="0" xfId="0" applyNumberFormat="1" applyFont="1" applyFill="1" applyAlignment="1"/>
    <xf numFmtId="2" fontId="23" fillId="0" borderId="0" xfId="0" applyNumberFormat="1" applyFont="1" applyAlignment="1"/>
    <xf numFmtId="2" fontId="35" fillId="7" borderId="111" xfId="0" applyNumberFormat="1" applyFont="1" applyFill="1" applyBorder="1" applyAlignment="1"/>
    <xf numFmtId="2" fontId="39" fillId="0" borderId="29" xfId="0" applyNumberFormat="1" applyFont="1" applyBorder="1"/>
  </cellXfs>
  <cellStyles count="4">
    <cellStyle name="Hipervínculo" xfId="2" builtinId="8"/>
    <cellStyle name="Moneda" xfId="3" builtinId="4"/>
    <cellStyle name="Normal" xfId="0" builtinId="0"/>
    <cellStyle name="Porcentaje" xfId="1" builtinId="5"/>
  </cellStyles>
  <dxfs count="75">
    <dxf>
      <fill>
        <patternFill>
          <bgColor theme="8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8" tint="0.39994506668294322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</dxfs>
  <tableStyles count="34">
    <tableStyle name="Recibo-style" pivot="0" count="2" xr9:uid="{E21A060E-36F1-4888-A38A-A87DC3DBDA2A}">
      <tableStyleElement type="firstRowStripe" dxfId="74"/>
      <tableStyleElement type="secondRowStripe" dxfId="73"/>
    </tableStyle>
    <tableStyle name="Recibo-style 2" pivot="0" count="2" xr9:uid="{83E3FCA2-612B-43C5-932A-CF81BEE6D7EA}">
      <tableStyleElement type="firstRowStripe" dxfId="72"/>
      <tableStyleElement type="secondRowStripe" dxfId="71"/>
    </tableStyle>
    <tableStyle name="Recibo-style 3" pivot="0" count="2" xr9:uid="{2C1627B0-30A4-4060-9913-77761E45F1CF}">
      <tableStyleElement type="firstRowStripe" dxfId="70"/>
      <tableStyleElement type="secondRowStripe" dxfId="69"/>
    </tableStyle>
    <tableStyle name="Recibo-style 4" pivot="0" count="2" xr9:uid="{7C583073-CF6B-464D-8063-2CDD861E4905}">
      <tableStyleElement type="firstRowStripe" dxfId="68"/>
      <tableStyleElement type="secondRowStripe" dxfId="67"/>
    </tableStyle>
    <tableStyle name="Recibo-style 5" pivot="0" count="2" xr9:uid="{2DF62005-C1E4-457B-82A1-434A3E4BE347}">
      <tableStyleElement type="firstRowStripe" dxfId="66"/>
      <tableStyleElement type="secondRowStripe" dxfId="65"/>
    </tableStyle>
    <tableStyle name="Recibo-style 6" pivot="0" count="2" xr9:uid="{C26BA233-0AE2-4B46-9DC4-32CC25A72CC2}">
      <tableStyleElement type="firstRowStripe" dxfId="64"/>
      <tableStyleElement type="secondRowStripe" dxfId="63"/>
    </tableStyle>
    <tableStyle name="Recibo-style 7" pivot="0" count="2" xr9:uid="{59EF129C-4E20-4B38-971D-5CAF58806E16}">
      <tableStyleElement type="firstRowStripe" dxfId="62"/>
      <tableStyleElement type="secondRowStripe" dxfId="61"/>
    </tableStyle>
    <tableStyle name="Recibo-style 8" pivot="0" count="2" xr9:uid="{381E2B34-FC12-4E7D-9653-94C337295753}">
      <tableStyleElement type="firstRowStripe" dxfId="60"/>
      <tableStyleElement type="secondRowStripe" dxfId="59"/>
    </tableStyle>
    <tableStyle name="Recibo-style 9" pivot="0" count="2" xr9:uid="{9948391B-5AF2-46C1-8494-49958B164A9B}">
      <tableStyleElement type="firstRowStripe" dxfId="58"/>
      <tableStyleElement type="secondRowStripe" dxfId="57"/>
    </tableStyle>
    <tableStyle name="Recibo-style 10" pivot="0" count="2" xr9:uid="{9EF88EE7-F033-47F1-9C94-8835CA901A7B}">
      <tableStyleElement type="firstRowStripe" dxfId="56"/>
      <tableStyleElement type="secondRowStripe" dxfId="55"/>
    </tableStyle>
    <tableStyle name="Recibo-style 11" pivot="0" count="2" xr9:uid="{6D1CD998-E942-4C38-A3B5-4A41A4086BFB}">
      <tableStyleElement type="firstRowStripe" dxfId="54"/>
      <tableStyleElement type="secondRowStripe" dxfId="53"/>
    </tableStyle>
    <tableStyle name="Recibo-style 12" pivot="0" count="2" xr9:uid="{4C25E3F3-D671-4DAC-9280-623779727D52}">
      <tableStyleElement type="firstRowStripe" dxfId="52"/>
      <tableStyleElement type="secondRowStripe" dxfId="51"/>
    </tableStyle>
    <tableStyle name="Recibo-style 13" pivot="0" count="2" xr9:uid="{57C3C018-C0B4-4C2E-9E37-318C24F4AD4B}">
      <tableStyleElement type="firstRowStripe" dxfId="50"/>
      <tableStyleElement type="secondRowStripe" dxfId="49"/>
    </tableStyle>
    <tableStyle name="Recibo-style 14" pivot="0" count="2" xr9:uid="{C4FD4CC3-3FDE-4F62-8D60-D5C6F0813865}">
      <tableStyleElement type="firstRowStripe" dxfId="48"/>
      <tableStyleElement type="secondRowStripe" dxfId="47"/>
    </tableStyle>
    <tableStyle name="Recibo-style 15" pivot="0" count="2" xr9:uid="{295300C2-2C7D-402F-A2ED-D9B4135A66F8}">
      <tableStyleElement type="firstRowStripe" dxfId="46"/>
      <tableStyleElement type="secondRowStripe" dxfId="45"/>
    </tableStyle>
    <tableStyle name="Recibo-style 16" pivot="0" count="2" xr9:uid="{33E96862-8FF8-4081-8113-979957A9FEA6}">
      <tableStyleElement type="firstRowStripe" dxfId="44"/>
      <tableStyleElement type="secondRowStripe" dxfId="43"/>
    </tableStyle>
    <tableStyle name="Recibo-style 17" pivot="0" count="2" xr9:uid="{6D022FFB-2581-415F-B8A0-49A4DC002B88}">
      <tableStyleElement type="firstRowStripe" dxfId="42"/>
      <tableStyleElement type="secondRowStripe" dxfId="41"/>
    </tableStyle>
    <tableStyle name="Recibo-style 18" pivot="0" count="2" xr9:uid="{C4FF9113-DFFE-4BD2-B6C5-952C5EE1B0FE}">
      <tableStyleElement type="firstRowStripe" dxfId="40"/>
      <tableStyleElement type="secondRowStripe" dxfId="39"/>
    </tableStyle>
    <tableStyle name="Recibo-style 19" pivot="0" count="2" xr9:uid="{3F03B9D6-C958-415B-9194-D481F10E795A}">
      <tableStyleElement type="firstRowStripe" dxfId="38"/>
      <tableStyleElement type="secondRowStripe" dxfId="37"/>
    </tableStyle>
    <tableStyle name="Recibo-style 20" pivot="0" count="2" xr9:uid="{4F4022FB-0E65-4604-96AC-8A08B24682EC}">
      <tableStyleElement type="firstRowStripe" dxfId="36"/>
      <tableStyleElement type="secondRowStripe" dxfId="35"/>
    </tableStyle>
    <tableStyle name="Recibo-style 21" pivot="0" count="2" xr9:uid="{A105A338-AA7E-4697-A501-AA293F25C12B}">
      <tableStyleElement type="firstRowStripe" dxfId="34"/>
      <tableStyleElement type="secondRowStripe" dxfId="33"/>
    </tableStyle>
    <tableStyle name="Recibo-style 22" pivot="0" count="2" xr9:uid="{ABCA1701-3329-4B81-867F-B84676FE8066}">
      <tableStyleElement type="firstRowStripe" dxfId="32"/>
      <tableStyleElement type="secondRowStripe" dxfId="31"/>
    </tableStyle>
    <tableStyle name="Recibo-style 23" pivot="0" count="2" xr9:uid="{2395E682-821B-4E4E-807B-ED87276C2627}">
      <tableStyleElement type="firstRowStripe" dxfId="30"/>
      <tableStyleElement type="secondRowStripe" dxfId="29"/>
    </tableStyle>
    <tableStyle name="Recibo-style 24" pivot="0" count="2" xr9:uid="{344CD294-B440-45BD-9196-3DF06E421FE6}">
      <tableStyleElement type="firstRowStripe" dxfId="28"/>
      <tableStyleElement type="secondRowStripe" dxfId="27"/>
    </tableStyle>
    <tableStyle name="Recibo-style 25" pivot="0" count="2" xr9:uid="{6E20651C-35C0-49C0-A9F5-FD88549FC8B8}">
      <tableStyleElement type="firstRowStripe" dxfId="26"/>
      <tableStyleElement type="secondRowStripe" dxfId="25"/>
    </tableStyle>
    <tableStyle name="Recibo-style 26" pivot="0" count="2" xr9:uid="{659C9E36-4B7D-4E7D-BC9D-DE8B3354BEE3}">
      <tableStyleElement type="firstRowStripe" dxfId="24"/>
      <tableStyleElement type="secondRowStripe" dxfId="23"/>
    </tableStyle>
    <tableStyle name="Recibo-style 27" pivot="0" count="2" xr9:uid="{B90A80BE-8CA6-4189-8CC6-D8145E58128F}">
      <tableStyleElement type="firstRowStripe" dxfId="22"/>
      <tableStyleElement type="secondRowStripe" dxfId="21"/>
    </tableStyle>
    <tableStyle name="Recibo-style 28" pivot="0" count="2" xr9:uid="{0341A802-6AA6-404E-B391-E81406B803A1}">
      <tableStyleElement type="firstRowStripe" dxfId="20"/>
      <tableStyleElement type="secondRowStripe" dxfId="19"/>
    </tableStyle>
    <tableStyle name="Recibo-style 29" pivot="0" count="2" xr9:uid="{225780B7-03F1-4345-8EB7-54C254A9DE4C}">
      <tableStyleElement type="firstRowStripe" dxfId="18"/>
      <tableStyleElement type="secondRowStripe" dxfId="17"/>
    </tableStyle>
    <tableStyle name="Recibo-style 30" pivot="0" count="2" xr9:uid="{DE45D800-DF26-4CF1-B957-B64FD7EA133A}">
      <tableStyleElement type="firstRowStripe" dxfId="16"/>
      <tableStyleElement type="secondRowStripe" dxfId="15"/>
    </tableStyle>
    <tableStyle name="Recibo-style 31" pivot="0" count="2" xr9:uid="{522CAA6D-7E1F-49DE-B930-14A44F4AD128}">
      <tableStyleElement type="firstRowStripe" dxfId="14"/>
      <tableStyleElement type="secondRowStripe" dxfId="13"/>
    </tableStyle>
    <tableStyle name="Recibo-style 32" pivot="0" count="2" xr9:uid="{CB5D248F-C491-4EBC-8DE2-188CCEBD62DB}">
      <tableStyleElement type="firstRowStripe" dxfId="12"/>
      <tableStyleElement type="secondRowStripe" dxfId="11"/>
    </tableStyle>
    <tableStyle name="Recibo-style 33" pivot="0" count="2" xr9:uid="{2DA35457-9CDD-4507-AC47-F57ED9F055DA}">
      <tableStyleElement type="firstRowStripe" dxfId="10"/>
      <tableStyleElement type="secondRowStripe" dxfId="9"/>
    </tableStyle>
    <tableStyle name="Recibo-style 34" pivot="0" count="2" xr9:uid="{F4C371D0-B0C4-47CD-8AA7-F85723F4E6EB}">
      <tableStyleElement type="firstRowStripe" dxfId="8"/>
      <tableStyleElement type="secondRowStripe" dxfId="7"/>
    </tableStyle>
  </tableStyles>
  <colors>
    <mruColors>
      <color rgb="FF00FF00"/>
      <color rgb="FFCCFFFF"/>
      <color rgb="FFFF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mments" Target="../comments1.xml"/><Relationship Id="rId3" Type="http://schemas.openxmlformats.org/officeDocument/2006/relationships/hyperlink" Target="http://www.agmeruruguay.com.ar/" TargetMode="External"/><Relationship Id="rId7" Type="http://schemas.openxmlformats.org/officeDocument/2006/relationships/vmlDrawing" Target="../drawings/vmlDrawing1.vml"/><Relationship Id="rId2" Type="http://schemas.openxmlformats.org/officeDocument/2006/relationships/hyperlink" Target="mailto:huttvictor@gmail.com" TargetMode="External"/><Relationship Id="rId1" Type="http://schemas.openxmlformats.org/officeDocument/2006/relationships/hyperlink" Target="about:blank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victorhutt.com.ar/" TargetMode="External"/><Relationship Id="rId4" Type="http://schemas.openxmlformats.org/officeDocument/2006/relationships/hyperlink" Target="https://www.facebook.com/agmeruruguay-188015884570012/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about:bla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outlinePr summaryBelow="0" summaryRight="0"/>
  </sheetPr>
  <dimension ref="A1:BZ478"/>
  <sheetViews>
    <sheetView tabSelected="1" zoomScale="70" zoomScaleNormal="70" workbookViewId="0">
      <pane ySplit="1" topLeftCell="A2" activePane="bottomLeft" state="frozen"/>
      <selection pane="bottomLeft"/>
    </sheetView>
  </sheetViews>
  <sheetFormatPr baseColWidth="10" defaultColWidth="14.42578125" defaultRowHeight="15.75" customHeight="1"/>
  <cols>
    <col min="1" max="1" width="9.42578125" style="15" customWidth="1"/>
    <col min="2" max="2" width="12.42578125" style="15" customWidth="1"/>
    <col min="3" max="3" width="19.7109375" style="15" customWidth="1"/>
    <col min="4" max="4" width="32" style="15" customWidth="1"/>
    <col min="5" max="5" width="29" style="15" customWidth="1"/>
    <col min="6" max="6" width="25" style="15" customWidth="1"/>
    <col min="7" max="7" width="17" style="15" customWidth="1"/>
    <col min="8" max="8" width="26.85546875" style="15" customWidth="1"/>
    <col min="9" max="9" width="23.28515625" style="15" customWidth="1"/>
    <col min="10" max="10" width="16.85546875" style="15" customWidth="1"/>
    <col min="11" max="11" width="24.7109375" style="15" customWidth="1"/>
    <col min="12" max="12" width="22.42578125" style="15" customWidth="1"/>
    <col min="13" max="13" width="17.42578125" style="15" customWidth="1"/>
    <col min="14" max="14" width="24.7109375" style="15" customWidth="1"/>
    <col min="15" max="15" width="20.85546875" style="15" customWidth="1"/>
    <col min="16" max="16" width="15.5703125" style="15" customWidth="1"/>
    <col min="17" max="17" width="22.7109375" style="15" customWidth="1"/>
    <col min="18" max="18" width="19.5703125" style="15" customWidth="1"/>
    <col min="19" max="19" width="19.7109375" style="15" customWidth="1"/>
    <col min="20" max="20" width="20.42578125" style="15" customWidth="1"/>
    <col min="21" max="21" width="18.85546875" style="15" customWidth="1"/>
    <col min="22" max="22" width="16.42578125" style="15" customWidth="1"/>
    <col min="23" max="23" width="21" style="15" customWidth="1"/>
    <col min="24" max="24" width="19" style="15" customWidth="1"/>
    <col min="25" max="25" width="10" style="15" customWidth="1"/>
    <col min="26" max="26" width="21.42578125" style="15" customWidth="1"/>
    <col min="27" max="27" width="16.85546875" style="15" customWidth="1"/>
    <col min="28" max="28" width="17" style="15" customWidth="1"/>
    <col min="29" max="29" width="20.140625" style="15" customWidth="1"/>
    <col min="30" max="30" width="15" style="15" customWidth="1"/>
    <col min="31" max="31" width="14.42578125" style="15"/>
    <col min="32" max="32" width="19.42578125" style="15" customWidth="1"/>
    <col min="33" max="33" width="18.140625" style="15" customWidth="1"/>
    <col min="34" max="34" width="14.42578125" style="15"/>
    <col min="35" max="35" width="21.85546875" style="15" customWidth="1"/>
    <col min="36" max="36" width="18.140625" style="15" customWidth="1"/>
    <col min="37" max="38" width="14.42578125" style="15"/>
    <col min="39" max="39" width="18.140625" style="15"/>
    <col min="40" max="41" width="14.42578125" style="15"/>
    <col min="42" max="42" width="18.140625" style="15"/>
    <col min="43" max="16384" width="14.42578125" style="15"/>
  </cols>
  <sheetData>
    <row r="1" spans="1:78" s="11" customFormat="1" ht="18">
      <c r="A1" s="18"/>
      <c r="B1" s="19"/>
      <c r="C1" s="19"/>
      <c r="D1" s="20"/>
      <c r="E1" s="21">
        <v>45992</v>
      </c>
      <c r="F1" s="22">
        <f>(1+Aumentodic25respene25)*(1+Aumentoene25respdic24)-1</f>
        <v>0.29963870703408513</v>
      </c>
      <c r="G1" s="20"/>
      <c r="H1" s="21">
        <v>45962</v>
      </c>
      <c r="I1" s="22">
        <f>(1+Aumentonov25respene25)*(1+Aumentoene25respdic24)-1</f>
        <v>0.26794020198447344</v>
      </c>
      <c r="J1" s="20"/>
      <c r="K1" s="21">
        <v>45931</v>
      </c>
      <c r="L1" s="22" cm="1">
        <f t="array" ref="L1">(1+Aumentooct25respene25)*(1+Aumentoene25respdic24)-1</f>
        <v>0.24050593609017179</v>
      </c>
      <c r="M1" s="20"/>
      <c r="N1" s="21">
        <v>45901</v>
      </c>
      <c r="O1" s="22" cm="1">
        <f t="array" ref="O1">(1+Aumentosep25respene25)*(1+Aumentoene25respdic24)-1</f>
        <v>0.21545725853450493</v>
      </c>
      <c r="P1" s="20"/>
      <c r="Q1" s="21">
        <v>45870</v>
      </c>
      <c r="R1" s="22" cm="1">
        <f t="array" ref="R1">(1+Aumentoago25respene25)*(1+Aumentoene25respdic24)-1</f>
        <v>0.19279416931747306</v>
      </c>
      <c r="S1" s="20"/>
      <c r="T1" s="21">
        <v>45839</v>
      </c>
      <c r="U1" s="22">
        <f>(1+Aumentojul25respene25)*(1+Aumentoene25respdic24)-1</f>
        <v>0.17246852876408125</v>
      </c>
      <c r="V1" s="20"/>
      <c r="W1" s="21">
        <v>45809</v>
      </c>
      <c r="X1" s="22">
        <f>(1+Aumentojun25respene25)*(1+Aumentoene25respdic24)-1</f>
        <v>0.15535219987701421</v>
      </c>
      <c r="Y1" s="20"/>
      <c r="Z1" s="21">
        <v>45778</v>
      </c>
      <c r="AA1" s="22" cm="1">
        <f t="array" ref="AA1">(1+Aumentomay25respene25)*(1+Aumentoene25respdic24)-1</f>
        <v>0.13930564154538927</v>
      </c>
      <c r="AB1" s="20"/>
      <c r="AC1" s="21">
        <v>45748</v>
      </c>
      <c r="AD1" s="22">
        <f>(1+Aumentoabr25respene25)*(1+Aumentoene25respdic24)-1</f>
        <v>0.10935206599302227</v>
      </c>
      <c r="AE1" s="20"/>
      <c r="AF1" s="21">
        <v>45717</v>
      </c>
      <c r="AG1" s="22">
        <f>(1+Aumentomar25respene25)*(1+Aumentoene25respdic24)-1</f>
        <v>6.9770555441680093E-2</v>
      </c>
      <c r="AH1" s="20"/>
      <c r="AI1" s="787" t="s">
        <v>201</v>
      </c>
      <c r="AJ1" s="20"/>
      <c r="AK1" s="20"/>
      <c r="AL1" s="21" t="s">
        <v>200</v>
      </c>
      <c r="AM1" s="22">
        <f>(1+Aumentofeb25respene25)*(1+Aumentoene25respdic24)-1</f>
        <v>4.522515072791311E-2</v>
      </c>
      <c r="AN1" s="20"/>
      <c r="AO1" s="21">
        <v>45658</v>
      </c>
      <c r="AP1" s="22">
        <v>2.2725196406967674E-2</v>
      </c>
      <c r="AQ1" s="20"/>
      <c r="AR1" s="728">
        <v>45627</v>
      </c>
      <c r="AS1" s="729">
        <f>Aumentodic24</f>
        <v>1.1820279278367574</v>
      </c>
      <c r="AT1" s="20"/>
      <c r="AU1" s="20"/>
      <c r="AV1" s="21"/>
      <c r="AW1" s="75"/>
      <c r="AX1" s="20"/>
      <c r="AY1" s="21"/>
      <c r="AZ1" s="75"/>
      <c r="BA1" s="20"/>
      <c r="BB1" s="21"/>
      <c r="BC1" s="75"/>
      <c r="BD1" s="20"/>
      <c r="BE1" s="21"/>
      <c r="BF1" s="75"/>
      <c r="BG1" s="76"/>
      <c r="BH1" s="21"/>
      <c r="BI1" s="75"/>
      <c r="BJ1" s="76"/>
      <c r="BK1" s="21"/>
      <c r="BL1" s="75"/>
      <c r="BM1" s="76"/>
      <c r="BN1" s="21"/>
      <c r="BO1" s="75"/>
      <c r="BP1" s="76"/>
      <c r="BQ1" s="21"/>
      <c r="BR1" s="75"/>
      <c r="BS1" s="76"/>
      <c r="BT1" s="21"/>
      <c r="BU1" s="75"/>
      <c r="BV1" s="77"/>
      <c r="BW1" s="77"/>
      <c r="BX1" s="77"/>
      <c r="BY1" s="77"/>
      <c r="BZ1" s="77"/>
    </row>
    <row r="2" spans="1:78" ht="27.75">
      <c r="A2" s="23" t="s">
        <v>199</v>
      </c>
      <c r="B2" s="24"/>
      <c r="C2" s="24"/>
      <c r="D2" s="24"/>
      <c r="E2" s="25"/>
      <c r="F2" s="26" t="s">
        <v>198</v>
      </c>
      <c r="G2" s="26"/>
      <c r="H2" s="26"/>
      <c r="I2" s="26"/>
      <c r="J2" s="56"/>
      <c r="K2" s="57"/>
      <c r="L2" s="5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  <c r="AC2" s="28"/>
      <c r="AD2" s="28"/>
      <c r="AE2" s="28"/>
      <c r="AF2" s="28"/>
      <c r="AG2" s="28"/>
      <c r="AH2" s="28"/>
      <c r="AI2" s="28"/>
      <c r="AJ2" s="28"/>
      <c r="AK2" s="28"/>
      <c r="AL2" s="28"/>
      <c r="AM2" s="28"/>
      <c r="AN2" s="28"/>
      <c r="AO2" s="28"/>
      <c r="AP2" s="28"/>
      <c r="AQ2" s="28"/>
      <c r="AR2" s="28"/>
      <c r="AS2" s="28"/>
      <c r="AT2" s="28"/>
    </row>
    <row r="3" spans="1:78" s="12" customFormat="1" ht="33" customHeight="1">
      <c r="A3" s="849" t="s">
        <v>0</v>
      </c>
      <c r="B3" s="850"/>
      <c r="C3" s="850"/>
      <c r="D3" s="850"/>
      <c r="E3" s="850" t="s">
        <v>620</v>
      </c>
      <c r="F3" s="851"/>
      <c r="G3" s="852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  <c r="AP3" s="27"/>
      <c r="AQ3" s="27"/>
      <c r="AR3" s="27"/>
      <c r="AS3" s="27"/>
      <c r="AT3" s="27"/>
    </row>
    <row r="4" spans="1:78" ht="27.75" customHeight="1">
      <c r="A4" s="873" t="s">
        <v>242</v>
      </c>
      <c r="B4" s="874"/>
      <c r="C4" s="874"/>
      <c r="D4" s="875"/>
      <c r="E4" s="875"/>
      <c r="F4" s="875"/>
      <c r="G4" s="28"/>
      <c r="H4" s="28"/>
      <c r="I4" s="28"/>
      <c r="J4" s="28"/>
      <c r="K4" s="28"/>
      <c r="L4" s="28"/>
      <c r="M4" s="28"/>
      <c r="N4" s="28"/>
      <c r="O4" s="28"/>
      <c r="P4" s="28"/>
      <c r="Q4" s="28"/>
      <c r="R4" s="28"/>
      <c r="S4" s="28"/>
      <c r="T4" s="28"/>
      <c r="U4" s="28"/>
      <c r="V4" s="28"/>
      <c r="W4" s="28"/>
      <c r="X4" s="28"/>
      <c r="Y4" s="28"/>
      <c r="Z4" s="28"/>
      <c r="AA4" s="28"/>
      <c r="AB4" s="28"/>
      <c r="AC4" s="28"/>
      <c r="AD4" s="28"/>
      <c r="AE4" s="28"/>
      <c r="AF4" s="28"/>
      <c r="AG4" s="28"/>
      <c r="AH4" s="28"/>
      <c r="AI4" s="28"/>
      <c r="AJ4" s="28"/>
      <c r="AK4" s="28"/>
      <c r="AL4" s="28"/>
      <c r="AM4" s="28"/>
      <c r="AN4" s="28"/>
      <c r="AO4" s="28"/>
      <c r="AP4" s="28"/>
      <c r="AQ4" s="28"/>
      <c r="AR4" s="28"/>
      <c r="AS4" s="28"/>
      <c r="AT4" s="28"/>
    </row>
    <row r="5" spans="1:78" s="13" customFormat="1">
      <c r="A5" s="29" t="s">
        <v>1</v>
      </c>
      <c r="C5" s="30"/>
      <c r="D5" s="31">
        <v>1</v>
      </c>
      <c r="E5" s="31">
        <v>2</v>
      </c>
      <c r="F5" s="31">
        <v>3</v>
      </c>
      <c r="G5" s="31">
        <v>4</v>
      </c>
      <c r="H5" s="31">
        <v>5</v>
      </c>
      <c r="I5" s="31">
        <v>6</v>
      </c>
      <c r="J5" s="31">
        <v>7</v>
      </c>
      <c r="K5" s="59">
        <v>8</v>
      </c>
      <c r="L5" s="31">
        <v>9</v>
      </c>
      <c r="M5" s="31">
        <v>10</v>
      </c>
      <c r="N5" s="31">
        <v>11</v>
      </c>
      <c r="O5" s="59">
        <v>12</v>
      </c>
      <c r="P5" s="31">
        <v>13</v>
      </c>
      <c r="Q5" s="59">
        <v>14</v>
      </c>
      <c r="R5" s="31">
        <v>15</v>
      </c>
      <c r="S5" s="31">
        <v>16</v>
      </c>
      <c r="T5" s="31">
        <v>17</v>
      </c>
      <c r="U5" s="31">
        <v>18</v>
      </c>
      <c r="V5" s="31">
        <v>19</v>
      </c>
      <c r="W5" s="31">
        <v>20</v>
      </c>
      <c r="X5" s="31">
        <v>21</v>
      </c>
      <c r="Y5" s="30"/>
      <c r="Z5" s="30"/>
      <c r="AA5" s="30"/>
      <c r="AB5" s="30"/>
      <c r="AC5" s="30"/>
      <c r="AD5" s="30"/>
      <c r="AE5" s="30"/>
      <c r="AF5" s="30"/>
      <c r="AG5" s="30"/>
      <c r="AH5" s="30"/>
      <c r="AI5" s="30"/>
      <c r="AJ5" s="30"/>
      <c r="AK5" s="30"/>
      <c r="AL5" s="30"/>
      <c r="AM5" s="30"/>
      <c r="AN5" s="30"/>
      <c r="AO5" s="30"/>
      <c r="AP5" s="30"/>
      <c r="AQ5" s="30"/>
      <c r="AR5" s="30"/>
      <c r="AS5" s="30"/>
      <c r="AT5" s="30"/>
    </row>
    <row r="6" spans="1:78" ht="24" customHeight="1">
      <c r="A6" s="884" t="s">
        <v>241</v>
      </c>
      <c r="B6" s="741"/>
      <c r="C6" s="741"/>
      <c r="D6" s="883"/>
      <c r="E6" s="859" t="s">
        <v>223</v>
      </c>
      <c r="F6" s="869">
        <v>566364.43000000005</v>
      </c>
      <c r="G6" s="880" t="s">
        <v>240</v>
      </c>
      <c r="H6" s="740"/>
      <c r="I6" s="735"/>
      <c r="J6" s="735"/>
      <c r="K6" s="735"/>
      <c r="L6" s="735"/>
      <c r="M6" s="735"/>
      <c r="N6" s="735"/>
      <c r="O6" s="735"/>
      <c r="P6" s="735"/>
      <c r="Q6" s="735"/>
      <c r="R6" s="735"/>
      <c r="S6" s="735"/>
      <c r="T6" s="735"/>
      <c r="U6" s="735"/>
      <c r="V6" s="735"/>
      <c r="W6" s="735"/>
      <c r="X6" s="28"/>
      <c r="Y6" s="28"/>
      <c r="Z6" s="28"/>
      <c r="AA6" s="28"/>
      <c r="AB6" s="28"/>
      <c r="AC6" s="28"/>
      <c r="AD6" s="28"/>
      <c r="AE6" s="28"/>
      <c r="AF6" s="28"/>
      <c r="AG6" s="28"/>
      <c r="AH6" s="28"/>
      <c r="AI6" s="28"/>
      <c r="AJ6" s="28"/>
      <c r="AK6" s="28"/>
      <c r="AL6" s="28"/>
      <c r="AM6" s="28"/>
      <c r="AN6" s="28"/>
      <c r="AO6" s="28"/>
      <c r="AP6" s="28"/>
      <c r="AQ6" s="28"/>
      <c r="AR6" s="28"/>
      <c r="AS6" s="28"/>
      <c r="AT6" s="28"/>
    </row>
    <row r="7" spans="1:78" ht="23.25">
      <c r="A7" s="945" t="s">
        <v>2</v>
      </c>
      <c r="B7" s="946"/>
      <c r="C7" s="946"/>
      <c r="D7" s="28"/>
      <c r="E7" s="860" t="s">
        <v>224</v>
      </c>
      <c r="F7" s="868">
        <v>1257329.03</v>
      </c>
      <c r="G7" s="880" t="s">
        <v>240</v>
      </c>
      <c r="H7" s="28"/>
      <c r="I7" s="28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  <c r="U7" s="28"/>
      <c r="V7" s="28"/>
      <c r="W7" s="28"/>
      <c r="X7" s="28"/>
      <c r="Y7" s="28"/>
      <c r="Z7" s="28"/>
      <c r="AA7" s="28"/>
      <c r="AB7" s="28"/>
      <c r="AC7" s="28"/>
      <c r="AD7" s="28"/>
      <c r="AE7" s="28"/>
      <c r="AF7" s="28"/>
      <c r="AG7" s="28"/>
      <c r="AH7" s="28"/>
      <c r="AI7" s="28"/>
      <c r="AJ7" s="28"/>
      <c r="AK7" s="28"/>
      <c r="AL7" s="28"/>
      <c r="AM7" s="28"/>
      <c r="AN7" s="28"/>
      <c r="AO7" s="28"/>
      <c r="AP7" s="28"/>
      <c r="AQ7" s="28"/>
      <c r="AR7" s="28"/>
      <c r="AS7" s="28"/>
      <c r="AT7" s="28"/>
    </row>
    <row r="8" spans="1:78" ht="18" customHeight="1">
      <c r="A8" s="18" t="s">
        <v>3</v>
      </c>
      <c r="B8" s="33"/>
      <c r="C8" s="33"/>
      <c r="D8" s="28"/>
      <c r="E8" s="34"/>
      <c r="F8" s="34"/>
      <c r="G8" s="34"/>
      <c r="H8" s="28"/>
      <c r="I8" s="28"/>
      <c r="J8" s="28"/>
      <c r="K8" s="28"/>
      <c r="L8" s="60"/>
      <c r="M8" s="28"/>
      <c r="N8" s="28"/>
      <c r="O8" s="28"/>
      <c r="P8" s="28"/>
      <c r="Q8" s="21"/>
      <c r="R8" s="28"/>
      <c r="S8" s="28"/>
      <c r="T8" s="28"/>
      <c r="U8" s="28"/>
      <c r="V8" s="28"/>
      <c r="W8" s="28"/>
      <c r="X8" s="28"/>
      <c r="Y8" s="28"/>
      <c r="Z8" s="28"/>
      <c r="AA8" s="28"/>
      <c r="AB8" s="28"/>
      <c r="AC8" s="28"/>
      <c r="AD8" s="28"/>
      <c r="AE8" s="28"/>
      <c r="AF8" s="28"/>
      <c r="AG8" s="28"/>
      <c r="AH8" s="28"/>
      <c r="AI8" s="28"/>
      <c r="AJ8" s="28"/>
      <c r="AK8" s="28"/>
      <c r="AL8" s="28"/>
      <c r="AM8" s="28"/>
      <c r="AN8" s="28"/>
      <c r="AO8" s="28"/>
      <c r="AP8" s="28"/>
      <c r="AQ8" s="28"/>
      <c r="AR8" s="28"/>
      <c r="AS8" s="28"/>
      <c r="AT8" s="28"/>
    </row>
    <row r="9" spans="1:78" s="14" customFormat="1" ht="18">
      <c r="A9" s="35" t="s">
        <v>4</v>
      </c>
      <c r="B9" s="36"/>
      <c r="C9" s="36"/>
      <c r="D9" s="37"/>
      <c r="E9" s="871" t="s">
        <v>226</v>
      </c>
      <c r="F9" s="940">
        <v>0.52700000000000002</v>
      </c>
      <c r="G9" s="870" t="s">
        <v>227</v>
      </c>
      <c r="H9" s="942"/>
      <c r="I9" s="944" t="s">
        <v>619</v>
      </c>
      <c r="J9" s="944"/>
      <c r="K9" s="37"/>
      <c r="L9" s="35"/>
      <c r="M9" s="37"/>
      <c r="N9" s="37"/>
      <c r="O9" s="37"/>
      <c r="P9" s="37"/>
      <c r="Q9" s="21"/>
      <c r="R9" s="37"/>
      <c r="S9" s="28"/>
      <c r="T9" s="37"/>
      <c r="U9" s="37"/>
      <c r="V9" s="37"/>
      <c r="W9" s="37"/>
      <c r="X9" s="37"/>
      <c r="Y9" s="37"/>
      <c r="Z9" s="37"/>
      <c r="AA9" s="37"/>
      <c r="AB9" s="37"/>
      <c r="AC9" s="37"/>
      <c r="AD9" s="37"/>
      <c r="AE9" s="37"/>
      <c r="AF9" s="37"/>
      <c r="AG9" s="37"/>
      <c r="AH9" s="37"/>
      <c r="AI9" s="37"/>
      <c r="AJ9" s="37"/>
      <c r="AK9" s="37"/>
      <c r="AL9" s="37"/>
      <c r="AM9" s="37"/>
      <c r="AN9" s="37"/>
      <c r="AO9" s="37"/>
      <c r="AP9" s="37"/>
      <c r="AQ9" s="37"/>
      <c r="AR9" s="37"/>
      <c r="AS9" s="37"/>
      <c r="AT9" s="37"/>
    </row>
    <row r="10" spans="1:78" ht="18.75" customHeight="1">
      <c r="A10" s="38"/>
      <c r="B10" s="33"/>
      <c r="C10" s="33"/>
      <c r="D10" s="28"/>
      <c r="E10" s="872" t="s">
        <v>225</v>
      </c>
      <c r="F10" s="941">
        <v>0.47599999999999998</v>
      </c>
      <c r="G10" s="870" t="s">
        <v>227</v>
      </c>
      <c r="H10" s="943"/>
      <c r="I10" s="944" t="s">
        <v>619</v>
      </c>
      <c r="J10" s="944"/>
      <c r="K10" s="28"/>
      <c r="L10" s="60"/>
      <c r="M10" s="28"/>
      <c r="N10" s="28"/>
      <c r="O10" s="28"/>
      <c r="P10" s="28"/>
      <c r="Q10" s="21"/>
      <c r="R10" s="28"/>
      <c r="S10" s="28"/>
      <c r="T10" s="28"/>
      <c r="U10" s="28"/>
      <c r="V10" s="28"/>
      <c r="W10" s="28"/>
      <c r="X10" s="28"/>
      <c r="Y10" s="28"/>
      <c r="Z10" s="28"/>
      <c r="AA10" s="28"/>
      <c r="AB10" s="28"/>
      <c r="AC10" s="28"/>
      <c r="AD10" s="28"/>
      <c r="AE10" s="28"/>
      <c r="AF10" s="28"/>
      <c r="AG10" s="28"/>
      <c r="AH10" s="28"/>
      <c r="AI10" s="28"/>
      <c r="AJ10" s="28"/>
      <c r="AK10" s="28"/>
      <c r="AL10" s="28"/>
      <c r="AM10" s="28"/>
      <c r="AN10" s="28"/>
      <c r="AO10" s="28"/>
      <c r="AP10" s="28"/>
      <c r="AQ10" s="28"/>
      <c r="AR10" s="28"/>
      <c r="AS10" s="28"/>
      <c r="AT10" s="28"/>
    </row>
    <row r="11" spans="1:78" ht="23.25">
      <c r="B11" s="33"/>
      <c r="C11" s="33"/>
      <c r="D11" s="28"/>
      <c r="E11" s="939" t="s">
        <v>617</v>
      </c>
      <c r="F11" s="938">
        <v>0.27900000000000003</v>
      </c>
      <c r="G11" s="937" t="s">
        <v>618</v>
      </c>
      <c r="H11" s="28"/>
      <c r="I11" s="28"/>
      <c r="J11" s="28"/>
      <c r="K11" s="28"/>
      <c r="L11" s="60"/>
      <c r="M11" s="28"/>
      <c r="N11" s="28"/>
      <c r="O11" s="28"/>
      <c r="P11" s="28"/>
      <c r="Q11" s="21"/>
      <c r="R11" s="28"/>
      <c r="S11" s="28"/>
      <c r="T11" s="28"/>
      <c r="U11" s="28"/>
      <c r="V11" s="28"/>
      <c r="W11" s="28"/>
      <c r="X11" s="28"/>
      <c r="Y11" s="28"/>
      <c r="Z11" s="28"/>
      <c r="AA11" s="28"/>
      <c r="AB11" s="28"/>
      <c r="AC11" s="28"/>
      <c r="AD11" s="28"/>
      <c r="AE11" s="28"/>
      <c r="AF11" s="28"/>
      <c r="AG11" s="28"/>
      <c r="AH11" s="28"/>
      <c r="AI11" s="28"/>
      <c r="AJ11" s="28"/>
      <c r="AK11" s="28"/>
      <c r="AL11" s="28"/>
      <c r="AM11" s="28"/>
      <c r="AN11" s="28"/>
      <c r="AO11" s="28"/>
      <c r="AP11" s="28"/>
      <c r="AQ11" s="28"/>
      <c r="AR11" s="28"/>
      <c r="AS11" s="28"/>
      <c r="AT11" s="28"/>
    </row>
    <row r="12" spans="1:78" ht="23.25">
      <c r="B12" s="28"/>
      <c r="C12" s="28"/>
      <c r="D12" s="28"/>
      <c r="E12" s="28"/>
      <c r="F12" s="885"/>
      <c r="G12" s="28"/>
      <c r="H12" s="28"/>
      <c r="I12" s="28"/>
      <c r="J12" s="33"/>
      <c r="K12" s="33">
        <f>F6-H87</f>
        <v>-96576.409999999916</v>
      </c>
      <c r="L12" s="28"/>
      <c r="M12" s="60"/>
      <c r="N12" s="28"/>
      <c r="O12" s="28"/>
      <c r="P12" s="28"/>
      <c r="Q12" s="21"/>
      <c r="R12" s="28"/>
      <c r="S12" s="28"/>
      <c r="T12" s="28"/>
      <c r="U12" s="28"/>
      <c r="V12" s="28"/>
      <c r="W12" s="28"/>
      <c r="X12" s="28"/>
      <c r="Y12" s="28"/>
      <c r="Z12" s="28"/>
      <c r="AA12" s="28"/>
      <c r="AB12" s="28"/>
      <c r="AC12" s="28"/>
      <c r="AD12" s="28"/>
      <c r="AE12" s="28"/>
      <c r="AF12" s="28"/>
      <c r="AG12" s="28"/>
      <c r="AH12" s="28"/>
      <c r="AI12" s="28"/>
      <c r="AJ12" s="28"/>
      <c r="AK12" s="28"/>
      <c r="AL12" s="28"/>
      <c r="AM12" s="28"/>
      <c r="AN12" s="28"/>
      <c r="AO12" s="28"/>
      <c r="AP12" s="28"/>
      <c r="AQ12" s="28"/>
      <c r="AR12" s="28"/>
      <c r="AS12" s="28"/>
      <c r="AT12" s="28"/>
    </row>
    <row r="13" spans="1:78" ht="23.25" hidden="1">
      <c r="A13" s="39"/>
      <c r="B13" s="40"/>
      <c r="C13" s="28"/>
      <c r="D13" s="28"/>
      <c r="E13" s="28"/>
      <c r="F13" s="885"/>
      <c r="G13" s="28"/>
      <c r="H13" s="28"/>
      <c r="I13" s="28"/>
      <c r="J13" s="33"/>
      <c r="K13" s="33"/>
      <c r="L13" s="28"/>
      <c r="M13" s="60"/>
      <c r="N13" s="28"/>
      <c r="O13" s="28"/>
      <c r="P13" s="28"/>
      <c r="Q13" s="21"/>
      <c r="R13" s="28"/>
      <c r="S13" s="28"/>
      <c r="T13" s="28"/>
      <c r="U13" s="28"/>
      <c r="V13" s="28"/>
      <c r="W13" s="28"/>
      <c r="X13" s="28"/>
      <c r="Y13" s="28"/>
      <c r="Z13" s="28"/>
      <c r="AA13" s="28"/>
      <c r="AB13" s="28"/>
      <c r="AC13" s="28"/>
      <c r="AD13" s="28"/>
      <c r="AE13" s="28"/>
      <c r="AF13" s="28"/>
      <c r="AG13" s="28"/>
      <c r="AH13" s="28"/>
      <c r="AI13" s="28"/>
      <c r="AJ13" s="28"/>
      <c r="AK13" s="28"/>
      <c r="AL13" s="28"/>
      <c r="AM13" s="28"/>
      <c r="AN13" s="28"/>
      <c r="AO13" s="28"/>
      <c r="AP13" s="28"/>
      <c r="AQ13" s="28"/>
      <c r="AR13" s="28"/>
      <c r="AS13" s="28"/>
      <c r="AT13" s="28"/>
    </row>
    <row r="14" spans="1:78" ht="18" hidden="1">
      <c r="A14" s="39"/>
      <c r="B14" s="40"/>
      <c r="C14" s="28"/>
      <c r="F14" s="885"/>
      <c r="G14" s="28"/>
      <c r="H14" s="21">
        <v>45536</v>
      </c>
      <c r="I14" s="70"/>
      <c r="J14" s="28"/>
      <c r="K14" s="69"/>
      <c r="L14" s="21">
        <v>45536</v>
      </c>
      <c r="M14" s="69"/>
      <c r="N14" s="69"/>
      <c r="O14" s="69"/>
      <c r="P14" s="21">
        <v>45536</v>
      </c>
      <c r="Q14" s="69"/>
      <c r="T14" s="21">
        <v>45536</v>
      </c>
      <c r="U14" s="28"/>
      <c r="V14" s="28"/>
      <c r="W14" s="21"/>
      <c r="X14" s="28"/>
      <c r="Y14" s="28"/>
      <c r="Z14" s="28"/>
      <c r="AA14" s="28"/>
      <c r="AB14" s="28"/>
      <c r="AC14" s="28"/>
      <c r="AD14" s="28"/>
      <c r="AE14" s="28"/>
      <c r="AF14" s="28"/>
      <c r="AG14" s="28"/>
      <c r="AH14" s="28"/>
      <c r="AI14" s="28"/>
      <c r="AJ14" s="28"/>
      <c r="AK14" s="28"/>
      <c r="AL14" s="28"/>
      <c r="AM14" s="28"/>
      <c r="AN14" s="28"/>
      <c r="AO14" s="28"/>
      <c r="AP14" s="28"/>
      <c r="AQ14" s="28"/>
      <c r="AR14" s="28"/>
      <c r="AS14" s="28"/>
      <c r="AT14" s="28"/>
    </row>
    <row r="15" spans="1:78" hidden="1">
      <c r="A15" s="39"/>
      <c r="B15" s="40"/>
      <c r="C15" s="28"/>
      <c r="F15" s="28"/>
      <c r="G15" s="28"/>
      <c r="H15" s="28"/>
      <c r="I15" s="61" t="s">
        <v>8</v>
      </c>
      <c r="J15" s="62" t="s">
        <v>9</v>
      </c>
      <c r="K15" s="63" t="s">
        <v>10</v>
      </c>
      <c r="L15" s="64" t="s">
        <v>11</v>
      </c>
      <c r="M15" s="65" t="s">
        <v>12</v>
      </c>
      <c r="N15" s="64" t="s">
        <v>13</v>
      </c>
      <c r="O15" s="64" t="s">
        <v>14</v>
      </c>
      <c r="P15" s="64" t="s">
        <v>15</v>
      </c>
      <c r="Q15" s="64" t="s">
        <v>16</v>
      </c>
      <c r="R15" s="71" t="s">
        <v>17</v>
      </c>
      <c r="S15" s="72">
        <v>1</v>
      </c>
      <c r="T15" s="72">
        <v>2</v>
      </c>
      <c r="U15" s="72">
        <v>3</v>
      </c>
      <c r="V15" s="72">
        <v>4</v>
      </c>
      <c r="W15" s="72">
        <v>5</v>
      </c>
      <c r="X15" s="28"/>
      <c r="Y15" s="28"/>
      <c r="Z15" s="28"/>
      <c r="AA15" s="28"/>
      <c r="AB15" s="28"/>
      <c r="AC15" s="28"/>
      <c r="AD15" s="28"/>
      <c r="AE15" s="28"/>
      <c r="AF15" s="28"/>
      <c r="AG15" s="28"/>
      <c r="AH15" s="28"/>
      <c r="AI15" s="28"/>
      <c r="AJ15" s="28"/>
      <c r="AK15" s="28"/>
      <c r="AL15" s="28"/>
      <c r="AM15" s="28"/>
      <c r="AN15" s="28"/>
      <c r="AO15" s="28"/>
      <c r="AP15" s="28"/>
      <c r="AQ15" s="28"/>
      <c r="AR15" s="28"/>
      <c r="AS15" s="28"/>
      <c r="AT15" s="28"/>
    </row>
    <row r="16" spans="1:78" hidden="1">
      <c r="A16" s="39"/>
      <c r="B16" s="40"/>
      <c r="C16" s="28"/>
      <c r="F16" s="28"/>
      <c r="G16" s="28"/>
      <c r="H16" s="47">
        <v>0</v>
      </c>
      <c r="I16" s="66">
        <f t="shared" ref="I16:I27" si="0">IF(OR(puntosproljor&lt;620,nina=1),W16,R16)</f>
        <v>139190</v>
      </c>
      <c r="J16" s="117">
        <v>139190</v>
      </c>
      <c r="K16" s="117">
        <v>99414</v>
      </c>
      <c r="L16" s="117"/>
      <c r="M16" s="117"/>
      <c r="N16" s="117"/>
      <c r="O16" s="117"/>
      <c r="P16" s="117">
        <v>111171</v>
      </c>
      <c r="Q16" s="117">
        <v>98508</v>
      </c>
      <c r="R16" s="73">
        <f t="shared" ref="R16:R27" si="1">IF(PUNTOSbasicos&gt;971,Q16,P16)</f>
        <v>111171</v>
      </c>
      <c r="S16" s="73">
        <f t="shared" ref="S16:S27" si="2">IF(PUNTOSbasicos&lt;972,J16,K16)</f>
        <v>139190</v>
      </c>
      <c r="T16" s="73">
        <f t="shared" ref="T16:T27" si="3">IF(PUNTOSbasicos&lt;1170,S16,L16)</f>
        <v>139190</v>
      </c>
      <c r="U16" s="73">
        <f t="shared" ref="U16:U27" si="4">IF(PUNTOSbasicos&lt;1401,T16,M16)</f>
        <v>139190</v>
      </c>
      <c r="V16" s="73">
        <f t="shared" ref="V16:V27" si="5">IF(PUNTOSbasicos&lt;1943,U16,N16)</f>
        <v>139190</v>
      </c>
      <c r="W16" s="73">
        <f t="shared" ref="W16:W27" si="6">IF(PUNTOSbasicos&lt;=2220,V16,O16)</f>
        <v>139190</v>
      </c>
      <c r="X16" s="28"/>
      <c r="Y16" s="28"/>
      <c r="Z16" s="28"/>
      <c r="AA16" s="28"/>
      <c r="AB16" s="28"/>
      <c r="AC16" s="28"/>
      <c r="AD16" s="28"/>
      <c r="AE16" s="28"/>
      <c r="AF16" s="28"/>
      <c r="AG16" s="28"/>
      <c r="AH16" s="28"/>
      <c r="AI16" s="28"/>
      <c r="AJ16" s="28"/>
      <c r="AK16" s="28"/>
      <c r="AL16" s="28"/>
      <c r="AM16" s="28"/>
      <c r="AN16" s="28"/>
      <c r="AO16" s="28"/>
      <c r="AP16" s="28"/>
      <c r="AQ16" s="28"/>
      <c r="AR16" s="28"/>
      <c r="AS16" s="28"/>
      <c r="AT16" s="28"/>
    </row>
    <row r="17" spans="1:46" hidden="1">
      <c r="A17" s="39"/>
      <c r="B17" s="40"/>
      <c r="C17" s="28"/>
      <c r="F17" s="28"/>
      <c r="G17" s="28"/>
      <c r="H17" s="49">
        <v>0.1</v>
      </c>
      <c r="I17" s="66">
        <f t="shared" si="0"/>
        <v>170300</v>
      </c>
      <c r="J17" s="117">
        <v>170300</v>
      </c>
      <c r="K17" s="117">
        <v>101830</v>
      </c>
      <c r="L17" s="117"/>
      <c r="M17" s="117"/>
      <c r="N17" s="117"/>
      <c r="O17" s="117"/>
      <c r="P17" s="117">
        <v>113587</v>
      </c>
      <c r="Q17" s="117">
        <v>100923</v>
      </c>
      <c r="R17" s="73">
        <f t="shared" si="1"/>
        <v>113587</v>
      </c>
      <c r="S17" s="73">
        <f t="shared" si="2"/>
        <v>170300</v>
      </c>
      <c r="T17" s="73">
        <f t="shared" si="3"/>
        <v>170300</v>
      </c>
      <c r="U17" s="73">
        <f t="shared" si="4"/>
        <v>170300</v>
      </c>
      <c r="V17" s="73">
        <f t="shared" si="5"/>
        <v>170300</v>
      </c>
      <c r="W17" s="73">
        <f t="shared" si="6"/>
        <v>170300</v>
      </c>
      <c r="X17" s="28"/>
      <c r="Y17" s="28"/>
      <c r="Z17" s="28"/>
      <c r="AA17" s="28"/>
      <c r="AB17" s="28"/>
      <c r="AC17" s="28"/>
      <c r="AD17" s="28"/>
      <c r="AE17" s="28"/>
      <c r="AF17" s="28"/>
      <c r="AG17" s="28"/>
      <c r="AH17" s="28"/>
      <c r="AI17" s="28"/>
      <c r="AJ17" s="28"/>
      <c r="AK17" s="28"/>
      <c r="AL17" s="28"/>
      <c r="AM17" s="28"/>
      <c r="AN17" s="28"/>
      <c r="AO17" s="28"/>
      <c r="AP17" s="28"/>
      <c r="AQ17" s="28"/>
      <c r="AR17" s="28"/>
      <c r="AS17" s="28"/>
      <c r="AT17" s="28"/>
    </row>
    <row r="18" spans="1:46" hidden="1">
      <c r="A18" s="39"/>
      <c r="B18" s="40"/>
      <c r="C18" s="28"/>
      <c r="F18" s="28"/>
      <c r="G18" s="28"/>
      <c r="H18" s="50">
        <v>0.15</v>
      </c>
      <c r="I18" s="66">
        <f t="shared" si="0"/>
        <v>189772</v>
      </c>
      <c r="J18" s="117">
        <v>189772</v>
      </c>
      <c r="K18" s="117">
        <v>123278</v>
      </c>
      <c r="L18" s="117">
        <v>137405</v>
      </c>
      <c r="M18" s="117">
        <v>117466</v>
      </c>
      <c r="N18" s="117">
        <v>122224</v>
      </c>
      <c r="O18" s="117"/>
      <c r="P18" s="117">
        <v>144697</v>
      </c>
      <c r="Q18" s="117">
        <v>132033</v>
      </c>
      <c r="R18" s="73">
        <f t="shared" si="1"/>
        <v>144697</v>
      </c>
      <c r="S18" s="73">
        <f t="shared" si="2"/>
        <v>189772</v>
      </c>
      <c r="T18" s="73">
        <f t="shared" si="3"/>
        <v>189772</v>
      </c>
      <c r="U18" s="73">
        <f t="shared" si="4"/>
        <v>189772</v>
      </c>
      <c r="V18" s="73">
        <f t="shared" si="5"/>
        <v>189772</v>
      </c>
      <c r="W18" s="73">
        <f t="shared" si="6"/>
        <v>189772</v>
      </c>
      <c r="X18" s="28"/>
      <c r="Y18" s="28"/>
      <c r="Z18" s="28"/>
      <c r="AA18" s="28"/>
      <c r="AB18" s="28"/>
      <c r="AC18" s="28"/>
      <c r="AD18" s="28"/>
      <c r="AE18" s="28"/>
      <c r="AF18" s="28"/>
      <c r="AG18" s="28"/>
      <c r="AH18" s="28"/>
      <c r="AI18" s="28"/>
      <c r="AJ18" s="28"/>
      <c r="AK18" s="28"/>
      <c r="AL18" s="28"/>
      <c r="AM18" s="28"/>
      <c r="AN18" s="28"/>
      <c r="AO18" s="28"/>
      <c r="AP18" s="28"/>
      <c r="AQ18" s="28"/>
      <c r="AR18" s="28"/>
      <c r="AS18" s="28"/>
      <c r="AT18" s="28"/>
    </row>
    <row r="19" spans="1:46" hidden="1">
      <c r="A19" s="39"/>
      <c r="B19" s="40"/>
      <c r="C19" s="28"/>
      <c r="F19" s="28"/>
      <c r="G19" s="28"/>
      <c r="H19" s="50">
        <v>0.3</v>
      </c>
      <c r="I19" s="66">
        <f t="shared" si="0"/>
        <v>197824</v>
      </c>
      <c r="J19" s="117">
        <v>197824</v>
      </c>
      <c r="K19" s="117">
        <v>126718</v>
      </c>
      <c r="L19" s="117">
        <v>137405</v>
      </c>
      <c r="M19" s="117">
        <v>117466</v>
      </c>
      <c r="N19" s="117">
        <v>122224</v>
      </c>
      <c r="O19" s="117"/>
      <c r="P19" s="117">
        <v>182980</v>
      </c>
      <c r="Q19" s="117">
        <v>163143</v>
      </c>
      <c r="R19" s="73">
        <f t="shared" si="1"/>
        <v>182980</v>
      </c>
      <c r="S19" s="73">
        <f t="shared" si="2"/>
        <v>197824</v>
      </c>
      <c r="T19" s="73">
        <f t="shared" si="3"/>
        <v>197824</v>
      </c>
      <c r="U19" s="73">
        <f t="shared" si="4"/>
        <v>197824</v>
      </c>
      <c r="V19" s="73">
        <f t="shared" si="5"/>
        <v>197824</v>
      </c>
      <c r="W19" s="73">
        <f t="shared" si="6"/>
        <v>197824</v>
      </c>
      <c r="X19" s="28"/>
      <c r="Y19" s="28"/>
      <c r="Z19" s="28"/>
      <c r="AA19" s="28"/>
      <c r="AB19" s="28"/>
      <c r="AC19" s="28"/>
      <c r="AD19" s="28"/>
      <c r="AE19" s="28"/>
      <c r="AF19" s="28"/>
      <c r="AG19" s="28"/>
      <c r="AH19" s="28"/>
      <c r="AI19" s="28"/>
      <c r="AJ19" s="28"/>
      <c r="AK19" s="28"/>
      <c r="AL19" s="28"/>
      <c r="AM19" s="28"/>
      <c r="AN19" s="28"/>
      <c r="AO19" s="28"/>
      <c r="AP19" s="28"/>
      <c r="AQ19" s="28"/>
      <c r="AR19" s="28"/>
      <c r="AS19" s="28"/>
      <c r="AT19" s="28"/>
    </row>
    <row r="20" spans="1:46" hidden="1">
      <c r="A20" s="39"/>
      <c r="B20" s="40"/>
      <c r="C20" s="28"/>
      <c r="F20" s="28"/>
      <c r="G20" s="28"/>
      <c r="H20" s="50">
        <v>0.4</v>
      </c>
      <c r="I20" s="66">
        <f t="shared" si="0"/>
        <v>184794</v>
      </c>
      <c r="J20" s="117">
        <v>184794</v>
      </c>
      <c r="K20" s="117">
        <v>130378</v>
      </c>
      <c r="L20" s="117">
        <v>131155</v>
      </c>
      <c r="M20" s="117">
        <v>119150</v>
      </c>
      <c r="N20" s="117">
        <v>122224</v>
      </c>
      <c r="O20" s="117">
        <v>112708</v>
      </c>
      <c r="P20" s="117">
        <v>197401</v>
      </c>
      <c r="Q20" s="117">
        <v>166409</v>
      </c>
      <c r="R20" s="73">
        <f t="shared" si="1"/>
        <v>197401</v>
      </c>
      <c r="S20" s="73">
        <f t="shared" si="2"/>
        <v>184794</v>
      </c>
      <c r="T20" s="73">
        <f t="shared" si="3"/>
        <v>184794</v>
      </c>
      <c r="U20" s="73">
        <f t="shared" si="4"/>
        <v>184794</v>
      </c>
      <c r="V20" s="73">
        <f t="shared" si="5"/>
        <v>184794</v>
      </c>
      <c r="W20" s="73">
        <f t="shared" si="6"/>
        <v>184794</v>
      </c>
      <c r="X20" s="28"/>
      <c r="Y20" s="28"/>
      <c r="Z20" s="28"/>
      <c r="AA20" s="28"/>
      <c r="AB20" s="28"/>
      <c r="AC20" s="28"/>
      <c r="AD20" s="28"/>
      <c r="AE20" s="28"/>
      <c r="AF20" s="28"/>
      <c r="AG20" s="28"/>
      <c r="AH20" s="28"/>
      <c r="AI20" s="28"/>
      <c r="AJ20" s="28"/>
      <c r="AK20" s="28"/>
      <c r="AL20" s="28"/>
      <c r="AM20" s="28"/>
      <c r="AN20" s="28"/>
      <c r="AO20" s="28"/>
      <c r="AP20" s="28"/>
      <c r="AQ20" s="28"/>
      <c r="AR20" s="28"/>
      <c r="AS20" s="28"/>
      <c r="AT20" s="28"/>
    </row>
    <row r="21" spans="1:46" hidden="1">
      <c r="A21" s="39"/>
      <c r="B21" s="40"/>
      <c r="C21" s="28"/>
      <c r="F21" s="28"/>
      <c r="G21" s="28"/>
      <c r="H21" s="50">
        <v>0.5</v>
      </c>
      <c r="I21" s="66">
        <f t="shared" si="0"/>
        <v>169202</v>
      </c>
      <c r="J21" s="117">
        <v>169202</v>
      </c>
      <c r="K21" s="117">
        <v>135136</v>
      </c>
      <c r="L21" s="117">
        <v>131155</v>
      </c>
      <c r="M21" s="117">
        <v>119150</v>
      </c>
      <c r="N21" s="117">
        <v>122224</v>
      </c>
      <c r="O21" s="117">
        <v>103969</v>
      </c>
      <c r="P21" s="117">
        <v>205746</v>
      </c>
      <c r="Q21" s="117">
        <v>174680</v>
      </c>
      <c r="R21" s="73">
        <f t="shared" si="1"/>
        <v>205746</v>
      </c>
      <c r="S21" s="73">
        <f t="shared" si="2"/>
        <v>169202</v>
      </c>
      <c r="T21" s="73">
        <f t="shared" si="3"/>
        <v>169202</v>
      </c>
      <c r="U21" s="73">
        <f t="shared" si="4"/>
        <v>169202</v>
      </c>
      <c r="V21" s="73">
        <f t="shared" si="5"/>
        <v>169202</v>
      </c>
      <c r="W21" s="73">
        <f t="shared" si="6"/>
        <v>169202</v>
      </c>
      <c r="X21" s="28"/>
      <c r="Y21" s="28"/>
      <c r="Z21" s="28"/>
      <c r="AA21" s="28"/>
      <c r="AB21" s="28"/>
      <c r="AC21" s="28"/>
      <c r="AD21" s="28"/>
      <c r="AE21" s="28"/>
      <c r="AF21" s="28"/>
      <c r="AG21" s="28"/>
      <c r="AH21" s="28"/>
      <c r="AI21" s="28"/>
      <c r="AJ21" s="28"/>
      <c r="AK21" s="28"/>
      <c r="AL21" s="28"/>
      <c r="AM21" s="28"/>
      <c r="AN21" s="28"/>
      <c r="AO21" s="28"/>
      <c r="AP21" s="28"/>
      <c r="AQ21" s="28"/>
      <c r="AR21" s="28"/>
      <c r="AS21" s="28"/>
      <c r="AT21" s="28"/>
    </row>
    <row r="22" spans="1:46" hidden="1">
      <c r="A22" s="39"/>
      <c r="B22" s="40"/>
      <c r="C22" s="28"/>
      <c r="F22" s="28"/>
      <c r="G22" s="28"/>
      <c r="H22" s="50">
        <v>0.6</v>
      </c>
      <c r="I22" s="66">
        <f t="shared" si="0"/>
        <v>169788</v>
      </c>
      <c r="J22" s="117">
        <v>169788</v>
      </c>
      <c r="K22" s="117">
        <v>133424</v>
      </c>
      <c r="L22" s="117">
        <v>133424</v>
      </c>
      <c r="M22" s="117">
        <v>119955</v>
      </c>
      <c r="N22" s="117">
        <v>115827</v>
      </c>
      <c r="O22" s="117">
        <v>108581</v>
      </c>
      <c r="P22" s="117">
        <v>214091</v>
      </c>
      <c r="Q22" s="117">
        <v>178340</v>
      </c>
      <c r="R22" s="73">
        <f t="shared" si="1"/>
        <v>214091</v>
      </c>
      <c r="S22" s="73">
        <f t="shared" si="2"/>
        <v>169788</v>
      </c>
      <c r="T22" s="73">
        <f t="shared" si="3"/>
        <v>169788</v>
      </c>
      <c r="U22" s="73">
        <f t="shared" si="4"/>
        <v>169788</v>
      </c>
      <c r="V22" s="73">
        <f t="shared" si="5"/>
        <v>169788</v>
      </c>
      <c r="W22" s="73">
        <f t="shared" si="6"/>
        <v>169788</v>
      </c>
      <c r="X22" s="28"/>
      <c r="Y22" s="28"/>
      <c r="Z22" s="28"/>
      <c r="AA22" s="28"/>
      <c r="AB22" s="28"/>
      <c r="AC22" s="28"/>
      <c r="AD22" s="28"/>
      <c r="AE22" s="28"/>
      <c r="AF22" s="28"/>
      <c r="AG22" s="28"/>
      <c r="AH22" s="28"/>
      <c r="AI22" s="28"/>
      <c r="AJ22" s="28"/>
      <c r="AK22" s="28"/>
      <c r="AL22" s="28"/>
      <c r="AM22" s="28"/>
      <c r="AN22" s="28"/>
      <c r="AO22" s="28"/>
      <c r="AP22" s="28"/>
      <c r="AQ22" s="28"/>
      <c r="AR22" s="28"/>
      <c r="AS22" s="28"/>
      <c r="AT22" s="28"/>
    </row>
    <row r="23" spans="1:46" hidden="1">
      <c r="A23" s="39"/>
      <c r="B23" s="40"/>
      <c r="C23" s="28"/>
      <c r="F23" s="28"/>
      <c r="G23" s="28"/>
      <c r="H23" s="50">
        <v>0.7</v>
      </c>
      <c r="I23" s="66">
        <f t="shared" si="0"/>
        <v>156437</v>
      </c>
      <c r="J23" s="117">
        <v>156437</v>
      </c>
      <c r="K23" s="117">
        <v>139353</v>
      </c>
      <c r="L23" s="117">
        <v>158239</v>
      </c>
      <c r="M23" s="117">
        <v>117657</v>
      </c>
      <c r="N23" s="117">
        <v>115827</v>
      </c>
      <c r="O23" s="117">
        <v>108581</v>
      </c>
      <c r="P23" s="117">
        <v>209011</v>
      </c>
      <c r="Q23" s="117">
        <v>182000</v>
      </c>
      <c r="R23" s="73">
        <f t="shared" si="1"/>
        <v>209011</v>
      </c>
      <c r="S23" s="73">
        <f t="shared" si="2"/>
        <v>156437</v>
      </c>
      <c r="T23" s="73">
        <f t="shared" si="3"/>
        <v>156437</v>
      </c>
      <c r="U23" s="73">
        <f t="shared" si="4"/>
        <v>156437</v>
      </c>
      <c r="V23" s="73">
        <f t="shared" si="5"/>
        <v>156437</v>
      </c>
      <c r="W23" s="73">
        <f t="shared" si="6"/>
        <v>156437</v>
      </c>
      <c r="X23" s="28"/>
      <c r="Y23" s="28"/>
      <c r="Z23" s="28"/>
      <c r="AA23" s="28"/>
      <c r="AB23" s="28"/>
      <c r="AC23" s="28"/>
      <c r="AD23" s="28"/>
      <c r="AE23" s="28"/>
      <c r="AF23" s="28"/>
      <c r="AG23" s="28"/>
      <c r="AH23" s="28"/>
      <c r="AI23" s="28"/>
      <c r="AJ23" s="28"/>
      <c r="AK23" s="28"/>
      <c r="AL23" s="28"/>
      <c r="AM23" s="28"/>
      <c r="AN23" s="28"/>
      <c r="AO23" s="28"/>
      <c r="AP23" s="28"/>
      <c r="AQ23" s="28"/>
      <c r="AR23" s="28"/>
      <c r="AS23" s="28"/>
      <c r="AT23" s="28"/>
    </row>
    <row r="24" spans="1:46" hidden="1">
      <c r="A24" s="39"/>
      <c r="B24" s="40"/>
      <c r="C24" s="28"/>
      <c r="F24" s="28"/>
      <c r="G24" s="28"/>
      <c r="H24" s="50">
        <v>0.8</v>
      </c>
      <c r="I24" s="66">
        <f t="shared" si="0"/>
        <v>176714</v>
      </c>
      <c r="J24" s="117">
        <v>176714</v>
      </c>
      <c r="K24" s="117">
        <v>153627</v>
      </c>
      <c r="L24" s="117">
        <v>165559</v>
      </c>
      <c r="M24" s="117">
        <v>143643</v>
      </c>
      <c r="N24" s="117">
        <v>137055</v>
      </c>
      <c r="O24" s="117">
        <v>113485</v>
      </c>
      <c r="P24" s="117">
        <v>216038</v>
      </c>
      <c r="Q24" s="117">
        <v>184343</v>
      </c>
      <c r="R24" s="73">
        <f t="shared" si="1"/>
        <v>216038</v>
      </c>
      <c r="S24" s="73">
        <f t="shared" si="2"/>
        <v>176714</v>
      </c>
      <c r="T24" s="73">
        <f t="shared" si="3"/>
        <v>176714</v>
      </c>
      <c r="U24" s="73">
        <f t="shared" si="4"/>
        <v>176714</v>
      </c>
      <c r="V24" s="73">
        <f t="shared" si="5"/>
        <v>176714</v>
      </c>
      <c r="W24" s="73">
        <f t="shared" si="6"/>
        <v>176714</v>
      </c>
      <c r="X24" s="28"/>
      <c r="Y24" s="28"/>
      <c r="Z24" s="28"/>
      <c r="AA24" s="28"/>
      <c r="AB24" s="28"/>
      <c r="AC24" s="28"/>
      <c r="AD24" s="28"/>
      <c r="AE24" s="28"/>
      <c r="AF24" s="28"/>
      <c r="AG24" s="28"/>
      <c r="AH24" s="28"/>
      <c r="AI24" s="28"/>
      <c r="AJ24" s="28"/>
      <c r="AK24" s="28"/>
      <c r="AL24" s="28"/>
      <c r="AM24" s="28"/>
      <c r="AN24" s="28"/>
      <c r="AO24" s="28"/>
      <c r="AP24" s="28"/>
      <c r="AQ24" s="28"/>
      <c r="AR24" s="28"/>
      <c r="AS24" s="28"/>
      <c r="AT24" s="28"/>
    </row>
    <row r="25" spans="1:46" hidden="1">
      <c r="A25" s="39"/>
      <c r="B25" s="40"/>
      <c r="C25" s="28"/>
      <c r="F25" s="28"/>
      <c r="G25" s="28"/>
      <c r="H25" s="50">
        <v>1</v>
      </c>
      <c r="I25" s="66">
        <f t="shared" si="0"/>
        <v>204490</v>
      </c>
      <c r="J25" s="117">
        <v>204490</v>
      </c>
      <c r="K25" s="117">
        <v>173641</v>
      </c>
      <c r="L25" s="117">
        <v>167826</v>
      </c>
      <c r="M25" s="117">
        <v>140320</v>
      </c>
      <c r="N25" s="117">
        <v>143227</v>
      </c>
      <c r="O25" s="117">
        <v>112697</v>
      </c>
      <c r="P25" s="117">
        <v>222970</v>
      </c>
      <c r="Q25" s="117">
        <v>186552</v>
      </c>
      <c r="R25" s="73">
        <f t="shared" si="1"/>
        <v>222970</v>
      </c>
      <c r="S25" s="73">
        <f t="shared" si="2"/>
        <v>204490</v>
      </c>
      <c r="T25" s="73">
        <f t="shared" si="3"/>
        <v>204490</v>
      </c>
      <c r="U25" s="73">
        <f t="shared" si="4"/>
        <v>204490</v>
      </c>
      <c r="V25" s="73">
        <f t="shared" si="5"/>
        <v>204490</v>
      </c>
      <c r="W25" s="73">
        <f t="shared" si="6"/>
        <v>204490</v>
      </c>
      <c r="X25" s="28"/>
      <c r="Y25" s="28"/>
      <c r="Z25" s="28"/>
      <c r="AA25" s="28"/>
      <c r="AB25" s="28"/>
      <c r="AC25" s="28"/>
      <c r="AD25" s="28"/>
      <c r="AE25" s="28"/>
      <c r="AF25" s="28"/>
      <c r="AG25" s="28"/>
      <c r="AH25" s="28"/>
      <c r="AI25" s="28"/>
      <c r="AJ25" s="28"/>
      <c r="AK25" s="28"/>
      <c r="AL25" s="28"/>
      <c r="AM25" s="28"/>
      <c r="AN25" s="28"/>
      <c r="AO25" s="28"/>
      <c r="AP25" s="28"/>
      <c r="AQ25" s="28"/>
      <c r="AR25" s="28"/>
      <c r="AS25" s="28"/>
      <c r="AT25" s="28"/>
    </row>
    <row r="26" spans="1:46" hidden="1">
      <c r="A26" s="39"/>
      <c r="B26" s="40"/>
      <c r="C26" s="28"/>
      <c r="F26" s="28"/>
      <c r="G26" s="28"/>
      <c r="H26" s="50">
        <v>1.1000000000000001</v>
      </c>
      <c r="I26" s="66">
        <f t="shared" si="0"/>
        <v>222300</v>
      </c>
      <c r="J26" s="117">
        <v>222300</v>
      </c>
      <c r="K26" s="117">
        <v>187889</v>
      </c>
      <c r="L26" s="117">
        <v>163945</v>
      </c>
      <c r="M26" s="117">
        <v>140320</v>
      </c>
      <c r="N26" s="117">
        <v>145626</v>
      </c>
      <c r="O26" s="117">
        <v>115023</v>
      </c>
      <c r="P26" s="117">
        <v>228858</v>
      </c>
      <c r="Q26" s="117">
        <v>190114</v>
      </c>
      <c r="R26" s="73">
        <f t="shared" si="1"/>
        <v>228858</v>
      </c>
      <c r="S26" s="73">
        <f t="shared" si="2"/>
        <v>222300</v>
      </c>
      <c r="T26" s="73">
        <f t="shared" si="3"/>
        <v>222300</v>
      </c>
      <c r="U26" s="73">
        <f t="shared" si="4"/>
        <v>222300</v>
      </c>
      <c r="V26" s="73">
        <f t="shared" si="5"/>
        <v>222300</v>
      </c>
      <c r="W26" s="73">
        <f t="shared" si="6"/>
        <v>222300</v>
      </c>
      <c r="X26" s="28"/>
      <c r="Y26" s="28"/>
      <c r="Z26" s="28"/>
      <c r="AA26" s="28"/>
      <c r="AB26" s="28"/>
      <c r="AC26" s="28"/>
      <c r="AD26" s="28"/>
      <c r="AE26" s="28"/>
      <c r="AF26" s="28"/>
      <c r="AG26" s="28"/>
      <c r="AH26" s="28"/>
      <c r="AI26" s="28"/>
      <c r="AJ26" s="28"/>
      <c r="AK26" s="28"/>
      <c r="AL26" s="28"/>
      <c r="AM26" s="28"/>
      <c r="AN26" s="28"/>
      <c r="AO26" s="28"/>
      <c r="AP26" s="28"/>
      <c r="AQ26" s="28"/>
      <c r="AR26" s="28"/>
      <c r="AS26" s="28"/>
      <c r="AT26" s="28"/>
    </row>
    <row r="27" spans="1:46" hidden="1">
      <c r="A27" s="39"/>
      <c r="B27" s="40"/>
      <c r="C27" s="28"/>
      <c r="F27" s="28"/>
      <c r="G27" s="28"/>
      <c r="H27" s="50">
        <v>1.2</v>
      </c>
      <c r="I27" s="66">
        <f t="shared" si="0"/>
        <v>227970</v>
      </c>
      <c r="J27" s="117">
        <v>227970</v>
      </c>
      <c r="K27" s="117">
        <v>191378</v>
      </c>
      <c r="L27" s="117">
        <v>175575</v>
      </c>
      <c r="M27" s="117">
        <v>141483</v>
      </c>
      <c r="N27" s="117">
        <v>147952</v>
      </c>
      <c r="O27" s="117">
        <v>115023</v>
      </c>
      <c r="P27" s="117">
        <v>230021</v>
      </c>
      <c r="Q27" s="117">
        <v>191422</v>
      </c>
      <c r="R27" s="73">
        <f t="shared" si="1"/>
        <v>230021</v>
      </c>
      <c r="S27" s="73">
        <f t="shared" si="2"/>
        <v>227970</v>
      </c>
      <c r="T27" s="73">
        <f t="shared" si="3"/>
        <v>227970</v>
      </c>
      <c r="U27" s="73">
        <f t="shared" si="4"/>
        <v>227970</v>
      </c>
      <c r="V27" s="73">
        <f t="shared" si="5"/>
        <v>227970</v>
      </c>
      <c r="W27" s="73">
        <f t="shared" si="6"/>
        <v>227970</v>
      </c>
      <c r="X27" s="28"/>
      <c r="Y27" s="28"/>
      <c r="Z27" s="28"/>
      <c r="AA27" s="28"/>
      <c r="AB27" s="28"/>
      <c r="AC27" s="28"/>
      <c r="AD27" s="28"/>
      <c r="AE27" s="28"/>
      <c r="AF27" s="28"/>
      <c r="AG27" s="28"/>
      <c r="AH27" s="28"/>
      <c r="AI27" s="28"/>
      <c r="AJ27" s="28"/>
      <c r="AK27" s="28"/>
      <c r="AL27" s="28"/>
      <c r="AM27" s="28"/>
      <c r="AN27" s="28"/>
      <c r="AO27" s="28"/>
      <c r="AP27" s="28"/>
      <c r="AQ27" s="28"/>
      <c r="AR27" s="28"/>
      <c r="AS27" s="28"/>
      <c r="AT27" s="28"/>
    </row>
    <row r="28" spans="1:46" hidden="1">
      <c r="A28" s="39"/>
      <c r="B28" s="40"/>
      <c r="C28" s="28"/>
      <c r="D28" s="51"/>
      <c r="E28" s="51"/>
      <c r="F28" s="28"/>
      <c r="G28" s="28"/>
      <c r="H28" s="52"/>
      <c r="I28" s="67"/>
      <c r="J28" s="68"/>
      <c r="K28" s="68"/>
      <c r="L28" s="68"/>
      <c r="M28" s="68"/>
      <c r="N28" s="68"/>
      <c r="O28" s="68"/>
      <c r="P28" s="68"/>
      <c r="Q28" s="68"/>
      <c r="R28" s="74"/>
      <c r="S28" s="74"/>
      <c r="T28" s="74"/>
      <c r="U28" s="74"/>
      <c r="V28" s="74"/>
      <c r="W28" s="74"/>
      <c r="X28" s="28"/>
      <c r="Y28" s="28"/>
      <c r="Z28" s="28"/>
      <c r="AA28" s="28"/>
      <c r="AB28" s="28"/>
      <c r="AC28" s="28"/>
      <c r="AD28" s="28"/>
      <c r="AE28" s="28"/>
      <c r="AF28" s="28"/>
      <c r="AG28" s="28"/>
      <c r="AH28" s="28"/>
      <c r="AI28" s="28"/>
      <c r="AJ28" s="28"/>
      <c r="AK28" s="28"/>
      <c r="AL28" s="28"/>
      <c r="AM28" s="28"/>
      <c r="AN28" s="28"/>
      <c r="AO28" s="28"/>
      <c r="AP28" s="28"/>
      <c r="AQ28" s="28"/>
      <c r="AR28" s="28"/>
      <c r="AS28" s="28"/>
      <c r="AT28" s="28"/>
    </row>
    <row r="29" spans="1:46" ht="12.75" hidden="1">
      <c r="A29" s="39"/>
      <c r="B29" s="40"/>
      <c r="C29" s="28"/>
      <c r="F29" s="28"/>
      <c r="G29" s="28"/>
      <c r="X29" s="28"/>
      <c r="Y29" s="28"/>
      <c r="Z29" s="28"/>
      <c r="AA29" s="28"/>
      <c r="AB29" s="28"/>
      <c r="AC29" s="28"/>
      <c r="AD29" s="28"/>
      <c r="AE29" s="28"/>
      <c r="AF29" s="28"/>
      <c r="AG29" s="28"/>
      <c r="AH29" s="28"/>
      <c r="AI29" s="28"/>
      <c r="AJ29" s="28"/>
      <c r="AK29" s="28"/>
      <c r="AL29" s="28"/>
      <c r="AM29" s="28"/>
      <c r="AN29" s="28"/>
      <c r="AO29" s="28"/>
      <c r="AP29" s="28"/>
      <c r="AQ29" s="28"/>
      <c r="AR29" s="28"/>
      <c r="AS29" s="28"/>
      <c r="AT29" s="28"/>
    </row>
    <row r="30" spans="1:46" s="748" customFormat="1" hidden="1">
      <c r="A30" s="39"/>
      <c r="B30" s="39"/>
      <c r="C30" s="749"/>
      <c r="D30" s="749"/>
      <c r="E30" s="28"/>
      <c r="F30" s="28"/>
      <c r="G30" s="28"/>
      <c r="H30" s="53"/>
      <c r="I30" s="67"/>
      <c r="J30" s="117"/>
      <c r="K30" s="117"/>
      <c r="L30" s="117"/>
      <c r="M30" s="117"/>
      <c r="N30" s="117"/>
      <c r="O30" s="117"/>
      <c r="P30" s="117"/>
      <c r="Q30" s="117"/>
      <c r="R30" s="74"/>
      <c r="S30" s="74"/>
      <c r="T30" s="74"/>
      <c r="U30" s="74"/>
      <c r="V30" s="74"/>
      <c r="W30" s="74"/>
      <c r="X30" s="77"/>
      <c r="Y30" s="77"/>
      <c r="Z30" s="77"/>
      <c r="AA30" s="77"/>
      <c r="AB30" s="28"/>
      <c r="AC30" s="28"/>
      <c r="AD30" s="28"/>
      <c r="AE30" s="28"/>
      <c r="AF30" s="28"/>
      <c r="AG30" s="28"/>
      <c r="AH30" s="28"/>
      <c r="AI30" s="28"/>
      <c r="AJ30" s="28"/>
      <c r="AK30" s="28"/>
      <c r="AL30" s="28"/>
      <c r="AM30" s="28"/>
      <c r="AN30" s="28"/>
      <c r="AO30" s="28"/>
      <c r="AP30" s="28"/>
      <c r="AQ30" s="28"/>
      <c r="AR30" s="28"/>
      <c r="AS30" s="28"/>
      <c r="AT30" s="28"/>
    </row>
    <row r="31" spans="1:46" s="748" customFormat="1" ht="18" hidden="1">
      <c r="A31" s="39"/>
      <c r="B31" s="39"/>
      <c r="C31" s="749"/>
      <c r="D31" s="41" t="s">
        <v>5</v>
      </c>
      <c r="E31" s="42"/>
      <c r="F31" s="28"/>
      <c r="G31" s="28"/>
      <c r="H31" s="21">
        <v>45658</v>
      </c>
      <c r="I31" s="70"/>
      <c r="J31" s="28"/>
      <c r="K31" s="69"/>
      <c r="L31" s="21">
        <v>45658</v>
      </c>
      <c r="M31" s="69"/>
      <c r="N31" s="69"/>
      <c r="O31" s="69"/>
      <c r="P31" s="21">
        <v>45658</v>
      </c>
      <c r="Q31" s="69"/>
      <c r="T31" s="21">
        <v>45658</v>
      </c>
      <c r="X31" s="77"/>
      <c r="Y31" s="77"/>
      <c r="Z31" s="77"/>
      <c r="AA31" s="77"/>
      <c r="AB31" s="28"/>
      <c r="AC31" s="28"/>
      <c r="AD31" s="28"/>
      <c r="AE31" s="28"/>
      <c r="AF31" s="28"/>
      <c r="AG31" s="28"/>
      <c r="AH31" s="28"/>
      <c r="AI31" s="28"/>
      <c r="AJ31" s="28"/>
      <c r="AK31" s="28"/>
      <c r="AL31" s="28"/>
      <c r="AM31" s="28"/>
      <c r="AN31" s="28"/>
      <c r="AO31" s="28"/>
      <c r="AP31" s="28"/>
      <c r="AQ31" s="28"/>
      <c r="AR31" s="28"/>
      <c r="AS31" s="28"/>
      <c r="AT31" s="28"/>
    </row>
    <row r="32" spans="1:46" s="748" customFormat="1" hidden="1">
      <c r="A32" s="39"/>
      <c r="B32" s="39"/>
      <c r="C32" s="749"/>
      <c r="D32" s="43" t="s">
        <v>6</v>
      </c>
      <c r="E32" s="44" t="s">
        <v>7</v>
      </c>
      <c r="F32" s="28"/>
      <c r="G32" s="28"/>
      <c r="H32" s="54"/>
      <c r="I32" s="61" t="s">
        <v>8</v>
      </c>
      <c r="J32" s="62" t="s">
        <v>9</v>
      </c>
      <c r="K32" s="63" t="s">
        <v>10</v>
      </c>
      <c r="L32" s="64" t="s">
        <v>11</v>
      </c>
      <c r="M32" s="65" t="s">
        <v>12</v>
      </c>
      <c r="N32" s="64" t="s">
        <v>13</v>
      </c>
      <c r="O32" s="64" t="s">
        <v>14</v>
      </c>
      <c r="P32" s="64" t="s">
        <v>15</v>
      </c>
      <c r="Q32" s="64" t="s">
        <v>16</v>
      </c>
      <c r="R32" s="71" t="s">
        <v>17</v>
      </c>
      <c r="S32" s="72">
        <v>1</v>
      </c>
      <c r="T32" s="72">
        <v>2</v>
      </c>
      <c r="U32" s="72">
        <v>3</v>
      </c>
      <c r="V32" s="72">
        <v>4</v>
      </c>
      <c r="W32" s="72">
        <v>5</v>
      </c>
      <c r="X32" s="77"/>
      <c r="Y32" s="77"/>
      <c r="Z32" s="77"/>
      <c r="AA32" s="77"/>
      <c r="AB32" s="28"/>
      <c r="AC32" s="28"/>
      <c r="AD32" s="28"/>
      <c r="AE32" s="28"/>
      <c r="AF32" s="28"/>
      <c r="AG32" s="28"/>
      <c r="AH32" s="28"/>
      <c r="AI32" s="28"/>
      <c r="AJ32" s="28"/>
      <c r="AK32" s="28"/>
      <c r="AL32" s="28"/>
      <c r="AM32" s="28"/>
      <c r="AN32" s="28"/>
      <c r="AO32" s="28"/>
      <c r="AP32" s="28"/>
      <c r="AQ32" s="28"/>
      <c r="AR32" s="28"/>
      <c r="AS32" s="28"/>
      <c r="AT32" s="28"/>
    </row>
    <row r="33" spans="1:46" s="748" customFormat="1" hidden="1">
      <c r="A33" s="39"/>
      <c r="B33" s="39"/>
      <c r="C33" s="749"/>
      <c r="D33" s="45">
        <v>0</v>
      </c>
      <c r="E33" s="46">
        <v>0</v>
      </c>
      <c r="F33" s="28"/>
      <c r="G33" s="28"/>
      <c r="H33" s="47">
        <v>0</v>
      </c>
      <c r="I33" s="66">
        <f t="shared" ref="I33:I44" si="7">IF(OR(puntosproljor&lt;620,nina=1),W33,R33)</f>
        <v>162950</v>
      </c>
      <c r="J33" s="117">
        <v>162950</v>
      </c>
      <c r="K33" s="117">
        <v>116384</v>
      </c>
      <c r="L33" s="117"/>
      <c r="M33" s="117"/>
      <c r="N33" s="117"/>
      <c r="O33" s="117"/>
      <c r="P33" s="117">
        <v>130148</v>
      </c>
      <c r="Q33" s="117">
        <v>115322</v>
      </c>
      <c r="R33" s="73">
        <f t="shared" ref="R33:R44" si="8">IF(PUNTOSbasicos&gt;971,Q33,P33)</f>
        <v>130148</v>
      </c>
      <c r="S33" s="73">
        <f t="shared" ref="S33:S44" si="9">IF(PUNTOSbasicos&lt;972,J33,K33)</f>
        <v>162950</v>
      </c>
      <c r="T33" s="73">
        <f t="shared" ref="T33:T44" si="10">IF(PUNTOSbasicos&lt;1170,S33,L33)</f>
        <v>162950</v>
      </c>
      <c r="U33" s="73">
        <f t="shared" ref="U33:U44" si="11">IF(PUNTOSbasicos&lt;1401,T33,M33)</f>
        <v>162950</v>
      </c>
      <c r="V33" s="73">
        <f t="shared" ref="V33:V44" si="12">IF(PUNTOSbasicos&lt;1943,U33,N33)</f>
        <v>162950</v>
      </c>
      <c r="W33" s="73">
        <f t="shared" ref="W33:W44" si="13">IF(PUNTOSbasicos&lt;=2220,V33,O33)</f>
        <v>162950</v>
      </c>
      <c r="X33" s="77"/>
      <c r="Y33" s="77"/>
      <c r="Z33" s="77"/>
      <c r="AA33" s="77"/>
      <c r="AB33" s="28"/>
      <c r="AC33" s="28"/>
      <c r="AD33" s="28"/>
      <c r="AE33" s="28"/>
      <c r="AF33" s="28"/>
      <c r="AG33" s="28"/>
      <c r="AH33" s="28"/>
      <c r="AI33" s="28"/>
      <c r="AJ33" s="28"/>
      <c r="AK33" s="28"/>
      <c r="AL33" s="28"/>
      <c r="AM33" s="28"/>
      <c r="AN33" s="28"/>
      <c r="AO33" s="28"/>
      <c r="AP33" s="28"/>
      <c r="AQ33" s="28"/>
      <c r="AR33" s="28"/>
      <c r="AS33" s="28"/>
      <c r="AT33" s="28"/>
    </row>
    <row r="34" spans="1:46" s="748" customFormat="1" hidden="1">
      <c r="A34" s="39"/>
      <c r="B34" s="39"/>
      <c r="C34" s="749"/>
      <c r="D34" s="45">
        <v>1</v>
      </c>
      <c r="E34" s="48">
        <v>0.1</v>
      </c>
      <c r="F34" s="28"/>
      <c r="G34" s="28"/>
      <c r="H34" s="49">
        <v>0.1</v>
      </c>
      <c r="I34" s="66">
        <f t="shared" si="7"/>
        <v>199370</v>
      </c>
      <c r="J34" s="117">
        <v>199370</v>
      </c>
      <c r="K34" s="117">
        <v>119212</v>
      </c>
      <c r="L34" s="117"/>
      <c r="M34" s="117"/>
      <c r="N34" s="117"/>
      <c r="O34" s="117"/>
      <c r="P34" s="117">
        <v>132976</v>
      </c>
      <c r="Q34" s="117">
        <v>118150</v>
      </c>
      <c r="R34" s="73">
        <f t="shared" si="8"/>
        <v>132976</v>
      </c>
      <c r="S34" s="73">
        <f t="shared" si="9"/>
        <v>199370</v>
      </c>
      <c r="T34" s="73">
        <f t="shared" si="10"/>
        <v>199370</v>
      </c>
      <c r="U34" s="73">
        <f t="shared" si="11"/>
        <v>199370</v>
      </c>
      <c r="V34" s="73">
        <f t="shared" si="12"/>
        <v>199370</v>
      </c>
      <c r="W34" s="73">
        <f t="shared" si="13"/>
        <v>199370</v>
      </c>
      <c r="X34" s="77"/>
      <c r="Y34" s="77"/>
      <c r="Z34" s="77"/>
      <c r="AA34" s="77"/>
      <c r="AB34" s="28"/>
      <c r="AC34" s="28"/>
      <c r="AD34" s="28"/>
      <c r="AE34" s="28"/>
      <c r="AF34" s="28"/>
      <c r="AG34" s="28"/>
      <c r="AH34" s="28"/>
      <c r="AI34" s="28"/>
      <c r="AJ34" s="28"/>
      <c r="AK34" s="28"/>
      <c r="AL34" s="28"/>
      <c r="AM34" s="28"/>
      <c r="AN34" s="28"/>
      <c r="AO34" s="28"/>
      <c r="AP34" s="28"/>
      <c r="AQ34" s="28"/>
      <c r="AR34" s="28"/>
      <c r="AS34" s="28"/>
      <c r="AT34" s="28"/>
    </row>
    <row r="35" spans="1:46" s="748" customFormat="1" hidden="1">
      <c r="A35" s="39"/>
      <c r="B35" s="39"/>
      <c r="C35" s="749"/>
      <c r="D35" s="45">
        <v>2</v>
      </c>
      <c r="E35" s="48">
        <v>0.15</v>
      </c>
      <c r="F35" s="28"/>
      <c r="G35" s="28"/>
      <c r="H35" s="50">
        <v>0.15</v>
      </c>
      <c r="I35" s="66">
        <f t="shared" si="7"/>
        <v>222165</v>
      </c>
      <c r="J35" s="117">
        <v>222165</v>
      </c>
      <c r="K35" s="117">
        <v>144321</v>
      </c>
      <c r="L35" s="117">
        <v>160860</v>
      </c>
      <c r="M35" s="117">
        <v>137517</v>
      </c>
      <c r="N35" s="117">
        <v>143088</v>
      </c>
      <c r="O35" s="117"/>
      <c r="P35" s="117">
        <v>169396</v>
      </c>
      <c r="Q35" s="117">
        <v>154571</v>
      </c>
      <c r="R35" s="73">
        <f t="shared" si="8"/>
        <v>169396</v>
      </c>
      <c r="S35" s="73">
        <f t="shared" si="9"/>
        <v>222165</v>
      </c>
      <c r="T35" s="73">
        <f t="shared" si="10"/>
        <v>222165</v>
      </c>
      <c r="U35" s="73">
        <f t="shared" si="11"/>
        <v>222165</v>
      </c>
      <c r="V35" s="73">
        <f t="shared" si="12"/>
        <v>222165</v>
      </c>
      <c r="W35" s="73">
        <f t="shared" si="13"/>
        <v>222165</v>
      </c>
      <c r="X35" s="77"/>
      <c r="Y35" s="77"/>
      <c r="Z35" s="77"/>
      <c r="AA35" s="77"/>
      <c r="AB35" s="28"/>
      <c r="AC35" s="28"/>
      <c r="AD35" s="28"/>
      <c r="AE35" s="28"/>
      <c r="AF35" s="28"/>
      <c r="AG35" s="28"/>
      <c r="AH35" s="28"/>
      <c r="AI35" s="28"/>
      <c r="AJ35" s="28"/>
      <c r="AK35" s="28"/>
      <c r="AL35" s="28"/>
      <c r="AM35" s="28"/>
      <c r="AN35" s="28"/>
      <c r="AO35" s="28"/>
      <c r="AP35" s="28"/>
      <c r="AQ35" s="28"/>
      <c r="AR35" s="28"/>
      <c r="AS35" s="28"/>
      <c r="AT35" s="28"/>
    </row>
    <row r="36" spans="1:46" s="748" customFormat="1" hidden="1">
      <c r="A36" s="39"/>
      <c r="B36" s="39"/>
      <c r="C36" s="749"/>
      <c r="D36" s="45">
        <v>5</v>
      </c>
      <c r="E36" s="48">
        <v>0.3</v>
      </c>
      <c r="F36" s="28"/>
      <c r="G36" s="28"/>
      <c r="H36" s="50">
        <v>0.3</v>
      </c>
      <c r="I36" s="66">
        <f t="shared" si="7"/>
        <v>231592</v>
      </c>
      <c r="J36" s="117">
        <v>231592</v>
      </c>
      <c r="K36" s="117">
        <v>148348</v>
      </c>
      <c r="L36" s="117">
        <v>160860</v>
      </c>
      <c r="M36" s="117">
        <v>137517</v>
      </c>
      <c r="N36" s="117">
        <v>143088</v>
      </c>
      <c r="O36" s="117"/>
      <c r="P36" s="117">
        <v>214215</v>
      </c>
      <c r="Q36" s="117">
        <v>190991</v>
      </c>
      <c r="R36" s="73">
        <f t="shared" si="8"/>
        <v>214215</v>
      </c>
      <c r="S36" s="73">
        <f t="shared" si="9"/>
        <v>231592</v>
      </c>
      <c r="T36" s="73">
        <f t="shared" si="10"/>
        <v>231592</v>
      </c>
      <c r="U36" s="73">
        <f t="shared" si="11"/>
        <v>231592</v>
      </c>
      <c r="V36" s="73">
        <f t="shared" si="12"/>
        <v>231592</v>
      </c>
      <c r="W36" s="73">
        <f t="shared" si="13"/>
        <v>231592</v>
      </c>
      <c r="X36" s="77"/>
      <c r="Y36" s="77"/>
      <c r="Z36" s="77"/>
      <c r="AA36" s="77"/>
      <c r="AB36" s="28"/>
      <c r="AC36" s="28"/>
      <c r="AD36" s="28"/>
      <c r="AE36" s="28"/>
      <c r="AF36" s="28"/>
      <c r="AG36" s="28"/>
      <c r="AH36" s="28"/>
      <c r="AI36" s="28"/>
      <c r="AJ36" s="28"/>
      <c r="AK36" s="28"/>
      <c r="AL36" s="28"/>
      <c r="AM36" s="28"/>
      <c r="AN36" s="28"/>
      <c r="AO36" s="28"/>
      <c r="AP36" s="28"/>
      <c r="AQ36" s="28"/>
      <c r="AR36" s="28"/>
      <c r="AS36" s="28"/>
      <c r="AT36" s="28"/>
    </row>
    <row r="37" spans="1:46" s="748" customFormat="1" hidden="1">
      <c r="A37" s="39"/>
      <c r="B37" s="39"/>
      <c r="C37" s="749"/>
      <c r="D37" s="45">
        <v>7</v>
      </c>
      <c r="E37" s="48">
        <v>0.4</v>
      </c>
      <c r="F37" s="28"/>
      <c r="G37" s="28"/>
      <c r="H37" s="50">
        <v>0.4</v>
      </c>
      <c r="I37" s="66">
        <f t="shared" si="7"/>
        <v>216338</v>
      </c>
      <c r="J37" s="117">
        <v>216338</v>
      </c>
      <c r="K37" s="117">
        <v>152633</v>
      </c>
      <c r="L37" s="117">
        <v>153542</v>
      </c>
      <c r="M37" s="117">
        <v>139488</v>
      </c>
      <c r="N37" s="117">
        <v>143088</v>
      </c>
      <c r="O37" s="117">
        <v>131947</v>
      </c>
      <c r="P37" s="117">
        <v>231097</v>
      </c>
      <c r="Q37" s="117">
        <v>194814</v>
      </c>
      <c r="R37" s="73">
        <f t="shared" si="8"/>
        <v>231097</v>
      </c>
      <c r="S37" s="73">
        <f t="shared" si="9"/>
        <v>216338</v>
      </c>
      <c r="T37" s="73">
        <f t="shared" si="10"/>
        <v>216338</v>
      </c>
      <c r="U37" s="73">
        <f t="shared" si="11"/>
        <v>216338</v>
      </c>
      <c r="V37" s="73">
        <f t="shared" si="12"/>
        <v>216338</v>
      </c>
      <c r="W37" s="73">
        <f t="shared" si="13"/>
        <v>216338</v>
      </c>
      <c r="X37" s="77"/>
      <c r="Y37" s="77"/>
      <c r="Z37" s="77"/>
      <c r="AA37" s="77"/>
      <c r="AB37" s="28"/>
      <c r="AC37" s="28"/>
      <c r="AD37" s="28"/>
      <c r="AE37" s="28"/>
      <c r="AF37" s="28"/>
      <c r="AG37" s="28"/>
      <c r="AH37" s="28"/>
      <c r="AI37" s="28"/>
      <c r="AJ37" s="28"/>
      <c r="AK37" s="28"/>
      <c r="AL37" s="28"/>
      <c r="AM37" s="28"/>
      <c r="AN37" s="28"/>
      <c r="AO37" s="28"/>
      <c r="AP37" s="28"/>
      <c r="AQ37" s="28"/>
      <c r="AR37" s="28"/>
      <c r="AS37" s="28"/>
      <c r="AT37" s="28"/>
    </row>
    <row r="38" spans="1:46" s="748" customFormat="1" hidden="1">
      <c r="A38" s="39"/>
      <c r="B38" s="39"/>
      <c r="C38" s="749"/>
      <c r="D38" s="45">
        <v>10</v>
      </c>
      <c r="E38" s="48">
        <v>0.5</v>
      </c>
      <c r="F38" s="28"/>
      <c r="G38" s="28"/>
      <c r="H38" s="50">
        <v>0.5</v>
      </c>
      <c r="I38" s="66">
        <f t="shared" si="7"/>
        <v>198085</v>
      </c>
      <c r="J38" s="117">
        <v>198085</v>
      </c>
      <c r="K38" s="117">
        <v>158203</v>
      </c>
      <c r="L38" s="117">
        <v>153542</v>
      </c>
      <c r="M38" s="117">
        <v>139488</v>
      </c>
      <c r="N38" s="117">
        <v>143088</v>
      </c>
      <c r="O38" s="117">
        <v>121716</v>
      </c>
      <c r="P38" s="117">
        <v>240866</v>
      </c>
      <c r="Q38" s="117">
        <v>204498</v>
      </c>
      <c r="R38" s="73">
        <f t="shared" si="8"/>
        <v>240866</v>
      </c>
      <c r="S38" s="73">
        <f t="shared" si="9"/>
        <v>198085</v>
      </c>
      <c r="T38" s="73">
        <f t="shared" si="10"/>
        <v>198085</v>
      </c>
      <c r="U38" s="73">
        <f t="shared" si="11"/>
        <v>198085</v>
      </c>
      <c r="V38" s="73">
        <f t="shared" si="12"/>
        <v>198085</v>
      </c>
      <c r="W38" s="73">
        <f t="shared" si="13"/>
        <v>198085</v>
      </c>
      <c r="X38" s="77"/>
      <c r="Y38" s="77"/>
      <c r="Z38" s="77"/>
      <c r="AA38" s="77"/>
      <c r="AB38" s="28"/>
      <c r="AC38" s="28"/>
      <c r="AD38" s="28"/>
      <c r="AE38" s="28"/>
      <c r="AF38" s="28"/>
      <c r="AG38" s="28"/>
      <c r="AH38" s="28"/>
      <c r="AI38" s="28"/>
      <c r="AJ38" s="28"/>
      <c r="AK38" s="28"/>
      <c r="AL38" s="28"/>
      <c r="AM38" s="28"/>
      <c r="AN38" s="28"/>
      <c r="AO38" s="28"/>
      <c r="AP38" s="28"/>
      <c r="AQ38" s="28"/>
      <c r="AR38" s="28"/>
      <c r="AS38" s="28"/>
      <c r="AT38" s="28"/>
    </row>
    <row r="39" spans="1:46" s="748" customFormat="1" hidden="1">
      <c r="A39" s="39"/>
      <c r="B39" s="39"/>
      <c r="C39" s="749"/>
      <c r="D39" s="45">
        <v>12</v>
      </c>
      <c r="E39" s="48">
        <v>0.6</v>
      </c>
      <c r="F39" s="28"/>
      <c r="G39" s="28"/>
      <c r="H39" s="50">
        <v>0.6</v>
      </c>
      <c r="I39" s="66">
        <f t="shared" si="7"/>
        <v>198770</v>
      </c>
      <c r="J39" s="117">
        <v>198770</v>
      </c>
      <c r="K39" s="117">
        <v>156199</v>
      </c>
      <c r="L39" s="117">
        <v>156199</v>
      </c>
      <c r="M39" s="117">
        <v>140431</v>
      </c>
      <c r="N39" s="117">
        <v>135599</v>
      </c>
      <c r="O39" s="117">
        <v>127715</v>
      </c>
      <c r="P39" s="117">
        <v>250635</v>
      </c>
      <c r="Q39" s="117">
        <v>208782</v>
      </c>
      <c r="R39" s="73">
        <f t="shared" si="8"/>
        <v>250635</v>
      </c>
      <c r="S39" s="73">
        <f t="shared" si="9"/>
        <v>198770</v>
      </c>
      <c r="T39" s="73">
        <f t="shared" si="10"/>
        <v>198770</v>
      </c>
      <c r="U39" s="73">
        <f t="shared" si="11"/>
        <v>198770</v>
      </c>
      <c r="V39" s="73">
        <f t="shared" si="12"/>
        <v>198770</v>
      </c>
      <c r="W39" s="73">
        <f t="shared" si="13"/>
        <v>198770</v>
      </c>
      <c r="X39" s="77"/>
      <c r="Y39" s="77"/>
      <c r="Z39" s="77"/>
      <c r="AA39" s="77"/>
      <c r="AB39" s="28"/>
      <c r="AC39" s="28"/>
      <c r="AD39" s="28"/>
      <c r="AE39" s="28"/>
      <c r="AF39" s="28"/>
      <c r="AG39" s="28"/>
      <c r="AH39" s="28"/>
      <c r="AI39" s="28"/>
      <c r="AJ39" s="28"/>
      <c r="AK39" s="28"/>
      <c r="AL39" s="28"/>
      <c r="AM39" s="28"/>
      <c r="AN39" s="28"/>
      <c r="AO39" s="28"/>
      <c r="AP39" s="28"/>
      <c r="AQ39" s="28"/>
      <c r="AR39" s="28"/>
      <c r="AS39" s="28"/>
      <c r="AT39" s="28"/>
    </row>
    <row r="40" spans="1:46" s="748" customFormat="1" hidden="1">
      <c r="A40" s="39"/>
      <c r="B40" s="39"/>
      <c r="C40" s="749"/>
      <c r="D40" s="45">
        <v>15</v>
      </c>
      <c r="E40" s="48">
        <v>0.7</v>
      </c>
      <c r="F40" s="28"/>
      <c r="G40" s="28"/>
      <c r="H40" s="50">
        <v>0.7</v>
      </c>
      <c r="I40" s="66">
        <f t="shared" si="7"/>
        <v>183140</v>
      </c>
      <c r="J40" s="117">
        <v>183140</v>
      </c>
      <c r="K40" s="117">
        <v>163140</v>
      </c>
      <c r="L40" s="117">
        <v>182250</v>
      </c>
      <c r="M40" s="117">
        <v>137741</v>
      </c>
      <c r="N40" s="117">
        <v>135599</v>
      </c>
      <c r="O40" s="117">
        <v>127715</v>
      </c>
      <c r="P40" s="117">
        <v>244689</v>
      </c>
      <c r="Q40" s="117">
        <v>213067</v>
      </c>
      <c r="R40" s="73">
        <f t="shared" si="8"/>
        <v>244689</v>
      </c>
      <c r="S40" s="73">
        <f t="shared" si="9"/>
        <v>183140</v>
      </c>
      <c r="T40" s="73">
        <f t="shared" si="10"/>
        <v>183140</v>
      </c>
      <c r="U40" s="73">
        <f t="shared" si="11"/>
        <v>183140</v>
      </c>
      <c r="V40" s="73">
        <f t="shared" si="12"/>
        <v>183140</v>
      </c>
      <c r="W40" s="73">
        <f t="shared" si="13"/>
        <v>183140</v>
      </c>
      <c r="X40" s="77"/>
      <c r="Y40" s="77"/>
      <c r="Z40" s="77"/>
      <c r="AA40" s="77"/>
      <c r="AB40" s="28"/>
      <c r="AC40" s="28"/>
      <c r="AD40" s="28"/>
      <c r="AE40" s="28"/>
      <c r="AF40" s="28"/>
      <c r="AG40" s="28"/>
      <c r="AH40" s="28"/>
      <c r="AI40" s="28"/>
      <c r="AJ40" s="28"/>
      <c r="AK40" s="28"/>
      <c r="AL40" s="28"/>
      <c r="AM40" s="28"/>
      <c r="AN40" s="28"/>
      <c r="AO40" s="28"/>
      <c r="AP40" s="28"/>
      <c r="AQ40" s="28"/>
      <c r="AR40" s="28"/>
      <c r="AS40" s="28"/>
      <c r="AT40" s="28"/>
    </row>
    <row r="41" spans="1:46" s="748" customFormat="1" hidden="1">
      <c r="A41" s="39"/>
      <c r="B41" s="39"/>
      <c r="C41" s="749"/>
      <c r="D41" s="45">
        <v>17</v>
      </c>
      <c r="E41" s="48">
        <v>0.8</v>
      </c>
      <c r="F41" s="28"/>
      <c r="G41" s="28"/>
      <c r="H41" s="50">
        <v>0.8</v>
      </c>
      <c r="I41" s="66">
        <f t="shared" si="7"/>
        <v>206878</v>
      </c>
      <c r="J41" s="117">
        <v>206878</v>
      </c>
      <c r="K41" s="117">
        <v>179851</v>
      </c>
      <c r="L41" s="117">
        <v>193819</v>
      </c>
      <c r="M41" s="117">
        <v>168163</v>
      </c>
      <c r="N41" s="117">
        <v>160450</v>
      </c>
      <c r="O41" s="117">
        <v>132857</v>
      </c>
      <c r="P41" s="117">
        <v>252915</v>
      </c>
      <c r="Q41" s="117">
        <v>215809</v>
      </c>
      <c r="R41" s="73">
        <f t="shared" si="8"/>
        <v>252915</v>
      </c>
      <c r="S41" s="73">
        <f t="shared" si="9"/>
        <v>206878</v>
      </c>
      <c r="T41" s="73">
        <f t="shared" si="10"/>
        <v>206878</v>
      </c>
      <c r="U41" s="73">
        <f t="shared" si="11"/>
        <v>206878</v>
      </c>
      <c r="V41" s="73">
        <f t="shared" si="12"/>
        <v>206878</v>
      </c>
      <c r="W41" s="73">
        <f t="shared" si="13"/>
        <v>206878</v>
      </c>
      <c r="X41" s="77"/>
      <c r="Y41" s="77"/>
      <c r="Z41" s="77"/>
      <c r="AA41" s="77"/>
      <c r="AB41" s="28"/>
      <c r="AC41" s="28"/>
      <c r="AD41" s="28"/>
      <c r="AE41" s="28"/>
      <c r="AF41" s="28"/>
      <c r="AG41" s="28"/>
      <c r="AH41" s="28"/>
      <c r="AI41" s="28"/>
      <c r="AJ41" s="28"/>
      <c r="AK41" s="28"/>
      <c r="AL41" s="28"/>
      <c r="AM41" s="28"/>
      <c r="AN41" s="28"/>
      <c r="AO41" s="28"/>
      <c r="AP41" s="28"/>
      <c r="AQ41" s="28"/>
      <c r="AR41" s="28"/>
      <c r="AS41" s="28"/>
      <c r="AT41" s="28"/>
    </row>
    <row r="42" spans="1:46" s="748" customFormat="1" hidden="1">
      <c r="A42" s="39"/>
      <c r="B42" s="39"/>
      <c r="C42" s="749"/>
      <c r="D42" s="45">
        <v>20</v>
      </c>
      <c r="E42" s="48">
        <v>1</v>
      </c>
      <c r="F42" s="28"/>
      <c r="G42" s="28"/>
      <c r="H42" s="50">
        <v>1</v>
      </c>
      <c r="I42" s="66">
        <f t="shared" si="7"/>
        <v>239396</v>
      </c>
      <c r="J42" s="117">
        <v>239396</v>
      </c>
      <c r="K42" s="117">
        <v>203281</v>
      </c>
      <c r="L42" s="117">
        <v>196473</v>
      </c>
      <c r="M42" s="117">
        <v>164272</v>
      </c>
      <c r="N42" s="117">
        <v>167676</v>
      </c>
      <c r="O42" s="117">
        <v>131934</v>
      </c>
      <c r="P42" s="117">
        <v>261031</v>
      </c>
      <c r="Q42" s="117">
        <v>218396</v>
      </c>
      <c r="R42" s="73">
        <f t="shared" si="8"/>
        <v>261031</v>
      </c>
      <c r="S42" s="73">
        <f t="shared" si="9"/>
        <v>239396</v>
      </c>
      <c r="T42" s="73">
        <f t="shared" si="10"/>
        <v>239396</v>
      </c>
      <c r="U42" s="73">
        <f t="shared" si="11"/>
        <v>239396</v>
      </c>
      <c r="V42" s="73">
        <f t="shared" si="12"/>
        <v>239396</v>
      </c>
      <c r="W42" s="73">
        <f t="shared" si="13"/>
        <v>239396</v>
      </c>
      <c r="X42" s="77"/>
      <c r="Y42" s="77"/>
      <c r="Z42" s="77"/>
      <c r="AA42" s="77"/>
      <c r="AB42" s="28"/>
      <c r="AC42" s="28"/>
      <c r="AD42" s="28"/>
      <c r="AE42" s="28"/>
      <c r="AF42" s="28"/>
      <c r="AG42" s="28"/>
      <c r="AH42" s="28"/>
      <c r="AI42" s="28"/>
      <c r="AJ42" s="28"/>
      <c r="AK42" s="28"/>
      <c r="AL42" s="28"/>
      <c r="AM42" s="28"/>
      <c r="AN42" s="28"/>
      <c r="AO42" s="28"/>
      <c r="AP42" s="28"/>
      <c r="AQ42" s="28"/>
      <c r="AR42" s="28"/>
      <c r="AS42" s="28"/>
      <c r="AT42" s="28"/>
    </row>
    <row r="43" spans="1:46" s="748" customFormat="1" hidden="1">
      <c r="A43" s="39"/>
      <c r="B43" s="39"/>
      <c r="C43" s="749"/>
      <c r="D43" s="45">
        <v>22</v>
      </c>
      <c r="E43" s="48">
        <v>1.1000000000000001</v>
      </c>
      <c r="F43" s="28"/>
      <c r="G43" s="28"/>
      <c r="H43" s="50">
        <v>1.1000000000000001</v>
      </c>
      <c r="I43" s="66">
        <f t="shared" si="7"/>
        <v>260246</v>
      </c>
      <c r="J43" s="117">
        <v>260246</v>
      </c>
      <c r="K43" s="117">
        <v>219961</v>
      </c>
      <c r="L43" s="117">
        <v>191929</v>
      </c>
      <c r="M43" s="117">
        <v>164272</v>
      </c>
      <c r="N43" s="117">
        <v>170484</v>
      </c>
      <c r="O43" s="117">
        <v>134657</v>
      </c>
      <c r="P43" s="117">
        <v>267924</v>
      </c>
      <c r="Q43" s="117">
        <v>222566</v>
      </c>
      <c r="R43" s="73">
        <f t="shared" si="8"/>
        <v>267924</v>
      </c>
      <c r="S43" s="73">
        <f t="shared" si="9"/>
        <v>260246</v>
      </c>
      <c r="T43" s="73">
        <f t="shared" si="10"/>
        <v>260246</v>
      </c>
      <c r="U43" s="73">
        <f t="shared" si="11"/>
        <v>260246</v>
      </c>
      <c r="V43" s="73">
        <f t="shared" si="12"/>
        <v>260246</v>
      </c>
      <c r="W43" s="73">
        <f t="shared" si="13"/>
        <v>260246</v>
      </c>
      <c r="X43" s="77"/>
      <c r="Y43" s="77"/>
      <c r="Z43" s="77"/>
      <c r="AA43" s="77"/>
      <c r="AB43" s="28"/>
      <c r="AC43" s="28"/>
      <c r="AD43" s="28"/>
      <c r="AE43" s="28"/>
      <c r="AF43" s="28"/>
      <c r="AG43" s="28"/>
      <c r="AH43" s="28"/>
      <c r="AI43" s="28"/>
      <c r="AJ43" s="28"/>
      <c r="AK43" s="28"/>
      <c r="AL43" s="28"/>
      <c r="AM43" s="28"/>
      <c r="AN43" s="28"/>
      <c r="AO43" s="28"/>
      <c r="AP43" s="28"/>
      <c r="AQ43" s="28"/>
      <c r="AR43" s="28"/>
      <c r="AS43" s="28"/>
      <c r="AT43" s="28"/>
    </row>
    <row r="44" spans="1:46" s="748" customFormat="1" hidden="1">
      <c r="A44" s="39"/>
      <c r="B44" s="39"/>
      <c r="C44" s="749"/>
      <c r="D44" s="45">
        <v>24</v>
      </c>
      <c r="E44" s="48">
        <v>1.2</v>
      </c>
      <c r="F44" s="28"/>
      <c r="G44" s="28"/>
      <c r="H44" s="50">
        <v>1.2</v>
      </c>
      <c r="I44" s="66">
        <f t="shared" si="7"/>
        <v>266884</v>
      </c>
      <c r="J44" s="117">
        <v>266884</v>
      </c>
      <c r="K44" s="117">
        <v>224045</v>
      </c>
      <c r="L44" s="117">
        <v>205545</v>
      </c>
      <c r="M44" s="117">
        <v>165634</v>
      </c>
      <c r="N44" s="117">
        <v>173207</v>
      </c>
      <c r="O44" s="117">
        <v>134657</v>
      </c>
      <c r="P44" s="117">
        <v>269285</v>
      </c>
      <c r="Q44" s="117">
        <v>224097</v>
      </c>
      <c r="R44" s="73">
        <f t="shared" si="8"/>
        <v>269285</v>
      </c>
      <c r="S44" s="73">
        <f t="shared" si="9"/>
        <v>266884</v>
      </c>
      <c r="T44" s="73">
        <f t="shared" si="10"/>
        <v>266884</v>
      </c>
      <c r="U44" s="73">
        <f t="shared" si="11"/>
        <v>266884</v>
      </c>
      <c r="V44" s="73">
        <f t="shared" si="12"/>
        <v>266884</v>
      </c>
      <c r="W44" s="73">
        <f t="shared" si="13"/>
        <v>266884</v>
      </c>
      <c r="X44" s="77"/>
      <c r="Y44" s="77"/>
      <c r="Z44" s="77"/>
      <c r="AA44" s="77"/>
      <c r="AB44" s="28"/>
      <c r="AC44" s="28"/>
      <c r="AD44" s="28"/>
      <c r="AE44" s="28"/>
      <c r="AF44" s="28"/>
      <c r="AG44" s="28"/>
      <c r="AH44" s="28"/>
      <c r="AI44" s="28"/>
      <c r="AJ44" s="28"/>
      <c r="AK44" s="28"/>
      <c r="AL44" s="28"/>
      <c r="AM44" s="28"/>
      <c r="AN44" s="28"/>
      <c r="AO44" s="28"/>
      <c r="AP44" s="28"/>
      <c r="AQ44" s="28"/>
      <c r="AR44" s="28"/>
      <c r="AS44" s="28"/>
      <c r="AT44" s="28"/>
    </row>
    <row r="45" spans="1:46" s="748" customFormat="1" hidden="1">
      <c r="A45" s="39"/>
      <c r="B45" s="39"/>
      <c r="C45" s="749"/>
      <c r="D45" s="749"/>
      <c r="E45" s="28"/>
      <c r="F45" s="28"/>
      <c r="G45" s="28"/>
      <c r="H45" s="53"/>
      <c r="I45" s="67"/>
      <c r="J45" s="117"/>
      <c r="K45" s="117"/>
      <c r="L45" s="117"/>
      <c r="M45" s="117"/>
      <c r="N45" s="117"/>
      <c r="O45" s="117"/>
      <c r="P45" s="117"/>
      <c r="Q45" s="117"/>
      <c r="R45" s="74"/>
      <c r="S45" s="74"/>
      <c r="T45" s="74"/>
      <c r="U45" s="74"/>
      <c r="V45" s="74"/>
      <c r="W45" s="74"/>
      <c r="X45" s="77"/>
      <c r="Y45" s="77"/>
      <c r="Z45" s="77"/>
      <c r="AA45" s="77"/>
      <c r="AB45" s="28"/>
      <c r="AC45" s="28"/>
      <c r="AD45" s="28"/>
      <c r="AE45" s="28"/>
      <c r="AF45" s="28"/>
      <c r="AG45" s="28"/>
      <c r="AH45" s="28"/>
      <c r="AI45" s="28"/>
      <c r="AJ45" s="28"/>
      <c r="AK45" s="28"/>
      <c r="AL45" s="28"/>
      <c r="AM45" s="28"/>
      <c r="AN45" s="28"/>
      <c r="AO45" s="28"/>
      <c r="AP45" s="28"/>
      <c r="AQ45" s="28"/>
      <c r="AR45" s="28"/>
      <c r="AS45" s="28"/>
      <c r="AT45" s="28"/>
    </row>
    <row r="46" spans="1:46" s="748" customFormat="1" hidden="1">
      <c r="A46" s="39"/>
      <c r="B46" s="39"/>
      <c r="C46" s="749"/>
      <c r="D46" s="749"/>
      <c r="E46" s="28"/>
      <c r="F46" s="28"/>
      <c r="G46" s="28"/>
      <c r="H46" s="53"/>
      <c r="I46" s="67"/>
      <c r="J46" s="117"/>
      <c r="K46" s="117"/>
      <c r="L46" s="117"/>
      <c r="M46" s="117"/>
      <c r="N46" s="117"/>
      <c r="O46" s="117"/>
      <c r="P46" s="117"/>
      <c r="Q46" s="117"/>
      <c r="R46" s="74"/>
      <c r="S46" s="74"/>
      <c r="T46" s="74"/>
      <c r="U46" s="74"/>
      <c r="V46" s="74"/>
      <c r="W46" s="74"/>
      <c r="X46" s="77"/>
      <c r="Y46" s="77"/>
      <c r="Z46" s="77"/>
      <c r="AA46" s="77"/>
      <c r="AB46" s="28"/>
      <c r="AC46" s="28"/>
      <c r="AD46" s="28"/>
      <c r="AE46" s="28"/>
      <c r="AF46" s="28"/>
      <c r="AG46" s="28"/>
      <c r="AH46" s="28"/>
      <c r="AI46" s="28"/>
      <c r="AJ46" s="28"/>
      <c r="AK46" s="28"/>
      <c r="AL46" s="28"/>
      <c r="AM46" s="28"/>
      <c r="AN46" s="28"/>
      <c r="AO46" s="28"/>
      <c r="AP46" s="28"/>
      <c r="AQ46" s="28"/>
      <c r="AR46" s="28"/>
      <c r="AS46" s="28"/>
      <c r="AT46" s="28"/>
    </row>
    <row r="47" spans="1:46" hidden="1">
      <c r="A47" s="39"/>
      <c r="B47" s="39"/>
      <c r="C47" s="33"/>
      <c r="D47" s="33"/>
      <c r="E47" s="28"/>
      <c r="F47" s="28"/>
      <c r="G47" s="28"/>
      <c r="H47" s="33"/>
      <c r="I47" s="33"/>
      <c r="J47" s="28"/>
      <c r="K47" s="28"/>
      <c r="L47" s="55"/>
      <c r="M47" s="70"/>
      <c r="N47" s="69"/>
      <c r="O47" s="69"/>
      <c r="P47" s="69"/>
      <c r="Q47" s="69"/>
      <c r="R47" s="69"/>
      <c r="S47" s="69"/>
      <c r="T47" s="69"/>
      <c r="U47" s="69"/>
      <c r="V47" s="77"/>
      <c r="W47" s="77"/>
      <c r="X47" s="77"/>
      <c r="Y47" s="77"/>
      <c r="Z47" s="77"/>
      <c r="AA47" s="77"/>
      <c r="AB47" s="28"/>
      <c r="AC47" s="28"/>
      <c r="AD47" s="28"/>
      <c r="AE47" s="28"/>
      <c r="AF47" s="28"/>
      <c r="AG47" s="28"/>
      <c r="AH47" s="28"/>
      <c r="AI47" s="28"/>
      <c r="AJ47" s="28"/>
      <c r="AK47" s="28"/>
      <c r="AL47" s="28"/>
      <c r="AM47" s="28"/>
      <c r="AN47" s="28"/>
      <c r="AO47" s="28"/>
      <c r="AP47" s="28"/>
      <c r="AQ47" s="28"/>
      <c r="AR47" s="28"/>
      <c r="AS47" s="28"/>
      <c r="AT47" s="28"/>
    </row>
    <row r="48" spans="1:46" hidden="1">
      <c r="A48" s="39"/>
      <c r="B48" s="39"/>
      <c r="C48" s="33"/>
      <c r="D48" s="33"/>
      <c r="E48" s="28"/>
      <c r="F48" s="28"/>
      <c r="G48" s="28"/>
      <c r="H48" s="33"/>
      <c r="I48" s="33"/>
      <c r="J48" s="28"/>
      <c r="K48" s="28"/>
      <c r="L48" s="55"/>
      <c r="M48" s="70"/>
      <c r="N48" s="69"/>
      <c r="O48" s="69"/>
      <c r="P48" s="69"/>
      <c r="Q48" s="69"/>
      <c r="R48" s="69"/>
      <c r="S48" s="69"/>
      <c r="T48" s="69"/>
      <c r="U48" s="69"/>
      <c r="V48" s="77"/>
      <c r="W48" s="77"/>
      <c r="X48" s="77"/>
      <c r="Y48" s="77"/>
      <c r="Z48" s="77"/>
      <c r="AA48" s="77"/>
      <c r="AB48" s="28"/>
      <c r="AC48" s="28"/>
      <c r="AD48" s="28"/>
      <c r="AE48" s="28"/>
      <c r="AF48" s="28"/>
      <c r="AG48" s="28"/>
      <c r="AH48" s="28"/>
      <c r="AI48" s="28"/>
      <c r="AJ48" s="28"/>
      <c r="AK48" s="28"/>
      <c r="AL48" s="28"/>
      <c r="AM48" s="28"/>
      <c r="AN48" s="28"/>
      <c r="AO48" s="28"/>
      <c r="AP48" s="28"/>
      <c r="AQ48" s="28"/>
      <c r="AR48" s="28"/>
      <c r="AS48" s="28"/>
      <c r="AT48" s="28"/>
    </row>
    <row r="49" spans="1:46" ht="23.25" hidden="1">
      <c r="A49" s="39"/>
      <c r="B49" s="39"/>
      <c r="C49" s="33"/>
      <c r="D49" s="78">
        <f>1.53/1.47-1</f>
        <v>4.081632653061229E-2</v>
      </c>
      <c r="E49" s="28"/>
      <c r="F49" s="79"/>
      <c r="G49" s="80"/>
      <c r="H49" s="81"/>
      <c r="I49" s="81"/>
      <c r="J49" s="80"/>
      <c r="K49" s="80"/>
      <c r="L49" s="118"/>
      <c r="M49" s="84"/>
      <c r="N49" s="84"/>
      <c r="O49" s="84"/>
      <c r="P49" s="84"/>
      <c r="Q49" s="28"/>
      <c r="R49" s="28"/>
      <c r="S49" s="28"/>
      <c r="T49" s="28"/>
      <c r="U49" s="28"/>
      <c r="V49" s="28"/>
      <c r="W49" s="28"/>
      <c r="X49" s="28"/>
      <c r="Y49" s="28"/>
      <c r="Z49" s="28"/>
      <c r="AA49" s="28"/>
      <c r="AB49" s="28"/>
      <c r="AC49" s="28"/>
      <c r="AD49" s="28"/>
      <c r="AE49" s="28"/>
      <c r="AF49" s="28"/>
      <c r="AG49" s="28"/>
      <c r="AH49" s="28"/>
      <c r="AI49" s="28"/>
      <c r="AJ49" s="28"/>
      <c r="AK49" s="28"/>
      <c r="AL49" s="28"/>
      <c r="AM49" s="28"/>
      <c r="AN49" s="28"/>
      <c r="AO49" s="28"/>
      <c r="AP49" s="28"/>
      <c r="AQ49" s="28"/>
      <c r="AR49" s="28"/>
      <c r="AS49" s="28"/>
      <c r="AT49" s="28"/>
    </row>
    <row r="50" spans="1:46" ht="20.25" hidden="1">
      <c r="A50" s="82"/>
      <c r="B50" s="39"/>
      <c r="C50" s="33"/>
      <c r="D50" s="33"/>
      <c r="E50" s="28"/>
      <c r="F50" s="83"/>
      <c r="G50" s="84" t="s">
        <v>18</v>
      </c>
      <c r="H50" s="85" t="s">
        <v>19</v>
      </c>
      <c r="I50" s="84" t="s">
        <v>20</v>
      </c>
      <c r="J50" s="119" t="s">
        <v>21</v>
      </c>
      <c r="K50" s="84"/>
      <c r="L50" s="120"/>
      <c r="M50" s="121"/>
      <c r="N50" s="120" t="s">
        <v>22</v>
      </c>
      <c r="O50" s="122"/>
      <c r="P50" s="123">
        <v>0.24</v>
      </c>
      <c r="Q50" s="28"/>
      <c r="R50" s="28"/>
      <c r="S50" s="28"/>
      <c r="T50" s="28"/>
      <c r="U50" s="28"/>
      <c r="V50" s="28"/>
      <c r="W50" s="28"/>
      <c r="X50" s="28"/>
      <c r="Y50" s="28"/>
      <c r="Z50" s="28"/>
      <c r="AA50" s="28"/>
      <c r="AB50" s="28"/>
      <c r="AC50" s="28"/>
      <c r="AD50" s="28"/>
      <c r="AE50" s="28"/>
      <c r="AF50" s="28"/>
      <c r="AG50" s="28"/>
      <c r="AH50" s="28"/>
      <c r="AI50" s="28"/>
      <c r="AJ50" s="28"/>
      <c r="AK50" s="28"/>
      <c r="AL50" s="28"/>
      <c r="AM50" s="28"/>
      <c r="AN50" s="28"/>
      <c r="AO50" s="28"/>
      <c r="AP50" s="28"/>
      <c r="AQ50" s="28"/>
      <c r="AR50" s="28"/>
      <c r="AS50" s="28"/>
      <c r="AT50" s="28"/>
    </row>
    <row r="51" spans="1:46" ht="20.25" hidden="1">
      <c r="A51" s="86" t="s">
        <v>23</v>
      </c>
      <c r="B51" s="86"/>
      <c r="C51" s="32"/>
      <c r="D51" s="32"/>
      <c r="E51" s="28"/>
      <c r="F51" s="87"/>
      <c r="G51" s="84" t="s">
        <v>24</v>
      </c>
      <c r="H51" s="85" t="s">
        <v>25</v>
      </c>
      <c r="I51" s="84" t="s">
        <v>26</v>
      </c>
      <c r="J51" s="119" t="s">
        <v>21</v>
      </c>
      <c r="K51" s="84"/>
      <c r="L51" s="124"/>
      <c r="M51" s="121"/>
      <c r="N51" s="124" t="s">
        <v>27</v>
      </c>
      <c r="O51" s="125"/>
      <c r="P51" s="123">
        <v>0.26</v>
      </c>
      <c r="Q51" s="28"/>
      <c r="R51" s="28"/>
      <c r="S51" s="28"/>
      <c r="T51" s="28"/>
      <c r="U51" s="28"/>
      <c r="V51" s="28"/>
      <c r="W51" s="28"/>
      <c r="X51" s="28"/>
      <c r="Y51" s="28"/>
      <c r="Z51" s="28"/>
      <c r="AA51" s="28"/>
      <c r="AB51" s="28"/>
      <c r="AC51" s="28"/>
      <c r="AD51" s="28"/>
      <c r="AE51" s="28"/>
      <c r="AF51" s="28"/>
      <c r="AG51" s="28"/>
      <c r="AH51" s="28"/>
      <c r="AI51" s="28"/>
      <c r="AJ51" s="28"/>
      <c r="AK51" s="28"/>
      <c r="AL51" s="28"/>
      <c r="AM51" s="28"/>
      <c r="AN51" s="28"/>
      <c r="AO51" s="28"/>
      <c r="AP51" s="28"/>
      <c r="AQ51" s="28"/>
      <c r="AR51" s="28"/>
      <c r="AS51" s="28"/>
      <c r="AT51" s="28"/>
    </row>
    <row r="52" spans="1:46" ht="20.25" hidden="1">
      <c r="A52" s="40"/>
      <c r="B52" s="40"/>
      <c r="C52" s="28"/>
      <c r="D52" s="33"/>
      <c r="E52" s="28"/>
      <c r="F52" s="87"/>
      <c r="G52" s="88" t="s">
        <v>28</v>
      </c>
      <c r="H52" s="89" t="s">
        <v>29</v>
      </c>
      <c r="I52" s="126" t="s">
        <v>30</v>
      </c>
      <c r="J52" s="69" t="s">
        <v>31</v>
      </c>
      <c r="K52" s="28"/>
      <c r="L52" s="124"/>
      <c r="M52" s="121"/>
      <c r="N52" s="124" t="s">
        <v>32</v>
      </c>
      <c r="O52" s="125"/>
      <c r="P52" s="127" t="s">
        <v>33</v>
      </c>
      <c r="Q52" s="28"/>
      <c r="R52" s="28"/>
      <c r="S52" s="28"/>
      <c r="T52" s="28"/>
      <c r="U52" s="28"/>
      <c r="V52" s="28"/>
      <c r="W52" s="28"/>
      <c r="X52" s="28"/>
      <c r="Y52" s="28"/>
      <c r="Z52" s="28"/>
      <c r="AA52" s="28"/>
      <c r="AB52" s="28"/>
      <c r="AC52" s="28"/>
      <c r="AD52" s="28"/>
      <c r="AE52" s="28"/>
      <c r="AF52" s="28"/>
      <c r="AG52" s="28"/>
      <c r="AH52" s="28"/>
      <c r="AI52" s="28"/>
      <c r="AJ52" s="28"/>
      <c r="AK52" s="28"/>
      <c r="AL52" s="28"/>
      <c r="AM52" s="28"/>
      <c r="AN52" s="28"/>
      <c r="AO52" s="28"/>
      <c r="AP52" s="28"/>
      <c r="AQ52" s="28"/>
      <c r="AR52" s="28"/>
      <c r="AS52" s="28"/>
      <c r="AT52" s="28"/>
    </row>
    <row r="53" spans="1:46" ht="20.25" hidden="1">
      <c r="A53" s="40"/>
      <c r="B53" s="90"/>
      <c r="C53" s="91"/>
      <c r="D53" s="28"/>
      <c r="E53" s="28"/>
      <c r="F53" s="92"/>
      <c r="G53" s="93"/>
      <c r="H53" s="94"/>
      <c r="I53" s="94"/>
      <c r="J53" s="93"/>
      <c r="K53" s="93"/>
      <c r="L53" s="128"/>
      <c r="M53" s="28"/>
      <c r="N53" s="28"/>
      <c r="O53" s="28"/>
      <c r="P53" s="28"/>
      <c r="Q53" s="28"/>
      <c r="R53" s="28"/>
      <c r="S53" s="28"/>
      <c r="T53" s="28"/>
      <c r="U53" s="135"/>
      <c r="V53" s="135"/>
      <c r="W53" s="135"/>
      <c r="X53" s="136"/>
      <c r="Y53" s="28"/>
      <c r="Z53" s="28"/>
      <c r="AA53" s="141"/>
      <c r="AB53" s="28"/>
      <c r="AC53" s="28"/>
      <c r="AD53" s="28"/>
      <c r="AE53" s="28"/>
      <c r="AF53" s="142"/>
      <c r="AG53" s="145"/>
      <c r="AH53" s="28"/>
      <c r="AI53" s="146"/>
      <c r="AJ53" s="28"/>
      <c r="AK53" s="28"/>
      <c r="AL53" s="28"/>
      <c r="AM53" s="28"/>
      <c r="AN53" s="28"/>
      <c r="AO53" s="28"/>
      <c r="AP53" s="28"/>
      <c r="AQ53" s="28"/>
      <c r="AR53" s="28"/>
      <c r="AS53" s="28"/>
      <c r="AT53" s="28"/>
    </row>
    <row r="54" spans="1:46" ht="20.25" hidden="1">
      <c r="A54" s="40"/>
      <c r="B54" s="95"/>
      <c r="C54" s="96"/>
      <c r="D54" s="96"/>
      <c r="E54" s="28"/>
      <c r="F54" s="947" t="s">
        <v>34</v>
      </c>
      <c r="G54" s="946"/>
      <c r="H54" s="946"/>
      <c r="I54" s="129"/>
      <c r="J54" s="130"/>
      <c r="K54" s="129"/>
      <c r="L54" s="28"/>
      <c r="M54" s="28"/>
      <c r="N54" s="28"/>
      <c r="O54" s="28"/>
      <c r="P54" s="28"/>
      <c r="Q54" s="28"/>
      <c r="R54" s="28"/>
      <c r="S54" s="28"/>
      <c r="T54" s="28"/>
      <c r="U54" s="137"/>
      <c r="V54" s="137"/>
      <c r="W54" s="137"/>
      <c r="X54" s="136"/>
      <c r="Y54" s="28"/>
      <c r="Z54" s="28"/>
      <c r="AA54" s="28"/>
      <c r="AB54" s="28"/>
      <c r="AC54" s="28"/>
      <c r="AD54" s="28"/>
      <c r="AE54" s="28"/>
      <c r="AF54" s="142"/>
      <c r="AG54" s="145"/>
      <c r="AH54" s="28"/>
      <c r="AI54" s="146"/>
      <c r="AJ54" s="28"/>
      <c r="AK54" s="28"/>
      <c r="AL54" s="28"/>
      <c r="AM54" s="28"/>
      <c r="AN54" s="28"/>
      <c r="AO54" s="28"/>
      <c r="AP54" s="28"/>
      <c r="AQ54" s="28"/>
      <c r="AR54" s="28"/>
      <c r="AS54" s="28"/>
      <c r="AT54" s="28"/>
    </row>
    <row r="55" spans="1:46" ht="20.25" hidden="1">
      <c r="A55" s="40"/>
      <c r="B55" s="97"/>
      <c r="C55" s="98">
        <f>1.47*1.07+0.13+1.47*0.07</f>
        <v>1.8058000000000001</v>
      </c>
      <c r="D55" s="99">
        <f>1.47*1.14</f>
        <v>1.6757999999999997</v>
      </c>
      <c r="E55" s="28"/>
      <c r="F55" s="948" t="s">
        <v>35</v>
      </c>
      <c r="G55" s="946"/>
      <c r="H55" s="28"/>
      <c r="I55" s="33"/>
      <c r="J55" s="131"/>
      <c r="K55" s="28"/>
      <c r="L55" s="28"/>
      <c r="M55" s="28"/>
      <c r="N55" s="108"/>
      <c r="O55" s="28"/>
      <c r="P55" s="28"/>
      <c r="Q55" s="108"/>
      <c r="R55" s="28"/>
      <c r="S55" s="108"/>
      <c r="T55" s="28"/>
      <c r="U55" s="28"/>
      <c r="V55" s="28"/>
      <c r="W55" s="28"/>
      <c r="X55" s="28"/>
      <c r="Y55" s="28"/>
      <c r="Z55" s="28"/>
      <c r="AA55" s="28"/>
      <c r="AB55" s="28"/>
      <c r="AC55" s="28"/>
      <c r="AD55" s="28"/>
      <c r="AE55" s="28"/>
      <c r="AF55" s="28"/>
      <c r="AG55" s="28"/>
      <c r="AH55" s="28"/>
      <c r="AI55" s="28"/>
      <c r="AJ55" s="28"/>
      <c r="AK55" s="142"/>
      <c r="AL55" s="28"/>
      <c r="AM55" s="28"/>
      <c r="AN55" s="28"/>
      <c r="AO55" s="28"/>
      <c r="AP55" s="28"/>
      <c r="AQ55" s="28"/>
      <c r="AR55" s="28"/>
      <c r="AS55" s="28"/>
      <c r="AT55" s="28"/>
    </row>
    <row r="56" spans="1:46" ht="25.5" hidden="1">
      <c r="A56" s="40"/>
      <c r="B56" s="40"/>
      <c r="C56" s="100">
        <f>1.53*1.07</f>
        <v>1.6371000000000002</v>
      </c>
      <c r="D56" s="101">
        <f>1.53*1.14</f>
        <v>1.7442</v>
      </c>
      <c r="E56" s="28"/>
      <c r="F56" s="949" t="s">
        <v>36</v>
      </c>
      <c r="G56" s="950"/>
      <c r="H56" s="102"/>
      <c r="I56" s="33"/>
      <c r="J56" s="131"/>
      <c r="K56" s="28"/>
      <c r="L56" s="99"/>
      <c r="M56" s="28"/>
      <c r="N56" s="108"/>
      <c r="O56" s="28"/>
      <c r="P56" s="28"/>
      <c r="Q56" s="108"/>
      <c r="R56" s="28"/>
      <c r="S56" s="108"/>
      <c r="T56" s="28"/>
      <c r="U56" s="28"/>
      <c r="V56" s="28"/>
      <c r="W56" s="138" t="s">
        <v>37</v>
      </c>
      <c r="X56" s="28"/>
      <c r="Y56" s="28"/>
      <c r="Z56" s="143"/>
      <c r="AA56" s="28"/>
      <c r="AB56" s="138" t="s">
        <v>37</v>
      </c>
      <c r="AC56" s="28"/>
      <c r="AD56" s="28"/>
      <c r="AE56" s="138" t="s">
        <v>37</v>
      </c>
      <c r="AF56" s="28"/>
      <c r="AG56" s="28"/>
      <c r="AH56" s="143"/>
      <c r="AI56" s="28"/>
      <c r="AJ56" s="28"/>
      <c r="AK56" s="147"/>
      <c r="AL56" s="28"/>
      <c r="AM56" s="144"/>
      <c r="AN56" s="28"/>
      <c r="AO56" s="28"/>
      <c r="AP56" s="28"/>
      <c r="AQ56" s="28"/>
      <c r="AR56" s="28"/>
      <c r="AS56" s="28"/>
      <c r="AT56" s="28"/>
    </row>
    <row r="57" spans="1:46" ht="16.5" hidden="1" thickBot="1">
      <c r="A57" s="40"/>
      <c r="B57" s="103" t="s">
        <v>38</v>
      </c>
      <c r="C57" s="104">
        <v>2.4111452999999998</v>
      </c>
      <c r="D57" s="28"/>
      <c r="E57" s="28"/>
      <c r="F57" s="28"/>
      <c r="G57" s="28"/>
      <c r="H57" s="28"/>
      <c r="I57" s="28"/>
      <c r="J57" s="28"/>
      <c r="K57" s="28"/>
      <c r="L57" s="28"/>
      <c r="M57" s="28"/>
      <c r="N57" s="28"/>
      <c r="O57" s="28"/>
      <c r="P57" s="28"/>
      <c r="Q57" s="99"/>
      <c r="R57" s="28"/>
      <c r="S57" s="28"/>
      <c r="T57" s="28"/>
      <c r="U57" s="28"/>
      <c r="V57" s="28"/>
      <c r="W57" s="28"/>
      <c r="X57" s="28"/>
      <c r="Y57" s="28"/>
      <c r="Z57" s="28"/>
      <c r="AA57" s="28"/>
      <c r="AB57" s="28"/>
      <c r="AC57" s="28"/>
      <c r="AD57" s="77"/>
      <c r="AE57" s="144"/>
      <c r="AF57" s="28"/>
      <c r="AG57" s="28"/>
      <c r="AH57" s="28"/>
      <c r="AI57" s="28"/>
      <c r="AJ57" s="28"/>
      <c r="AK57" s="28"/>
      <c r="AL57" s="28"/>
      <c r="AM57" s="28"/>
      <c r="AN57" s="28"/>
      <c r="AO57" s="28"/>
      <c r="AP57" s="28"/>
      <c r="AQ57" s="28"/>
      <c r="AR57" s="28"/>
      <c r="AS57" s="28"/>
      <c r="AT57" s="28"/>
    </row>
    <row r="58" spans="1:46" hidden="1" thickBot="1">
      <c r="A58" s="40"/>
      <c r="B58" s="40" t="s">
        <v>39</v>
      </c>
      <c r="C58" s="105">
        <v>2.8451514539999998</v>
      </c>
      <c r="D58" s="28" t="s">
        <v>40</v>
      </c>
      <c r="E58" s="746">
        <v>198.26560000000001</v>
      </c>
      <c r="F58" s="28" t="s">
        <v>41</v>
      </c>
      <c r="G58" s="139">
        <v>202.7388</v>
      </c>
      <c r="H58" s="28" t="s">
        <v>175</v>
      </c>
      <c r="I58" s="747">
        <v>207.7713</v>
      </c>
      <c r="J58" s="28" t="s">
        <v>190</v>
      </c>
      <c r="K58" s="747">
        <v>212.34226860000001</v>
      </c>
      <c r="L58" s="28" t="s">
        <v>192</v>
      </c>
      <c r="M58" s="747">
        <v>217.3288</v>
      </c>
      <c r="N58" s="28" t="s">
        <v>202</v>
      </c>
      <c r="O58" s="747">
        <v>225.37</v>
      </c>
      <c r="P58" s="28" t="s">
        <v>206</v>
      </c>
      <c r="Q58" s="747">
        <v>231.45519999999999</v>
      </c>
      <c r="R58" s="28" t="s">
        <v>210</v>
      </c>
      <c r="S58" s="747">
        <v>234.71510399999997</v>
      </c>
      <c r="T58" s="28" t="s">
        <v>213</v>
      </c>
      <c r="U58" s="747">
        <v>238.19236479999998</v>
      </c>
      <c r="V58" s="28" t="s">
        <v>218</v>
      </c>
      <c r="W58" s="747">
        <v>242.3218</v>
      </c>
      <c r="X58" s="28" t="s">
        <v>228</v>
      </c>
      <c r="Y58" s="747">
        <v>246.92591419999997</v>
      </c>
      <c r="Z58" s="28" t="s">
        <v>231</v>
      </c>
      <c r="AA58" s="747">
        <v>252.01467199999996</v>
      </c>
      <c r="AB58" s="28" t="s">
        <v>234</v>
      </c>
      <c r="AC58" s="747">
        <v>257.58807339999993</v>
      </c>
      <c r="AD58" s="28" t="s">
        <v>237</v>
      </c>
      <c r="AE58" s="747">
        <v>264.02777523499992</v>
      </c>
    </row>
    <row r="59" spans="1:46" hidden="1" thickBot="1">
      <c r="A59" s="40"/>
      <c r="B59" s="40"/>
      <c r="C59" s="104"/>
      <c r="D59" s="28" t="s">
        <v>42</v>
      </c>
      <c r="E59" s="140">
        <v>342.5924</v>
      </c>
      <c r="F59" s="28" t="s">
        <v>43</v>
      </c>
      <c r="G59" s="140">
        <v>350.322</v>
      </c>
      <c r="H59" s="28" t="s">
        <v>176</v>
      </c>
      <c r="I59" s="747">
        <v>359.01780000000002</v>
      </c>
      <c r="J59" s="28" t="s">
        <v>191</v>
      </c>
      <c r="K59" s="747">
        <v>366.91619160000005</v>
      </c>
      <c r="L59" s="28" t="s">
        <v>193</v>
      </c>
      <c r="M59" s="747">
        <v>375.5326</v>
      </c>
      <c r="N59" s="28" t="s">
        <v>203</v>
      </c>
      <c r="O59" s="747">
        <v>389.4273</v>
      </c>
      <c r="P59" s="28" t="s">
        <v>207</v>
      </c>
      <c r="Q59" s="747">
        <v>399.94220000000001</v>
      </c>
      <c r="R59" s="28" t="s">
        <v>211</v>
      </c>
      <c r="S59" s="747">
        <v>405.57520799999992</v>
      </c>
      <c r="T59" s="28" t="s">
        <v>214</v>
      </c>
      <c r="U59" s="747">
        <v>411.58372959999997</v>
      </c>
      <c r="V59" s="28" t="s">
        <v>219</v>
      </c>
      <c r="W59" s="747">
        <v>418.71890000000002</v>
      </c>
      <c r="X59" s="28" t="s">
        <v>229</v>
      </c>
      <c r="Y59" s="747">
        <v>426.6746</v>
      </c>
      <c r="Z59" s="28" t="s">
        <v>232</v>
      </c>
      <c r="AA59" s="747">
        <v>435.46765599999992</v>
      </c>
      <c r="AB59" s="28" t="s">
        <v>235</v>
      </c>
      <c r="AC59" s="747">
        <v>445.09819069999992</v>
      </c>
      <c r="AD59" s="28" t="s">
        <v>238</v>
      </c>
      <c r="AE59" s="747">
        <v>456.22564546749987</v>
      </c>
    </row>
    <row r="60" spans="1:46" ht="12.75" hidden="1">
      <c r="A60" s="40"/>
      <c r="B60" s="40"/>
      <c r="C60" s="104"/>
      <c r="D60" s="28"/>
      <c r="E60" s="99" t="e">
        <f>indicedic23*(1+aumentojulio2)</f>
        <v>#NAME?</v>
      </c>
      <c r="F60" s="28"/>
      <c r="G60" s="99"/>
      <c r="H60" s="28"/>
      <c r="I60" s="99"/>
      <c r="J60" s="28"/>
      <c r="K60" s="99"/>
      <c r="L60" s="28"/>
      <c r="M60" s="99"/>
      <c r="N60" s="28"/>
      <c r="O60" s="99"/>
      <c r="P60" s="28"/>
      <c r="Q60" s="99"/>
      <c r="R60" s="28"/>
      <c r="S60" s="99"/>
      <c r="T60" s="28"/>
      <c r="U60" s="28"/>
      <c r="V60" s="28"/>
      <c r="W60" s="28"/>
      <c r="X60" s="28"/>
      <c r="Y60" s="28"/>
      <c r="Z60" s="28"/>
      <c r="AA60" s="28"/>
      <c r="AB60" s="28"/>
      <c r="AC60" s="28"/>
      <c r="AD60" s="28"/>
    </row>
    <row r="61" spans="1:46" ht="12.75" hidden="1">
      <c r="A61" s="40"/>
      <c r="B61" s="40"/>
      <c r="C61" s="104"/>
      <c r="D61" s="28"/>
      <c r="E61" s="99" t="e">
        <f>Indiceproljordic23*(1+aumentojulio2)</f>
        <v>#NAME?</v>
      </c>
      <c r="F61" s="28"/>
      <c r="G61" s="99"/>
      <c r="H61" s="28"/>
      <c r="I61" s="99"/>
      <c r="J61" s="28">
        <f>indiceene25*1.022</f>
        <v>212.34226860000001</v>
      </c>
      <c r="K61" s="99"/>
      <c r="L61" s="99">
        <f>indiceene25*(1+0.022+0.024)</f>
        <v>217.32877980000001</v>
      </c>
      <c r="M61" s="99"/>
      <c r="N61" s="99">
        <f>indicemar25*1.037</f>
        <v>225.36996559999997</v>
      </c>
      <c r="O61" s="99"/>
      <c r="P61" s="99">
        <f>indicemar25*(1.037+0.028)</f>
        <v>231.45517199999998</v>
      </c>
      <c r="Q61" s="99"/>
      <c r="R61" s="99">
        <f>indicemar25*(1.037+0.028+0.015)</f>
        <v>234.71510399999997</v>
      </c>
      <c r="S61" s="99"/>
      <c r="T61" s="99">
        <f>indicemar25*(1.037+0.028+0.015+0.016)</f>
        <v>238.19236479999998</v>
      </c>
      <c r="U61" s="28"/>
      <c r="V61" s="99">
        <f>indicemar25*(1.037+0.028+0.015+0.016+0.019)</f>
        <v>242.32161199999996</v>
      </c>
      <c r="W61" s="28"/>
      <c r="X61" s="99">
        <f>indiceago25*1.019</f>
        <v>246.92591419999997</v>
      </c>
      <c r="Y61" s="99"/>
      <c r="Z61" s="28"/>
      <c r="AA61" s="99">
        <f>indiceago25*(1.019+0.021)</f>
        <v>252.01467199999996</v>
      </c>
      <c r="AB61" s="99">
        <f>indiceago25*(1.019+0.021+0.023)</f>
        <v>257.58807339999993</v>
      </c>
      <c r="AC61" s="99"/>
      <c r="AD61" s="99">
        <f>indicenov25*1.025</f>
        <v>264.02777523499992</v>
      </c>
      <c r="AE61" s="99"/>
    </row>
    <row r="62" spans="1:46" ht="12.75" hidden="1">
      <c r="A62" s="40"/>
      <c r="B62" s="40"/>
      <c r="C62" s="107" t="s">
        <v>44</v>
      </c>
      <c r="D62" s="108">
        <f>0.6874+1.6874*0.09</f>
        <v>0.83926600000000007</v>
      </c>
      <c r="E62" s="28"/>
      <c r="F62" s="28" t="s">
        <v>188</v>
      </c>
      <c r="G62" s="132">
        <v>2.272519640696E-2</v>
      </c>
      <c r="H62" s="28" t="s">
        <v>215</v>
      </c>
      <c r="I62" s="108">
        <f>(1+Aumentofeb25respene25+0.024)*(1.037+0.028+0.015+0.016)-1</f>
        <v>0.14641599999999988</v>
      </c>
      <c r="J62" s="28">
        <f>Indiceproljorene25*1.022</f>
        <v>366.91619160000005</v>
      </c>
      <c r="K62" s="28"/>
      <c r="L62" s="99">
        <f>Indiceproljorene25*(1+0.022+0.024)</f>
        <v>375.53261880000002</v>
      </c>
      <c r="M62" s="28"/>
      <c r="N62" s="99">
        <f>Indiceproljormar25*1.037</f>
        <v>389.42730619999998</v>
      </c>
      <c r="O62" s="28"/>
      <c r="P62" s="99">
        <f>Indiceproljormar25*(1.037+0.028)</f>
        <v>399.94221899999997</v>
      </c>
      <c r="Q62" s="28"/>
      <c r="R62" s="99">
        <f>Indiceproljormar25*(1.037+0.028+0.015)</f>
        <v>405.57520799999992</v>
      </c>
      <c r="S62" s="28"/>
      <c r="T62" s="99">
        <f>Indiceproljormar25*(1.037+0.028+0.015+0.016)</f>
        <v>411.58372959999997</v>
      </c>
      <c r="U62" s="99"/>
      <c r="V62" s="99">
        <f>Indiceproljormar25*(1.037+0.028+0.015+0.016+0.019)</f>
        <v>418.71884899999992</v>
      </c>
      <c r="W62" s="99"/>
      <c r="X62" s="99">
        <f>Indiceproljorago25*1.019</f>
        <v>426.67455909999995</v>
      </c>
      <c r="Y62" s="99"/>
      <c r="Z62" s="28"/>
      <c r="AA62" s="99">
        <f>Indiceproljorago25*(0.021+1.019)</f>
        <v>435.46765599999992</v>
      </c>
      <c r="AB62" s="99">
        <f>Indiceproljorago25*(0.021+1.019+0.023)</f>
        <v>445.09819069999992</v>
      </c>
      <c r="AC62" s="28"/>
      <c r="AD62" s="99">
        <f>Indiceproljornov25*1.025</f>
        <v>456.22564546749987</v>
      </c>
      <c r="AE62" s="28"/>
      <c r="AF62" s="28"/>
      <c r="AG62" s="28"/>
      <c r="AH62" s="28"/>
      <c r="AI62" s="28"/>
      <c r="AJ62" s="28"/>
      <c r="AK62" s="28"/>
      <c r="AL62" s="28"/>
    </row>
    <row r="63" spans="1:46" ht="12.75" hidden="1">
      <c r="A63" s="40"/>
      <c r="B63" s="40"/>
      <c r="C63" s="107" t="s">
        <v>45</v>
      </c>
      <c r="D63" s="108">
        <f>0.6874+1.6874*0.132</f>
        <v>0.91013680000000008</v>
      </c>
      <c r="E63" s="132">
        <v>0.910084</v>
      </c>
      <c r="F63" s="28" t="s">
        <v>189</v>
      </c>
      <c r="G63" s="99">
        <v>2.1999999999999999E-2</v>
      </c>
      <c r="H63" s="28" t="s">
        <v>220</v>
      </c>
      <c r="I63" s="108">
        <f>(1+Aumentofeb25respene25+0.024)*(1.037+0.028+0.015+0.016+0.019)-1</f>
        <v>0.16628999999999983</v>
      </c>
      <c r="J63" s="28"/>
      <c r="K63" s="28"/>
      <c r="L63" s="28"/>
      <c r="M63" s="28"/>
      <c r="N63" s="28"/>
      <c r="O63" s="28"/>
      <c r="P63" s="28"/>
      <c r="Q63" s="28"/>
      <c r="R63" s="28"/>
      <c r="S63" s="28"/>
      <c r="T63" s="28"/>
      <c r="U63" s="28"/>
      <c r="V63" s="28"/>
      <c r="W63" s="28"/>
      <c r="X63" s="28"/>
      <c r="Y63" s="28"/>
      <c r="Z63" s="28"/>
      <c r="AA63" s="28"/>
      <c r="AB63" s="28"/>
      <c r="AC63" s="28"/>
      <c r="AD63" s="28"/>
      <c r="AE63" s="28"/>
      <c r="AF63" s="28"/>
      <c r="AG63" s="28"/>
      <c r="AH63" s="28"/>
      <c r="AI63" s="28"/>
      <c r="AJ63" s="28"/>
      <c r="AK63" s="28"/>
      <c r="AL63" s="28"/>
    </row>
    <row r="64" spans="1:46" ht="12.75" hidden="1">
      <c r="A64" s="40"/>
      <c r="B64" s="40"/>
      <c r="C64" s="107" t="s">
        <v>46</v>
      </c>
      <c r="D64" s="108">
        <f>0.6874+1.6874*0.18883</f>
        <v>1.006031742</v>
      </c>
      <c r="E64" s="28"/>
      <c r="F64" s="28" t="s">
        <v>194</v>
      </c>
      <c r="G64" s="99">
        <f>Aumentofeb25respene25+0.024</f>
        <v>4.5999999999999999E-2</v>
      </c>
      <c r="H64" s="28" t="s">
        <v>230</v>
      </c>
      <c r="I64" s="108">
        <f>(1+Aumentofeb25respene25+0.024)*(1.037+0.028+0.015+0.016+0.019)*1.019-1</f>
        <v>0.18844950999999965</v>
      </c>
      <c r="J64" s="28"/>
      <c r="K64" s="28"/>
      <c r="L64" s="28"/>
      <c r="M64" s="99"/>
      <c r="N64" s="28"/>
      <c r="O64" s="108"/>
      <c r="P64" s="28"/>
      <c r="Q64" s="28"/>
      <c r="R64" s="28"/>
      <c r="S64" s="28"/>
      <c r="T64" s="28"/>
      <c r="U64" s="28"/>
      <c r="V64" s="28"/>
      <c r="W64" s="28"/>
      <c r="X64" s="108">
        <f>0.035+0.0437</f>
        <v>7.8700000000000006E-2</v>
      </c>
      <c r="Y64" s="28"/>
      <c r="Z64" s="28"/>
      <c r="AA64" s="28"/>
      <c r="AB64" s="28"/>
      <c r="AC64" s="745"/>
      <c r="AD64" s="28"/>
      <c r="AE64" s="28"/>
      <c r="AF64" s="28"/>
      <c r="AG64" s="28"/>
      <c r="AH64" s="28"/>
      <c r="AI64" s="28"/>
      <c r="AJ64" s="28"/>
      <c r="AK64" s="28"/>
      <c r="AL64" s="28"/>
    </row>
    <row r="65" spans="1:64" ht="12.75" hidden="1">
      <c r="A65" s="40"/>
      <c r="B65" s="40"/>
      <c r="C65" s="107" t="s">
        <v>47</v>
      </c>
      <c r="D65" s="108">
        <f>(1+Aumentooct24)*(1+0.0637335)-1</f>
        <v>1.1338831660287574</v>
      </c>
      <c r="E65" s="108">
        <f>0.07067</f>
        <v>7.0669999999999997E-2</v>
      </c>
      <c r="F65" s="28" t="s">
        <v>204</v>
      </c>
      <c r="G65" s="108">
        <f>(1+Aumentofeb25respene25+0.024)*1.037-1</f>
        <v>8.4702000000000055E-2</v>
      </c>
      <c r="H65" s="28" t="s">
        <v>233</v>
      </c>
      <c r="I65" s="108">
        <f>(1+Aumentofeb25respene25+0.024)*(1.037+0.028+0.015+0.016+0.019)*(1.019+0.021)-1</f>
        <v>0.21294159999999951</v>
      </c>
      <c r="J65" s="28"/>
      <c r="K65" s="28"/>
      <c r="L65" s="28"/>
      <c r="M65" s="28"/>
      <c r="N65" s="28"/>
      <c r="O65" s="28"/>
      <c r="P65" s="28"/>
      <c r="Q65" s="28"/>
      <c r="R65" s="28"/>
      <c r="S65" s="28"/>
      <c r="T65" s="28"/>
      <c r="U65" s="28"/>
      <c r="V65" s="28"/>
      <c r="W65" s="132" t="e">
        <f>AA61/Y61</f>
        <v>#DIV/0!</v>
      </c>
      <c r="X65" s="28"/>
      <c r="Y65" s="28"/>
      <c r="Z65" s="28"/>
      <c r="AA65" s="28"/>
      <c r="AB65" s="28" t="s">
        <v>184</v>
      </c>
      <c r="AC65" s="99"/>
      <c r="AD65" s="28"/>
      <c r="AE65" s="28"/>
      <c r="AF65" s="28"/>
      <c r="AG65" s="28"/>
      <c r="AH65" s="28"/>
      <c r="AI65" s="28"/>
      <c r="AJ65" s="28"/>
      <c r="AK65" s="28"/>
      <c r="AL65" s="28"/>
    </row>
    <row r="66" spans="1:64" ht="12.75" hidden="1">
      <c r="A66" s="40"/>
      <c r="B66" s="40"/>
      <c r="C66" s="107" t="s">
        <v>48</v>
      </c>
      <c r="D66" s="108">
        <f>(1+Aumentooct24)*(1+0.0637335+0.024)-1</f>
        <v>1.1820279278367574</v>
      </c>
      <c r="E66" s="132">
        <f>0.07067+0.024</f>
        <v>9.4670000000000004E-2</v>
      </c>
      <c r="F66" s="28" t="s">
        <v>205</v>
      </c>
      <c r="G66" s="108">
        <f>(1+Aumentofeb25respene25+0.024)*(1.037+0.028)-1</f>
        <v>0.11399000000000004</v>
      </c>
      <c r="H66" s="28" t="s">
        <v>236</v>
      </c>
      <c r="I66" s="108">
        <f>(1+Aumentofeb25respene25+0.024)*(1.037+0.028+0.015+0.016+0.019)*(1.019+0.021+0.023)-1</f>
        <v>0.23976626999999939</v>
      </c>
      <c r="J66" s="28"/>
      <c r="K66" s="28"/>
      <c r="L66" s="28"/>
      <c r="M66" s="28"/>
      <c r="N66" s="28"/>
      <c r="O66" s="28"/>
      <c r="P66" s="28"/>
      <c r="Q66" s="28"/>
      <c r="R66" s="28"/>
      <c r="S66" s="853"/>
      <c r="T66" s="28"/>
      <c r="U66" s="28"/>
      <c r="V66" s="28"/>
      <c r="W66" s="132" t="e">
        <f>W62/U62</f>
        <v>#DIV/0!</v>
      </c>
      <c r="X66" s="28"/>
      <c r="Y66" s="28"/>
      <c r="Z66" s="99"/>
      <c r="AA66" s="28"/>
      <c r="AB66" s="28"/>
      <c r="AC66" s="148">
        <f>198.2656/199.5584-1</f>
        <v>-6.4783040954426996E-3</v>
      </c>
      <c r="AD66" s="28"/>
      <c r="AE66" s="28"/>
      <c r="AF66" s="28"/>
      <c r="AG66" s="28"/>
      <c r="AH66" s="28"/>
      <c r="AI66" s="28"/>
      <c r="AJ66" s="28"/>
      <c r="AK66" s="28"/>
      <c r="AL66" s="28"/>
    </row>
    <row r="67" spans="1:64" ht="12.75" hidden="1">
      <c r="A67" s="40"/>
      <c r="B67" s="110"/>
      <c r="C67" s="28" t="s">
        <v>177</v>
      </c>
      <c r="D67" s="108">
        <f>(1+Aumentooct24)*(1+0.0637335+0.024+0.027)-1</f>
        <v>1.2361907848707574</v>
      </c>
      <c r="E67" s="132">
        <f>0.07067+0.024+0.027</f>
        <v>0.12167</v>
      </c>
      <c r="F67" s="28" t="s">
        <v>212</v>
      </c>
      <c r="G67" s="108">
        <f>(1+Aumentofeb25respene25+0.024)*(1.037+0.028+0.015)-1</f>
        <v>0.1296799999999998</v>
      </c>
      <c r="H67" s="28" t="s">
        <v>239</v>
      </c>
      <c r="I67" s="108">
        <f>(1+Aumentofeb25respene25+0.024)*(1.037+0.028+0.015+0.016+0.019)*(1.019+0.021+0.023)*(1+0.025)-1</f>
        <v>0.27076042674999923</v>
      </c>
      <c r="J67" s="28"/>
      <c r="K67" s="28"/>
      <c r="L67" s="28"/>
      <c r="M67" s="28"/>
      <c r="N67" s="28"/>
      <c r="O67" s="28"/>
      <c r="P67" s="28"/>
      <c r="Q67" s="28"/>
      <c r="R67" s="28"/>
      <c r="S67" s="28"/>
      <c r="T67" s="28"/>
      <c r="U67" s="28"/>
      <c r="V67" s="28"/>
      <c r="W67" s="28"/>
      <c r="X67" s="28"/>
      <c r="Y67" s="28"/>
      <c r="Z67" s="28"/>
      <c r="AA67" s="28"/>
      <c r="AB67" s="28">
        <v>199.55840000000001</v>
      </c>
      <c r="AC67" s="28"/>
      <c r="AD67" s="28"/>
      <c r="AE67" s="28"/>
      <c r="AF67" s="28"/>
      <c r="AG67" s="28"/>
      <c r="AH67" s="28"/>
      <c r="AI67" s="28"/>
      <c r="AJ67" s="28"/>
      <c r="AK67" s="28"/>
      <c r="AL67" s="28"/>
      <c r="AM67" s="28"/>
      <c r="AN67" s="28"/>
      <c r="AO67" s="28"/>
      <c r="AP67" s="28"/>
    </row>
    <row r="68" spans="1:64" ht="15" hidden="1">
      <c r="A68" s="40"/>
      <c r="B68" s="110"/>
      <c r="C68" s="28"/>
      <c r="D68" s="111"/>
      <c r="E68" s="111"/>
      <c r="F68" s="133"/>
      <c r="G68" s="111"/>
      <c r="H68" s="111"/>
      <c r="I68" s="111"/>
      <c r="J68" s="111"/>
      <c r="K68" s="111"/>
      <c r="L68" s="28"/>
      <c r="M68" s="28"/>
      <c r="N68" s="28"/>
      <c r="O68" s="28"/>
      <c r="P68" s="28"/>
      <c r="Q68" s="28"/>
      <c r="R68" s="28"/>
      <c r="S68" s="28"/>
      <c r="T68" s="28"/>
      <c r="U68" s="108"/>
      <c r="V68" s="132">
        <v>2.1829999999999999E-2</v>
      </c>
      <c r="W68" s="28"/>
      <c r="X68" s="108">
        <f>0.027+0.04367</f>
        <v>7.0669999999999997E-2</v>
      </c>
      <c r="Y68" s="28"/>
      <c r="Z68" s="108">
        <v>6.3729999999999995E-2</v>
      </c>
      <c r="AA68" s="28"/>
      <c r="AB68" s="28"/>
      <c r="AC68" s="28"/>
      <c r="AD68" s="28"/>
      <c r="AE68" s="28"/>
      <c r="AF68" s="28"/>
      <c r="AG68" s="28"/>
      <c r="AH68" s="28"/>
      <c r="AI68" s="28"/>
      <c r="AJ68" s="28"/>
      <c r="AK68" s="28"/>
      <c r="AL68" s="28"/>
      <c r="AM68" s="28"/>
      <c r="AN68" s="28"/>
      <c r="AO68" s="28"/>
      <c r="AP68" s="28"/>
    </row>
    <row r="69" spans="1:64" ht="14.25" hidden="1">
      <c r="A69" s="40"/>
      <c r="B69" s="110"/>
      <c r="C69" s="28"/>
      <c r="D69" s="113"/>
      <c r="E69" s="28"/>
      <c r="F69" s="28"/>
      <c r="G69" s="28"/>
      <c r="H69" s="28" t="s">
        <v>49</v>
      </c>
      <c r="I69" s="28" t="s">
        <v>50</v>
      </c>
      <c r="J69" s="28" t="s">
        <v>51</v>
      </c>
      <c r="K69" s="28" t="s">
        <v>52</v>
      </c>
      <c r="L69" s="28" t="s">
        <v>53</v>
      </c>
      <c r="M69" s="28" t="s">
        <v>54</v>
      </c>
      <c r="N69" s="28"/>
      <c r="O69" s="28"/>
      <c r="P69" s="28"/>
      <c r="Q69" s="28"/>
      <c r="R69" s="28"/>
      <c r="S69" s="28"/>
      <c r="T69" s="28"/>
      <c r="U69" s="28"/>
      <c r="V69" s="132">
        <f>0.0655-V68</f>
        <v>4.367E-2</v>
      </c>
      <c r="W69" s="28"/>
      <c r="X69" s="28"/>
      <c r="Y69" s="28"/>
      <c r="Z69" s="28"/>
      <c r="AA69" s="28"/>
      <c r="AB69" s="108">
        <f>0.0655/3*2</f>
        <v>4.3666666666666666E-2</v>
      </c>
      <c r="AC69" s="28" t="s">
        <v>182</v>
      </c>
      <c r="AD69" s="28"/>
      <c r="AE69" s="28"/>
      <c r="AF69" s="28"/>
      <c r="AG69" s="28"/>
      <c r="AH69" s="28"/>
      <c r="AI69" s="28"/>
      <c r="AJ69" s="28"/>
      <c r="AK69" s="28"/>
      <c r="AL69" s="28"/>
      <c r="AM69" s="28"/>
      <c r="AN69" s="28"/>
      <c r="AO69" s="28"/>
      <c r="AP69" s="28"/>
    </row>
    <row r="70" spans="1:64" ht="14.25" hidden="1">
      <c r="A70" s="40"/>
      <c r="B70" s="110"/>
      <c r="C70" s="28"/>
      <c r="D70" s="28"/>
      <c r="E70" s="114"/>
      <c r="F70" s="28"/>
      <c r="G70" s="28"/>
      <c r="H70" s="113"/>
      <c r="I70" s="28"/>
      <c r="J70" s="28"/>
      <c r="K70" s="28"/>
      <c r="L70" s="28"/>
      <c r="M70" s="134">
        <f>1+0.05/1.18</f>
        <v>1.0423728813559323</v>
      </c>
      <c r="N70" s="134">
        <f>1+0.08/1.18</f>
        <v>1.0677966101694916</v>
      </c>
      <c r="O70" s="134">
        <f>1+0.1/1.18</f>
        <v>1.0847457627118644</v>
      </c>
      <c r="P70" s="134">
        <f>1+0.17/1.18</f>
        <v>1.1440677966101696</v>
      </c>
      <c r="Q70" s="134">
        <f>1+0.25/1.18</f>
        <v>1.2118644067796611</v>
      </c>
      <c r="R70" s="28"/>
      <c r="S70" s="28"/>
      <c r="T70" s="28"/>
      <c r="U70" s="28"/>
      <c r="V70" s="28"/>
      <c r="W70" s="28"/>
      <c r="X70" s="28"/>
      <c r="Y70" s="28"/>
      <c r="Z70" s="28"/>
      <c r="AA70" s="28"/>
      <c r="AB70" s="28"/>
      <c r="AC70" s="28"/>
      <c r="AD70" s="28"/>
      <c r="AE70" s="28"/>
      <c r="AF70" s="106">
        <v>2.7E-2</v>
      </c>
      <c r="AG70" s="28" t="s">
        <v>183</v>
      </c>
      <c r="AH70" s="28"/>
      <c r="AI70" s="28"/>
      <c r="AJ70" s="28"/>
      <c r="AK70" s="28"/>
      <c r="AL70" s="28"/>
      <c r="AM70" s="28"/>
      <c r="AN70" s="28"/>
      <c r="AO70" s="28"/>
      <c r="AP70" s="28"/>
      <c r="AQ70" s="28"/>
      <c r="AR70" s="28"/>
      <c r="AS70" s="28"/>
      <c r="AT70" s="28"/>
    </row>
    <row r="71" spans="1:64" ht="16.5" thickBot="1">
      <c r="A71" s="115"/>
      <c r="B71" s="116" t="s">
        <v>55</v>
      </c>
      <c r="C71" s="28"/>
      <c r="D71" s="28"/>
      <c r="E71" s="28"/>
      <c r="F71" s="107"/>
      <c r="H71" s="112"/>
      <c r="I71" s="28"/>
      <c r="J71" s="28"/>
      <c r="K71" s="113">
        <f>F6-H89</f>
        <v>-32370.409999999916</v>
      </c>
      <c r="L71" s="28"/>
      <c r="M71" s="134"/>
      <c r="N71" s="134"/>
      <c r="O71" s="134"/>
      <c r="P71" s="134"/>
      <c r="Q71" s="134"/>
      <c r="R71" s="28"/>
      <c r="S71" s="28"/>
      <c r="T71" s="28"/>
      <c r="U71" s="28"/>
      <c r="V71" s="28"/>
      <c r="W71" s="28"/>
      <c r="X71" s="28"/>
      <c r="Y71" s="28"/>
      <c r="Z71" s="28"/>
      <c r="AA71" s="28"/>
      <c r="AB71" s="28"/>
      <c r="AC71" s="28"/>
      <c r="AD71" s="28"/>
      <c r="AE71" s="28"/>
      <c r="AF71" s="108">
        <f>SUM(AF69:AF70)</f>
        <v>2.7E-2</v>
      </c>
      <c r="AG71" s="28"/>
      <c r="AH71" s="28"/>
      <c r="AI71" s="28"/>
      <c r="AJ71" s="28"/>
      <c r="AK71" s="28"/>
      <c r="AL71" s="28"/>
      <c r="AM71" s="28"/>
      <c r="AN71" s="28"/>
      <c r="AO71" s="28"/>
      <c r="AP71" s="28"/>
      <c r="AQ71" s="28"/>
      <c r="AR71" s="28"/>
      <c r="AS71" s="28"/>
      <c r="AT71" s="28"/>
    </row>
    <row r="72" spans="1:64" ht="16.5" thickBot="1">
      <c r="A72" s="115"/>
      <c r="B72" s="773" t="s">
        <v>216</v>
      </c>
      <c r="C72" s="28"/>
      <c r="D72" s="28"/>
      <c r="E72" s="28"/>
      <c r="F72" s="148"/>
      <c r="G72" s="861" t="s">
        <v>221</v>
      </c>
      <c r="H72" s="28"/>
      <c r="I72" s="148"/>
      <c r="J72" s="861" t="s">
        <v>221</v>
      </c>
      <c r="K72" s="112"/>
      <c r="L72" s="28"/>
      <c r="M72" s="28"/>
      <c r="N72" s="113"/>
      <c r="O72" s="28"/>
      <c r="P72" s="28"/>
      <c r="Q72" s="28"/>
      <c r="R72" s="28"/>
      <c r="S72" s="28"/>
      <c r="T72" s="28"/>
      <c r="U72" s="28"/>
      <c r="V72" s="28"/>
      <c r="W72" s="28"/>
      <c r="X72" s="28"/>
      <c r="Y72" s="28"/>
      <c r="Z72" s="28"/>
      <c r="AA72" s="28"/>
      <c r="AB72" s="28"/>
      <c r="AC72" s="28"/>
      <c r="AD72" s="28"/>
      <c r="AE72" s="28"/>
      <c r="AF72" s="28"/>
      <c r="AG72" s="28"/>
      <c r="AH72" s="28"/>
      <c r="AI72" s="28"/>
      <c r="AJ72" s="28"/>
      <c r="AK72" s="28"/>
      <c r="AL72" s="28"/>
      <c r="AM72" s="28"/>
      <c r="AN72" s="28"/>
      <c r="AO72" s="28"/>
      <c r="AP72" s="28"/>
      <c r="AQ72" s="28"/>
      <c r="AR72" s="28"/>
      <c r="AS72" s="28"/>
      <c r="AT72" s="28"/>
      <c r="AU72" s="28"/>
      <c r="AV72" s="28"/>
      <c r="AW72" s="28"/>
    </row>
    <row r="73" spans="1:64" ht="16.5" thickBot="1">
      <c r="A73" s="149"/>
      <c r="B73" s="150" t="s">
        <v>56</v>
      </c>
      <c r="C73" s="28"/>
      <c r="D73" s="28"/>
      <c r="E73" s="28"/>
      <c r="F73" s="151"/>
      <c r="G73" s="862">
        <v>2.5000000000000001E-2</v>
      </c>
      <c r="H73" s="28"/>
      <c r="I73" s="151"/>
      <c r="J73" s="862">
        <v>2.3E-2</v>
      </c>
      <c r="K73" s="28"/>
      <c r="L73" s="28"/>
      <c r="N73" s="113"/>
      <c r="O73" s="28"/>
      <c r="P73" s="28"/>
      <c r="Q73" s="28"/>
      <c r="R73" s="28"/>
      <c r="S73" s="28"/>
      <c r="T73" s="28"/>
      <c r="U73" s="28"/>
      <c r="V73" s="28"/>
      <c r="W73" s="28"/>
      <c r="X73" s="28"/>
      <c r="Y73" s="28"/>
      <c r="Z73" s="28"/>
      <c r="AA73" s="28"/>
      <c r="AB73" s="28"/>
      <c r="AC73" s="28"/>
      <c r="AD73" s="28"/>
      <c r="AE73" s="28"/>
      <c r="AF73" s="28"/>
      <c r="AG73" s="28"/>
      <c r="AH73" s="28"/>
      <c r="AI73" s="28"/>
      <c r="AJ73" s="28"/>
      <c r="AK73" s="28"/>
      <c r="AL73" s="28"/>
      <c r="AM73" s="28"/>
      <c r="AN73" s="28"/>
      <c r="AO73" s="28"/>
      <c r="AP73" s="28"/>
      <c r="AQ73" s="28"/>
      <c r="AR73" s="28"/>
      <c r="AS73" s="28"/>
      <c r="AT73" s="28"/>
      <c r="AU73" s="28"/>
      <c r="AV73" s="28"/>
      <c r="AW73" s="28"/>
    </row>
    <row r="74" spans="1:64" ht="21" thickBot="1">
      <c r="A74" s="152"/>
      <c r="B74" s="150" t="s">
        <v>57</v>
      </c>
      <c r="C74" s="28"/>
      <c r="D74" s="28"/>
      <c r="E74" s="843" t="s">
        <v>208</v>
      </c>
      <c r="F74" s="844">
        <f>indicedic25</f>
        <v>264.02777523499992</v>
      </c>
      <c r="G74" s="861" t="s">
        <v>217</v>
      </c>
      <c r="H74" s="843" t="s">
        <v>208</v>
      </c>
      <c r="I74" s="844">
        <f>indicenov25</f>
        <v>257.58807339999993</v>
      </c>
      <c r="J74" s="861" t="s">
        <v>217</v>
      </c>
      <c r="K74" s="843" t="s">
        <v>208</v>
      </c>
      <c r="L74" s="844">
        <f>indiceoct25</f>
        <v>252.01467199999996</v>
      </c>
      <c r="M74" s="861" t="s">
        <v>217</v>
      </c>
      <c r="N74" s="843" t="s">
        <v>208</v>
      </c>
      <c r="O74" s="844">
        <f>indicesep25</f>
        <v>246.92591419999997</v>
      </c>
      <c r="P74" s="861" t="s">
        <v>217</v>
      </c>
      <c r="Q74" s="843" t="s">
        <v>208</v>
      </c>
      <c r="R74" s="844">
        <f>indiceago25</f>
        <v>242.3218</v>
      </c>
      <c r="S74" s="861" t="s">
        <v>217</v>
      </c>
      <c r="T74" s="843" t="s">
        <v>208</v>
      </c>
      <c r="U74" s="844" cm="1">
        <f t="array" ref="U74">indicejul25</f>
        <v>238.19236479999998</v>
      </c>
      <c r="W74" s="843" t="s">
        <v>208</v>
      </c>
      <c r="X74" s="844">
        <f>indicejun25</f>
        <v>234.71510399999997</v>
      </c>
      <c r="Y74" s="28"/>
      <c r="Z74" s="843" t="s">
        <v>208</v>
      </c>
      <c r="AA74" s="844">
        <f>indicemay25</f>
        <v>231.45519999999999</v>
      </c>
      <c r="AB74" s="28"/>
      <c r="AC74" s="113"/>
      <c r="AD74" s="28"/>
      <c r="AE74" s="28"/>
      <c r="AF74" s="28"/>
      <c r="AG74" s="28"/>
      <c r="AH74" s="28" t="e">
        <f>(#REF!-28700)*0.2+#REF!</f>
        <v>#REF!</v>
      </c>
      <c r="AI74" s="28"/>
      <c r="AJ74" s="28"/>
      <c r="AK74" s="28"/>
      <c r="AL74" s="28"/>
      <c r="AM74" s="28"/>
      <c r="AN74" s="28"/>
      <c r="AO74" s="28"/>
      <c r="AP74" s="28"/>
      <c r="AQ74" s="28"/>
      <c r="AR74" s="28"/>
      <c r="AS74" s="28"/>
      <c r="AT74" s="28"/>
      <c r="AU74" s="28"/>
      <c r="AV74" s="28"/>
      <c r="AW74" s="28"/>
      <c r="AX74" s="28"/>
      <c r="AY74" s="28"/>
      <c r="AZ74" s="28"/>
      <c r="BA74" s="28"/>
      <c r="BB74" s="28"/>
      <c r="BC74" s="28"/>
      <c r="BD74" s="28"/>
      <c r="BE74" s="28"/>
      <c r="BF74" s="28"/>
      <c r="BG74" s="28"/>
      <c r="BH74" s="28"/>
      <c r="BI74" s="28"/>
      <c r="BJ74" s="28"/>
      <c r="BK74" s="28"/>
      <c r="BL74" s="28"/>
    </row>
    <row r="75" spans="1:64" ht="23.25" customHeight="1">
      <c r="A75" s="28"/>
      <c r="B75" s="28"/>
      <c r="C75" s="28"/>
      <c r="D75" s="28"/>
      <c r="E75" s="841" t="s">
        <v>209</v>
      </c>
      <c r="F75" s="842">
        <f>Indiceproljordic25</f>
        <v>456.22564546749987</v>
      </c>
      <c r="G75" s="867">
        <f>F74/I74-1</f>
        <v>2.4999999999999911E-2</v>
      </c>
      <c r="H75" s="841" t="s">
        <v>209</v>
      </c>
      <c r="I75" s="842">
        <f>Indiceproljornov25</f>
        <v>445.09819069999992</v>
      </c>
      <c r="J75" s="867">
        <f>I74/L74-1</f>
        <v>2.2115384615384537E-2</v>
      </c>
      <c r="K75" s="841" t="s">
        <v>209</v>
      </c>
      <c r="L75" s="842">
        <f>Indiceproljoroct25</f>
        <v>435.46765599999992</v>
      </c>
      <c r="M75" s="867">
        <f>L74/O74-1</f>
        <v>2.0608439646712551E-2</v>
      </c>
      <c r="N75" s="841" t="s">
        <v>209</v>
      </c>
      <c r="O75" s="842">
        <f>Indiceproljorsep25</f>
        <v>426.6746</v>
      </c>
      <c r="P75" s="867">
        <f>O74/R74-1</f>
        <v>1.8999999999999906E-2</v>
      </c>
      <c r="Q75" s="841" t="s">
        <v>209</v>
      </c>
      <c r="R75" s="842">
        <f>Indiceproljorago25</f>
        <v>418.71890000000002</v>
      </c>
      <c r="S75" s="867">
        <f>R74/U74-1</f>
        <v>1.7336555701385814E-2</v>
      </c>
      <c r="T75" s="841" t="s">
        <v>209</v>
      </c>
      <c r="U75" s="842" cm="1">
        <f t="array" ref="U75">Indiceproljorjul25</f>
        <v>411.58372959999997</v>
      </c>
      <c r="W75" s="841" t="s">
        <v>209</v>
      </c>
      <c r="X75" s="842">
        <f>Indiceproljorjun25</f>
        <v>405.57520799999992</v>
      </c>
      <c r="Y75" s="28"/>
      <c r="Z75" s="841" t="s">
        <v>209</v>
      </c>
      <c r="AA75" s="842">
        <f>Indiceproljormay25</f>
        <v>399.94220000000001</v>
      </c>
      <c r="AB75" s="28"/>
      <c r="AC75" s="113"/>
      <c r="AD75" s="28"/>
      <c r="AE75" s="28"/>
      <c r="AF75" s="28"/>
      <c r="AG75" s="28"/>
      <c r="AH75" s="28"/>
      <c r="AI75" s="28"/>
      <c r="AJ75" s="28"/>
      <c r="AK75" s="28"/>
      <c r="AL75" s="28"/>
      <c r="AM75" s="28"/>
      <c r="AN75" s="28"/>
      <c r="AO75" s="28"/>
      <c r="AP75" s="28"/>
      <c r="AQ75" s="28"/>
      <c r="AR75" s="28"/>
      <c r="AS75" s="28"/>
      <c r="AT75" s="28"/>
      <c r="AU75" s="28"/>
      <c r="AV75" s="28"/>
      <c r="AW75" s="28"/>
      <c r="AX75" s="28"/>
      <c r="AY75" s="28"/>
      <c r="AZ75" s="28"/>
      <c r="BA75" s="28"/>
      <c r="BB75" s="28"/>
      <c r="BC75" s="28"/>
      <c r="BD75" s="28"/>
      <c r="BE75" s="28"/>
      <c r="BF75" s="28"/>
      <c r="BG75" s="28"/>
      <c r="BH75" s="28"/>
      <c r="BI75" s="28"/>
      <c r="BJ75" s="28"/>
      <c r="BK75" s="28"/>
      <c r="BL75" s="28"/>
    </row>
    <row r="76" spans="1:64" ht="27.75">
      <c r="A76" s="28"/>
      <c r="B76" s="28"/>
      <c r="C76" s="738" t="s">
        <v>37</v>
      </c>
      <c r="D76" s="28"/>
      <c r="E76" s="153"/>
      <c r="F76" s="28"/>
      <c r="G76" s="28" t="s">
        <v>222</v>
      </c>
      <c r="H76" s="28"/>
      <c r="I76" s="28"/>
      <c r="J76" s="28"/>
      <c r="K76" s="113"/>
      <c r="S76" s="733"/>
      <c r="T76" s="732"/>
      <c r="U76" s="732"/>
      <c r="V76" s="732"/>
      <c r="W76" s="731" t="s">
        <v>179</v>
      </c>
      <c r="X76" s="732"/>
      <c r="Y76" s="732"/>
      <c r="Z76" s="732"/>
      <c r="AA76" s="731"/>
      <c r="AB76" s="732"/>
      <c r="AC76" s="730" t="s">
        <v>180</v>
      </c>
      <c r="AD76" s="730" t="s">
        <v>178</v>
      </c>
      <c r="AE76" s="28"/>
      <c r="AF76" s="28"/>
      <c r="AG76" s="28"/>
      <c r="AH76" s="28"/>
      <c r="AI76" s="28"/>
      <c r="AJ76" s="28"/>
      <c r="AK76" s="28"/>
      <c r="AL76" s="28"/>
      <c r="AM76" s="28"/>
      <c r="AN76" s="28"/>
      <c r="AO76" s="28"/>
      <c r="AP76" s="28"/>
      <c r="AQ76" s="28"/>
      <c r="AR76" s="28"/>
      <c r="AS76" s="28"/>
      <c r="AT76" s="28"/>
    </row>
    <row r="77" spans="1:64" ht="18">
      <c r="A77" s="945" t="s">
        <v>58</v>
      </c>
      <c r="B77" s="946"/>
      <c r="C77" s="946"/>
      <c r="D77" s="946"/>
      <c r="E77" s="153"/>
      <c r="F77" s="28"/>
      <c r="G77" s="28"/>
      <c r="H77" s="28"/>
      <c r="I77" s="28"/>
      <c r="J77" s="28"/>
      <c r="K77" s="113"/>
      <c r="L77" s="28"/>
      <c r="M77" s="28"/>
      <c r="N77" s="28"/>
      <c r="O77" s="28"/>
      <c r="P77" s="28"/>
      <c r="Q77" s="28"/>
      <c r="R77" s="28"/>
      <c r="S77" s="256"/>
      <c r="T77" s="121"/>
      <c r="U77" s="28"/>
      <c r="V77" s="28"/>
      <c r="W77" s="28"/>
      <c r="X77" s="28"/>
      <c r="Y77" s="28"/>
      <c r="Z77" s="28"/>
      <c r="AA77" s="28"/>
      <c r="AB77" s="28"/>
      <c r="AC77" s="28"/>
      <c r="AD77" s="28"/>
      <c r="AE77" s="28"/>
      <c r="AF77" s="28"/>
      <c r="AG77" s="28"/>
      <c r="AH77" s="28"/>
      <c r="AI77" s="28"/>
      <c r="AJ77" s="28"/>
      <c r="AK77" s="28"/>
      <c r="AL77" s="28"/>
      <c r="AM77" s="28"/>
      <c r="AN77" s="28"/>
      <c r="AO77" s="28"/>
      <c r="AP77" s="28"/>
      <c r="AQ77" s="28"/>
      <c r="AR77" s="28"/>
      <c r="AS77" s="28"/>
      <c r="AT77" s="28"/>
    </row>
    <row r="78" spans="1:64" ht="18">
      <c r="A78" s="154" t="s">
        <v>59</v>
      </c>
      <c r="B78" s="155" t="s">
        <v>60</v>
      </c>
      <c r="C78" s="155" t="s">
        <v>61</v>
      </c>
      <c r="D78" s="156" t="s">
        <v>62</v>
      </c>
      <c r="E78" s="62" t="s">
        <v>63</v>
      </c>
      <c r="F78" s="156" t="s">
        <v>64</v>
      </c>
      <c r="G78" s="905" t="s">
        <v>615</v>
      </c>
      <c r="H78" s="903" t="s">
        <v>65</v>
      </c>
      <c r="I78" s="251" t="s">
        <v>66</v>
      </c>
      <c r="J78" s="113"/>
      <c r="K78" s="28"/>
      <c r="L78" s="28"/>
      <c r="M78" s="28"/>
      <c r="N78" s="28"/>
      <c r="O78" s="28"/>
      <c r="P78" s="28"/>
      <c r="Q78" s="28"/>
      <c r="R78" s="742"/>
      <c r="S78" s="121"/>
      <c r="T78" s="28"/>
      <c r="U78" s="28"/>
      <c r="V78" s="28"/>
      <c r="W78" s="28"/>
      <c r="X78" s="28"/>
      <c r="Y78" s="28"/>
      <c r="Z78" s="28"/>
      <c r="AA78" s="28"/>
      <c r="AB78" s="28"/>
      <c r="AC78" s="28"/>
      <c r="AD78" s="28"/>
      <c r="AE78" s="28"/>
      <c r="AF78" s="28"/>
      <c r="AG78" s="28"/>
      <c r="AH78" s="28"/>
      <c r="AI78" s="28"/>
      <c r="AJ78" s="28"/>
      <c r="AK78" s="28"/>
      <c r="AL78" s="28"/>
      <c r="AM78" s="28"/>
      <c r="AN78" s="28"/>
      <c r="AO78" s="28"/>
      <c r="AP78" s="28"/>
      <c r="AQ78" s="28"/>
      <c r="AR78" s="28"/>
      <c r="AS78" s="28"/>
    </row>
    <row r="79" spans="1:64" ht="18.75" thickBot="1">
      <c r="A79" s="157">
        <v>749</v>
      </c>
      <c r="B79" s="158">
        <f>LOOKUP(A79,numcargo,punbascargo)</f>
        <v>971</v>
      </c>
      <c r="C79" s="158">
        <f>LOOKUP(A79,numcargo,puntardifcargo)</f>
        <v>0</v>
      </c>
      <c r="D79" s="159">
        <f>LOOKUP(A79,numcargo,punproljorcargo)</f>
        <v>0</v>
      </c>
      <c r="E79" s="160">
        <f>LOOKUP(A79,numcargo,compbas16)</f>
        <v>414.7</v>
      </c>
      <c r="F79" s="902">
        <f>IF(AND(D83=1,LOOKUP(A79,numcargo,adicnina)&gt;0),LOOKUP(A79,numcargo,adicnina),0)</f>
        <v>0</v>
      </c>
      <c r="G79" s="902">
        <f>LOOKUP(A79,numcargo,adicdir2016)</f>
        <v>0</v>
      </c>
      <c r="H79" s="904">
        <f>LOOKUP(A79,numcargo,adicdir2022)</f>
        <v>0</v>
      </c>
      <c r="I79" s="252">
        <f>IF(AND(exten=1,LOOKUP(A79,numcargo,punexten)&gt;0),LOOKUP(A79,numcargo,punexten),0)</f>
        <v>0</v>
      </c>
      <c r="J79" s="113"/>
      <c r="K79" s="28"/>
      <c r="L79" s="28"/>
      <c r="M79" s="28"/>
      <c r="N79" s="28"/>
      <c r="O79" s="28"/>
      <c r="P79" s="28"/>
      <c r="Q79" s="28"/>
      <c r="R79" s="137"/>
      <c r="S79" s="121"/>
      <c r="T79" s="33"/>
      <c r="U79" s="33"/>
      <c r="V79" s="28"/>
      <c r="W79" s="28"/>
      <c r="X79" s="28"/>
      <c r="Y79" s="28"/>
      <c r="Z79" s="28"/>
      <c r="AA79" s="28"/>
      <c r="AB79" s="28"/>
      <c r="AC79" s="28"/>
      <c r="AD79" s="28"/>
      <c r="AE79" s="28"/>
      <c r="AF79" s="28"/>
      <c r="AG79" s="28"/>
      <c r="AH79" s="28"/>
      <c r="AI79" s="28"/>
      <c r="AJ79" s="28"/>
      <c r="AK79" s="28"/>
      <c r="AL79" s="28"/>
      <c r="AM79" s="28"/>
      <c r="AN79" s="28"/>
      <c r="AO79" s="28"/>
      <c r="AP79" s="28"/>
      <c r="AQ79" s="28"/>
      <c r="AR79" s="28"/>
      <c r="AS79" s="28"/>
    </row>
    <row r="80" spans="1:64" ht="15">
      <c r="A80" s="161" t="s">
        <v>67</v>
      </c>
      <c r="B80" s="162"/>
      <c r="C80" s="163" t="str">
        <f>LOOKUP(A79,numcargo,nombrecargo)</f>
        <v>Maestro De Ciclo</v>
      </c>
      <c r="D80" s="162"/>
      <c r="E80" s="164"/>
      <c r="H80" s="165" t="str">
        <f>A79&amp;""</f>
        <v>749</v>
      </c>
      <c r="I80" s="253" t="str">
        <f>C80</f>
        <v>Maestro De Ciclo</v>
      </c>
      <c r="J80" s="837"/>
      <c r="K80" s="826">
        <f>porantigcargo</f>
        <v>0</v>
      </c>
      <c r="L80" s="856"/>
      <c r="M80" s="856"/>
      <c r="N80" s="856"/>
      <c r="O80" s="856"/>
      <c r="P80" s="856"/>
      <c r="Q80" s="28"/>
      <c r="R80" s="28"/>
      <c r="S80" s="28"/>
      <c r="T80" s="28"/>
      <c r="U80" s="28"/>
      <c r="V80" s="28"/>
      <c r="W80" s="28"/>
      <c r="X80" s="28"/>
    </row>
    <row r="81" spans="1:68">
      <c r="A81" s="166" t="s">
        <v>68</v>
      </c>
      <c r="B81" s="166"/>
      <c r="C81" s="166"/>
      <c r="D81" s="166"/>
      <c r="E81" s="28"/>
      <c r="H81" s="758">
        <v>45627</v>
      </c>
      <c r="I81" s="759">
        <v>45658</v>
      </c>
      <c r="J81" s="759">
        <v>45689</v>
      </c>
      <c r="K81" s="759">
        <v>45717</v>
      </c>
      <c r="L81" s="838">
        <v>45748</v>
      </c>
      <c r="M81" s="838">
        <v>45778</v>
      </c>
      <c r="N81" s="838">
        <v>45809</v>
      </c>
      <c r="O81" s="838">
        <v>45839</v>
      </c>
      <c r="P81" s="838">
        <v>45870</v>
      </c>
      <c r="Q81" s="838">
        <v>45901</v>
      </c>
      <c r="R81" s="838">
        <v>45931</v>
      </c>
      <c r="S81" s="838">
        <v>45962</v>
      </c>
      <c r="T81" s="838">
        <v>45992</v>
      </c>
    </row>
    <row r="82" spans="1:68" ht="21" thickBot="1">
      <c r="A82" s="167"/>
      <c r="B82" s="28"/>
      <c r="C82" s="28"/>
      <c r="D82" s="146"/>
      <c r="E82" s="168"/>
      <c r="G82" s="169"/>
      <c r="H82" s="778">
        <f>AR87</f>
        <v>541263.15000000014</v>
      </c>
      <c r="I82" s="779">
        <f>AO87</f>
        <v>552245.4</v>
      </c>
      <c r="J82" s="839">
        <f>AL87</f>
        <v>556722</v>
      </c>
      <c r="K82" s="839">
        <f>AF87</f>
        <v>579125.00000000012</v>
      </c>
      <c r="L82" s="840">
        <f>AC87</f>
        <v>609383.6</v>
      </c>
      <c r="M82" s="840">
        <f>Z87</f>
        <v>616726.1</v>
      </c>
      <c r="N82" s="840">
        <f>W87</f>
        <v>614515.1</v>
      </c>
      <c r="O82" s="840">
        <f>T87</f>
        <v>620814.80000000005</v>
      </c>
      <c r="P82" s="840">
        <f>Q87</f>
        <v>631150.99999999988</v>
      </c>
      <c r="Q82" s="840">
        <f>N87</f>
        <v>636788</v>
      </c>
      <c r="R82" s="840">
        <f>K87</f>
        <v>644715.60000000009</v>
      </c>
      <c r="S82" s="840">
        <f>H87</f>
        <v>662940.84</v>
      </c>
      <c r="T82" s="840">
        <f>E87</f>
        <v>687206.87300000014</v>
      </c>
    </row>
    <row r="83" spans="1:68" ht="16.5" thickTop="1">
      <c r="A83" s="28"/>
      <c r="B83" s="951" t="s">
        <v>69</v>
      </c>
      <c r="C83" s="952"/>
      <c r="D83" s="170">
        <v>0</v>
      </c>
      <c r="E83" s="171" t="s">
        <v>70</v>
      </c>
      <c r="G83" s="169"/>
      <c r="H83" s="780" t="s">
        <v>71</v>
      </c>
      <c r="I83" s="254">
        <f t="shared" ref="I83:O83" si="14">I82-$H82</f>
        <v>10982.249999999884</v>
      </c>
      <c r="J83" s="254">
        <f t="shared" si="14"/>
        <v>15458.84999999986</v>
      </c>
      <c r="K83" s="254">
        <f t="shared" si="14"/>
        <v>37861.849999999977</v>
      </c>
      <c r="L83" s="824">
        <f t="shared" si="14"/>
        <v>68120.449999999837</v>
      </c>
      <c r="M83" s="824">
        <f t="shared" si="14"/>
        <v>75462.949999999837</v>
      </c>
      <c r="N83" s="824">
        <f t="shared" si="14"/>
        <v>73251.949999999837</v>
      </c>
      <c r="O83" s="824">
        <f t="shared" si="14"/>
        <v>79551.649999999907</v>
      </c>
      <c r="P83" s="824">
        <f t="shared" ref="P83:Q83" si="15">P82-$H82</f>
        <v>89887.849999999744</v>
      </c>
      <c r="Q83" s="824">
        <f t="shared" si="15"/>
        <v>95524.84999999986</v>
      </c>
      <c r="R83" s="824">
        <f t="shared" ref="R83:S83" si="16">R82-$H82</f>
        <v>103452.44999999995</v>
      </c>
      <c r="S83" s="824">
        <f t="shared" si="16"/>
        <v>121677.68999999983</v>
      </c>
      <c r="T83" s="824">
        <f t="shared" ref="T83" si="17">T82-$H82</f>
        <v>145943.723</v>
      </c>
    </row>
    <row r="84" spans="1:68" ht="18">
      <c r="A84" s="28"/>
      <c r="B84" s="953" t="s">
        <v>72</v>
      </c>
      <c r="C84" s="950"/>
      <c r="D84" s="172">
        <v>0</v>
      </c>
      <c r="E84" s="28" t="s">
        <v>73</v>
      </c>
      <c r="H84" s="781" t="s">
        <v>74</v>
      </c>
      <c r="I84" s="777">
        <f t="shared" ref="I84:O84" si="18">I83/$H82</f>
        <v>2.029003821893266E-2</v>
      </c>
      <c r="J84" s="777">
        <f t="shared" si="18"/>
        <v>2.8560691781806792E-2</v>
      </c>
      <c r="K84" s="777">
        <f t="shared" si="18"/>
        <v>6.9950910199595095E-2</v>
      </c>
      <c r="L84" s="825">
        <f t="shared" si="18"/>
        <v>0.12585458662759477</v>
      </c>
      <c r="M84" s="825">
        <f t="shared" si="18"/>
        <v>0.13942007690713809</v>
      </c>
      <c r="N84" s="825">
        <f t="shared" si="18"/>
        <v>0.13533518769936548</v>
      </c>
      <c r="O84" s="825">
        <f t="shared" si="18"/>
        <v>0.14697407351673561</v>
      </c>
      <c r="P84" s="825">
        <f t="shared" ref="P84:Q84" si="19">P83/$H82</f>
        <v>0.16607051486878374</v>
      </c>
      <c r="Q84" s="825">
        <f t="shared" si="19"/>
        <v>0.17648504244192467</v>
      </c>
      <c r="R84" s="825">
        <f t="shared" ref="R84:S84" si="20">R83/$H82</f>
        <v>0.19113152262443864</v>
      </c>
      <c r="S84" s="825">
        <f t="shared" si="20"/>
        <v>0.22480320339561227</v>
      </c>
      <c r="T84" s="825">
        <f t="shared" ref="T84" si="21">T83/$H82</f>
        <v>0.26963543149020947</v>
      </c>
    </row>
    <row r="85" spans="1:68" ht="16.5" thickBot="1">
      <c r="A85" s="28"/>
      <c r="B85" s="173"/>
      <c r="C85" s="76"/>
      <c r="D85" s="174">
        <f>LOOKUP(D84,escalaañosantig,escalaporcantig)</f>
        <v>0</v>
      </c>
      <c r="H85" s="782" t="s">
        <v>75</v>
      </c>
      <c r="I85" s="255"/>
      <c r="J85" s="255"/>
      <c r="K85" s="857"/>
      <c r="L85" s="858"/>
      <c r="M85" s="858"/>
      <c r="N85" s="858"/>
      <c r="O85" s="858"/>
      <c r="P85" s="858"/>
      <c r="Q85" s="858"/>
      <c r="R85" s="858"/>
      <c r="S85" s="858"/>
      <c r="T85" s="858"/>
    </row>
    <row r="86" spans="1:68" ht="24.75" thickTop="1" thickBot="1">
      <c r="A86" s="28"/>
      <c r="B86" s="954" t="s">
        <v>76</v>
      </c>
      <c r="C86" s="955"/>
      <c r="D86" s="175">
        <v>0</v>
      </c>
      <c r="E86" s="176" t="s">
        <v>77</v>
      </c>
      <c r="F86" s="177"/>
      <c r="G86" s="178"/>
      <c r="H86" s="176" t="s">
        <v>77</v>
      </c>
      <c r="I86" s="177"/>
      <c r="J86" s="178"/>
      <c r="K86" s="176" t="s">
        <v>77</v>
      </c>
      <c r="L86" s="177"/>
      <c r="M86" s="178"/>
      <c r="N86" s="176" t="s">
        <v>77</v>
      </c>
      <c r="O86" s="177"/>
      <c r="P86" s="178"/>
      <c r="Q86" s="176" t="s">
        <v>77</v>
      </c>
      <c r="R86" s="177"/>
      <c r="S86" s="178"/>
      <c r="T86" s="176" t="s">
        <v>77</v>
      </c>
      <c r="U86" s="177"/>
      <c r="V86" s="178"/>
      <c r="W86" s="176" t="s">
        <v>77</v>
      </c>
      <c r="X86" s="177"/>
      <c r="Y86" s="178"/>
      <c r="Z86" s="176" t="s">
        <v>77</v>
      </c>
      <c r="AA86" s="177"/>
      <c r="AB86" s="178"/>
      <c r="AC86" s="176" t="s">
        <v>77</v>
      </c>
      <c r="AD86" s="177"/>
      <c r="AE86" s="178"/>
      <c r="AF86" s="835" t="s">
        <v>77</v>
      </c>
      <c r="AG86" s="177"/>
      <c r="AH86" s="836"/>
      <c r="AI86" s="835" t="s">
        <v>77</v>
      </c>
      <c r="AJ86" s="177"/>
      <c r="AK86" s="178"/>
      <c r="AL86" s="176" t="s">
        <v>77</v>
      </c>
      <c r="AM86" s="177"/>
      <c r="AN86" s="178"/>
      <c r="AO86" s="176" t="s">
        <v>77</v>
      </c>
      <c r="AP86" s="177"/>
      <c r="AQ86" s="178"/>
      <c r="AR86" s="176" t="s">
        <v>77</v>
      </c>
      <c r="AS86" s="177"/>
      <c r="AT86" s="178" t="s">
        <v>78</v>
      </c>
      <c r="AU86" s="71"/>
      <c r="AV86" s="28"/>
      <c r="AW86" s="28"/>
      <c r="AX86" s="28"/>
      <c r="AY86" s="28"/>
      <c r="AZ86" s="28"/>
      <c r="BA86" s="28"/>
      <c r="BB86" s="28"/>
      <c r="BC86" s="28"/>
      <c r="BD86" s="28"/>
      <c r="BE86" s="28"/>
    </row>
    <row r="87" spans="1:68" ht="25.5" customHeight="1" thickBot="1">
      <c r="A87" s="28"/>
      <c r="B87" s="956" t="s">
        <v>79</v>
      </c>
      <c r="C87" s="955"/>
      <c r="D87" s="179">
        <f>PUNTOSbasicos</f>
        <v>971</v>
      </c>
      <c r="E87" s="180">
        <f>F123</f>
        <v>687206.87300000014</v>
      </c>
      <c r="F87" s="181"/>
      <c r="G87" s="182"/>
      <c r="H87" s="180">
        <f>I123</f>
        <v>662940.84</v>
      </c>
      <c r="I87" s="181"/>
      <c r="J87" s="182"/>
      <c r="K87" s="180">
        <f>L123</f>
        <v>644715.60000000009</v>
      </c>
      <c r="L87" s="181"/>
      <c r="M87" s="182"/>
      <c r="N87" s="180">
        <f>O123</f>
        <v>636788</v>
      </c>
      <c r="O87" s="181"/>
      <c r="P87" s="182"/>
      <c r="Q87" s="180">
        <f>R123</f>
        <v>631150.99999999988</v>
      </c>
      <c r="R87" s="181"/>
      <c r="S87" s="182"/>
      <c r="T87" s="180">
        <f>U123</f>
        <v>620814.80000000005</v>
      </c>
      <c r="U87" s="181"/>
      <c r="V87" s="182"/>
      <c r="W87" s="180">
        <f>X123</f>
        <v>614515.1</v>
      </c>
      <c r="X87" s="181"/>
      <c r="Y87" s="182"/>
      <c r="Z87" s="180">
        <f>AA123</f>
        <v>616726.1</v>
      </c>
      <c r="AA87" s="181"/>
      <c r="AB87" s="182"/>
      <c r="AC87" s="180">
        <f>AD123</f>
        <v>609383.6</v>
      </c>
      <c r="AD87" s="181"/>
      <c r="AE87" s="182"/>
      <c r="AF87" s="180">
        <f>AG123</f>
        <v>579125.00000000012</v>
      </c>
      <c r="AG87" s="181"/>
      <c r="AH87" s="182"/>
      <c r="AI87" s="180">
        <f>AJ123</f>
        <v>562928</v>
      </c>
      <c r="AJ87" s="181"/>
      <c r="AK87" s="182"/>
      <c r="AL87" s="180">
        <f>AM123</f>
        <v>556722</v>
      </c>
      <c r="AM87" s="181"/>
      <c r="AN87" s="182"/>
      <c r="AO87" s="180">
        <f>AP123</f>
        <v>552245.4</v>
      </c>
      <c r="AP87" s="181"/>
      <c r="AQ87" s="182"/>
      <c r="AR87" s="180">
        <f>AS123</f>
        <v>541263.15000000014</v>
      </c>
      <c r="AS87" s="181"/>
      <c r="AT87" s="182"/>
      <c r="AU87" s="28"/>
      <c r="AV87" s="28"/>
      <c r="AW87" s="28"/>
      <c r="AX87" s="28"/>
      <c r="AY87" s="28"/>
      <c r="AZ87" s="28"/>
      <c r="BA87" s="28"/>
      <c r="BB87" s="28"/>
      <c r="BC87" s="28"/>
      <c r="BD87" s="28"/>
      <c r="BE87" s="28"/>
      <c r="BF87" s="71"/>
      <c r="BG87" s="28"/>
      <c r="BH87" s="28"/>
      <c r="BI87" s="28"/>
      <c r="BJ87" s="28"/>
      <c r="BK87" s="28"/>
      <c r="BL87" s="28"/>
      <c r="BM87" s="28"/>
      <c r="BN87" s="28"/>
      <c r="BO87" s="28"/>
      <c r="BP87" s="28"/>
    </row>
    <row r="88" spans="1:68" ht="16.5" thickTop="1">
      <c r="A88" s="28"/>
      <c r="B88" s="957" t="s">
        <v>80</v>
      </c>
      <c r="C88" s="958"/>
      <c r="D88" s="183">
        <f>D79</f>
        <v>0</v>
      </c>
      <c r="E88" s="743" t="s">
        <v>181</v>
      </c>
      <c r="F88" s="774"/>
      <c r="G88" s="185"/>
      <c r="H88" s="743" t="s">
        <v>181</v>
      </c>
      <c r="I88" s="774"/>
      <c r="J88" s="185"/>
      <c r="K88" s="743" t="s">
        <v>181</v>
      </c>
      <c r="L88" s="774"/>
      <c r="M88" s="185"/>
      <c r="N88" s="743" t="s">
        <v>181</v>
      </c>
      <c r="O88" s="774"/>
      <c r="P88" s="185"/>
      <c r="Q88" s="743" t="s">
        <v>181</v>
      </c>
      <c r="R88" s="774"/>
      <c r="S88" s="185"/>
      <c r="T88" s="743" t="s">
        <v>181</v>
      </c>
      <c r="U88" s="774"/>
      <c r="V88" s="185"/>
      <c r="W88" s="743" t="s">
        <v>181</v>
      </c>
      <c r="X88" s="774"/>
      <c r="Y88" s="185"/>
      <c r="Z88" s="743" t="s">
        <v>181</v>
      </c>
      <c r="AA88" s="774"/>
      <c r="AB88" s="185"/>
      <c r="AC88" s="743" t="s">
        <v>181</v>
      </c>
      <c r="AD88" s="774"/>
      <c r="AE88" s="185"/>
      <c r="AF88" s="743" t="s">
        <v>181</v>
      </c>
      <c r="AG88" s="774"/>
      <c r="AH88" s="185"/>
      <c r="AI88" s="743" t="s">
        <v>181</v>
      </c>
      <c r="AJ88" s="774"/>
      <c r="AK88" s="185"/>
      <c r="AL88" s="743" t="s">
        <v>181</v>
      </c>
      <c r="AM88" s="774"/>
      <c r="AN88" s="185"/>
      <c r="AO88" s="743" t="s">
        <v>181</v>
      </c>
      <c r="AP88" s="774"/>
      <c r="AQ88" s="185"/>
      <c r="AR88" s="743" t="s">
        <v>181</v>
      </c>
      <c r="AS88" s="774"/>
      <c r="AT88" s="185"/>
      <c r="AU88" s="28"/>
      <c r="AV88" s="28"/>
      <c r="AW88" s="28"/>
      <c r="AX88" s="28"/>
      <c r="AY88" s="28"/>
      <c r="AZ88" s="28"/>
      <c r="BA88" s="28"/>
      <c r="BB88" s="28"/>
      <c r="BC88" s="28"/>
    </row>
    <row r="89" spans="1:68" ht="21" thickBot="1">
      <c r="A89" s="91"/>
      <c r="B89" s="186" t="s">
        <v>81</v>
      </c>
      <c r="C89" s="187"/>
      <c r="D89" s="188">
        <v>0</v>
      </c>
      <c r="E89" s="744">
        <f>E87-E111-E113</f>
        <v>623000.87300000014</v>
      </c>
      <c r="F89" s="775"/>
      <c r="G89" s="189"/>
      <c r="H89" s="744">
        <f>H87-H111-H113</f>
        <v>598734.84</v>
      </c>
      <c r="I89" s="775"/>
      <c r="J89" s="189"/>
      <c r="K89" s="744">
        <f>K87-K111-K113</f>
        <v>580509.60000000009</v>
      </c>
      <c r="L89" s="775"/>
      <c r="M89" s="189"/>
      <c r="N89" s="744">
        <f>N87-N111-N113</f>
        <v>572582</v>
      </c>
      <c r="O89" s="775"/>
      <c r="P89" s="189"/>
      <c r="Q89" s="744">
        <f>Q87-Q111-Q113</f>
        <v>566944.99999999988</v>
      </c>
      <c r="R89" s="775"/>
      <c r="S89" s="189"/>
      <c r="T89" s="744">
        <f>T87-T111-T113</f>
        <v>556608.80000000005</v>
      </c>
      <c r="U89" s="775"/>
      <c r="V89" s="189"/>
      <c r="W89" s="744">
        <f>W87-W111-W113</f>
        <v>550309.1</v>
      </c>
      <c r="X89" s="775"/>
      <c r="Y89" s="189"/>
      <c r="Z89" s="744">
        <f>Z87-Z111-Z113</f>
        <v>552520.1</v>
      </c>
      <c r="AA89" s="775"/>
      <c r="AB89" s="189"/>
      <c r="AC89" s="744">
        <f>AC87-AC111-AC113</f>
        <v>545177.59999999998</v>
      </c>
      <c r="AD89" s="775"/>
      <c r="AE89" s="189"/>
      <c r="AF89" s="744">
        <f>AF87-AF111-AF113</f>
        <v>514919.00000000012</v>
      </c>
      <c r="AG89" s="775"/>
      <c r="AH89" s="189"/>
      <c r="AI89" s="744">
        <f>AI87-AI111-AI113</f>
        <v>498722</v>
      </c>
      <c r="AJ89" s="775"/>
      <c r="AK89" s="189"/>
      <c r="AL89" s="744">
        <f>AL87-AL111-AL113</f>
        <v>498722</v>
      </c>
      <c r="AM89" s="775"/>
      <c r="AN89" s="189"/>
      <c r="AO89" s="744">
        <f>AO87-AO111-AO113</f>
        <v>494245.4</v>
      </c>
      <c r="AP89" s="775"/>
      <c r="AQ89" s="189"/>
      <c r="AR89" s="744">
        <f>AR87-AR111-AR113</f>
        <v>483263.15000000014</v>
      </c>
      <c r="AS89" s="775"/>
      <c r="AT89" s="189"/>
      <c r="AU89" s="91"/>
      <c r="AV89" s="91"/>
      <c r="AW89" s="91"/>
      <c r="AX89" s="91"/>
      <c r="AY89" s="91"/>
      <c r="AZ89" s="91"/>
      <c r="BA89" s="77"/>
      <c r="BB89" s="91"/>
      <c r="BC89" s="91"/>
      <c r="BD89" s="91"/>
      <c r="BE89" s="91"/>
      <c r="BF89" s="91"/>
      <c r="BG89" s="91"/>
      <c r="BH89" s="91"/>
      <c r="BI89" s="91"/>
      <c r="BJ89" s="91"/>
      <c r="BK89" s="91"/>
    </row>
    <row r="90" spans="1:68" thickTop="1">
      <c r="A90" s="91"/>
      <c r="B90" s="91"/>
      <c r="C90" s="91"/>
      <c r="D90" s="190"/>
      <c r="E90" s="190"/>
      <c r="F90" s="190"/>
      <c r="G90" s="739"/>
      <c r="H90" s="190"/>
      <c r="I90" s="190"/>
      <c r="J90" s="739"/>
      <c r="K90" s="190"/>
      <c r="L90" s="190"/>
      <c r="M90" s="739"/>
      <c r="N90" s="190"/>
      <c r="O90" s="190"/>
      <c r="P90" s="739"/>
      <c r="Q90" s="190"/>
      <c r="R90" s="190"/>
      <c r="S90" s="739"/>
      <c r="T90" s="190"/>
      <c r="U90" s="190"/>
      <c r="V90" s="739"/>
      <c r="W90" s="190"/>
      <c r="X90" s="190"/>
      <c r="Y90" s="739"/>
      <c r="Z90" s="190"/>
      <c r="AA90" s="190"/>
      <c r="AB90" s="739"/>
      <c r="AC90" s="190"/>
      <c r="AD90" s="190"/>
      <c r="AE90" s="739"/>
      <c r="AF90" s="190"/>
      <c r="AG90" s="190"/>
      <c r="AH90" s="739"/>
      <c r="AI90" s="190"/>
      <c r="AJ90" s="190"/>
      <c r="AK90" s="739"/>
      <c r="AL90" s="190"/>
      <c r="AM90" s="190"/>
      <c r="AN90" s="739"/>
      <c r="AO90" s="190"/>
      <c r="AP90" s="190"/>
      <c r="AQ90" s="739"/>
      <c r="AR90" s="190"/>
      <c r="AS90" s="190"/>
      <c r="AT90" s="190"/>
      <c r="AU90" s="91"/>
      <c r="AV90" s="91"/>
    </row>
    <row r="91" spans="1:68" ht="18">
      <c r="A91" s="91"/>
      <c r="B91" s="164"/>
      <c r="C91" s="164"/>
      <c r="D91" s="164"/>
      <c r="E91" s="21">
        <v>45992</v>
      </c>
      <c r="F91" s="22">
        <f>(1+Aumentodic25respene25)*(1+Aumentoene25respdic24)-1</f>
        <v>0.29963870703408513</v>
      </c>
      <c r="G91" s="20"/>
      <c r="H91" s="21">
        <v>45962</v>
      </c>
      <c r="I91" s="22">
        <f>(1+Aumentonov25respene25)*(1+Aumentoene25respdic24)-1</f>
        <v>0.26794020198447344</v>
      </c>
      <c r="J91" s="20"/>
      <c r="K91" s="21">
        <v>45931</v>
      </c>
      <c r="L91" s="22" cm="1">
        <f t="array" ref="L91">(1+Aumentooct25respene25)*(1+Aumentoene25respdic24)-1</f>
        <v>0.24050593609017179</v>
      </c>
      <c r="M91" s="20"/>
      <c r="N91" s="21">
        <v>45901</v>
      </c>
      <c r="O91" s="22" cm="1">
        <f t="array" ref="O91">(1+Aumentosep25respene25)*(1+Aumentoene25respdic24)-1</f>
        <v>0.21545725853450493</v>
      </c>
      <c r="P91" s="20"/>
      <c r="Q91" s="21">
        <v>45870</v>
      </c>
      <c r="R91" s="22" cm="1">
        <f t="array" ref="R91">(1+Aumentoago25respene25)*(1+Aumentoene25respdic24)-1</f>
        <v>0.19279416931747306</v>
      </c>
      <c r="S91" s="20"/>
      <c r="T91" s="21">
        <v>45839</v>
      </c>
      <c r="U91" s="22">
        <f>(1+Aumentojul25respene25)*(1+Aumentoene25respdic24)-1</f>
        <v>0.17246852876408125</v>
      </c>
      <c r="V91" s="20"/>
      <c r="W91" s="21">
        <v>45809</v>
      </c>
      <c r="X91" s="22">
        <f>(1+Aumentojun25respene25)*(1+Aumentoene25respdic24)-1</f>
        <v>0.15535219987701421</v>
      </c>
      <c r="Y91" s="20"/>
      <c r="Z91" s="21">
        <v>45778</v>
      </c>
      <c r="AA91" s="22" cm="1">
        <f t="array" ref="AA91">(1+Aumentomay25respene25)*(1+Aumentoene25respdic24)-1</f>
        <v>0.13930564154538927</v>
      </c>
      <c r="AB91" s="20"/>
      <c r="AC91" s="21">
        <v>45748</v>
      </c>
      <c r="AD91" s="22">
        <f>(1+Aumentoabr25respene25)*(1+Aumentoene25respdic24)-1</f>
        <v>0.10935206599302227</v>
      </c>
      <c r="AE91" s="20"/>
      <c r="AF91" s="21">
        <v>45717</v>
      </c>
      <c r="AG91" s="22">
        <f>(1+Aumentomar25respene25)*(1+Aumentoene25respdic24)-1</f>
        <v>6.9770555441680093E-2</v>
      </c>
      <c r="AH91" s="20"/>
      <c r="AI91" s="787" t="s">
        <v>201</v>
      </c>
      <c r="AJ91" s="20"/>
      <c r="AK91" s="20"/>
      <c r="AL91" s="21" t="s">
        <v>200</v>
      </c>
      <c r="AM91" s="22">
        <f>(1+Aumentofeb25respene25)*(1+Aumentoene25respdic24)-1</f>
        <v>4.522515072791311E-2</v>
      </c>
      <c r="AN91" s="20"/>
      <c r="AO91" s="21">
        <v>45658</v>
      </c>
      <c r="AP91" s="22">
        <v>2.2725196406967674E-2</v>
      </c>
      <c r="AQ91" s="20"/>
      <c r="AR91" s="728">
        <v>45627</v>
      </c>
      <c r="AS91" s="729">
        <f>Aumentodic24</f>
        <v>1.1820279278367574</v>
      </c>
      <c r="AT91" s="20"/>
      <c r="AU91" s="77"/>
      <c r="AV91" s="77"/>
      <c r="AW91" s="258"/>
      <c r="AX91" s="259"/>
      <c r="AY91" s="91"/>
      <c r="AZ91" s="91"/>
      <c r="BA91" s="91"/>
      <c r="BB91" s="91"/>
      <c r="BC91" s="91"/>
      <c r="BD91" s="91"/>
      <c r="BE91" s="91"/>
      <c r="BF91" s="91"/>
      <c r="BG91" s="91"/>
      <c r="BH91" s="91"/>
      <c r="BI91" s="91"/>
      <c r="BJ91" s="91"/>
      <c r="BK91" s="91"/>
      <c r="BL91" s="91"/>
    </row>
    <row r="92" spans="1:68">
      <c r="A92" s="91"/>
      <c r="B92" s="191" t="s">
        <v>82</v>
      </c>
      <c r="C92" s="192" t="s">
        <v>83</v>
      </c>
      <c r="D92" s="193" t="s">
        <v>84</v>
      </c>
      <c r="E92" s="193" t="s">
        <v>85</v>
      </c>
      <c r="F92" s="193" t="s">
        <v>86</v>
      </c>
      <c r="G92" s="194"/>
      <c r="H92" s="193" t="s">
        <v>85</v>
      </c>
      <c r="I92" s="193" t="s">
        <v>86</v>
      </c>
      <c r="J92" s="194"/>
      <c r="K92" s="193" t="s">
        <v>85</v>
      </c>
      <c r="L92" s="193" t="s">
        <v>86</v>
      </c>
      <c r="M92" s="194"/>
      <c r="N92" s="193" t="s">
        <v>85</v>
      </c>
      <c r="O92" s="193" t="s">
        <v>86</v>
      </c>
      <c r="P92" s="194"/>
      <c r="Q92" s="193" t="s">
        <v>85</v>
      </c>
      <c r="R92" s="193" t="s">
        <v>86</v>
      </c>
      <c r="S92" s="194"/>
      <c r="T92" s="193" t="s">
        <v>85</v>
      </c>
      <c r="U92" s="193" t="s">
        <v>86</v>
      </c>
      <c r="V92" s="194"/>
      <c r="W92" s="193" t="s">
        <v>85</v>
      </c>
      <c r="X92" s="193" t="s">
        <v>86</v>
      </c>
      <c r="Y92" s="194"/>
      <c r="Z92" s="193" t="s">
        <v>85</v>
      </c>
      <c r="AA92" s="193" t="s">
        <v>86</v>
      </c>
      <c r="AB92" s="194"/>
      <c r="AC92" s="193" t="s">
        <v>85</v>
      </c>
      <c r="AD92" s="193" t="s">
        <v>86</v>
      </c>
      <c r="AE92" s="194"/>
      <c r="AF92" s="193" t="s">
        <v>85</v>
      </c>
      <c r="AG92" s="193" t="s">
        <v>86</v>
      </c>
      <c r="AH92" s="194"/>
      <c r="AI92" s="193" t="s">
        <v>85</v>
      </c>
      <c r="AJ92" s="193" t="s">
        <v>86</v>
      </c>
      <c r="AK92" s="194"/>
      <c r="AL92" s="193" t="s">
        <v>85</v>
      </c>
      <c r="AM92" s="193" t="s">
        <v>86</v>
      </c>
      <c r="AN92" s="194"/>
      <c r="AO92" s="193" t="s">
        <v>85</v>
      </c>
      <c r="AP92" s="193" t="s">
        <v>86</v>
      </c>
      <c r="AQ92" s="194"/>
      <c r="AR92" s="193" t="s">
        <v>85</v>
      </c>
      <c r="AS92" s="193" t="s">
        <v>86</v>
      </c>
      <c r="AT92" s="194"/>
      <c r="AU92" s="77"/>
      <c r="AV92" s="77"/>
      <c r="AW92" s="258"/>
      <c r="AX92" s="259"/>
      <c r="AY92" s="91"/>
      <c r="AZ92" s="91"/>
      <c r="BA92" s="91"/>
      <c r="BB92" s="91"/>
      <c r="BC92" s="91"/>
      <c r="BD92" s="91"/>
      <c r="BE92" s="91"/>
      <c r="BF92" s="91"/>
      <c r="BG92" s="91"/>
      <c r="BH92" s="91"/>
      <c r="BI92" s="91"/>
      <c r="BJ92" s="91"/>
      <c r="BK92" s="91"/>
      <c r="BL92" s="91"/>
    </row>
    <row r="93" spans="1:68" ht="15">
      <c r="A93" s="91"/>
      <c r="B93" s="195">
        <v>1</v>
      </c>
      <c r="C93" s="196"/>
      <c r="D93" s="196" t="s">
        <v>87</v>
      </c>
      <c r="E93" s="196">
        <f t="shared" ref="E93:E108" si="22">E160</f>
        <v>256370.96975318494</v>
      </c>
      <c r="F93" s="196"/>
      <c r="G93" s="197"/>
      <c r="H93" s="196">
        <f t="shared" ref="H93:H108" si="23">H160</f>
        <v>250118.01927139994</v>
      </c>
      <c r="I93" s="196"/>
      <c r="J93" s="197"/>
      <c r="K93" s="196">
        <f t="shared" ref="K93:K108" si="24">K160</f>
        <v>244706.24651199995</v>
      </c>
      <c r="L93" s="196"/>
      <c r="M93" s="197"/>
      <c r="N93" s="196">
        <f t="shared" ref="N93:N108" si="25">N160</f>
        <v>239765.06268819998</v>
      </c>
      <c r="O93" s="196"/>
      <c r="P93" s="197"/>
      <c r="Q93" s="196">
        <f t="shared" ref="Q93:Q108" si="26">Q160</f>
        <v>235294.46779999998</v>
      </c>
      <c r="R93" s="196"/>
      <c r="S93" s="197"/>
      <c r="T93" s="196">
        <f t="shared" ref="T93:T108" si="27">T160</f>
        <v>231284.78622079999</v>
      </c>
      <c r="U93" s="196"/>
      <c r="V93" s="197"/>
      <c r="W93" s="196">
        <f t="shared" ref="W93:W108" si="28">W160</f>
        <v>227908.36598399997</v>
      </c>
      <c r="X93" s="196"/>
      <c r="Y93" s="197"/>
      <c r="Z93" s="196">
        <f t="shared" ref="Z93:Z108" si="29">Z160</f>
        <v>224742.99919999999</v>
      </c>
      <c r="AA93" s="196"/>
      <c r="AB93" s="197"/>
      <c r="AC93" s="196">
        <f t="shared" ref="AC93:AC108" si="30">AC160</f>
        <v>218834.27000000002</v>
      </c>
      <c r="AD93" s="196"/>
      <c r="AE93" s="197"/>
      <c r="AF93" s="196">
        <f t="shared" ref="AF93:AF107" si="31">AF160</f>
        <v>211026.2648</v>
      </c>
      <c r="AG93" s="196"/>
      <c r="AH93" s="197"/>
      <c r="AI93" s="196">
        <f t="shared" ref="AI93:AI107" si="32">AI160</f>
        <v>206184.34281060001</v>
      </c>
      <c r="AJ93" s="196"/>
      <c r="AK93" s="197"/>
      <c r="AL93" s="196">
        <f t="shared" ref="AL93:AL106" si="33">AL160</f>
        <v>206184.34281060001</v>
      </c>
      <c r="AM93" s="196"/>
      <c r="AN93" s="197"/>
      <c r="AO93" s="196">
        <f t="shared" ref="AO93:AO106" si="34">AO160</f>
        <v>201745.93229999999</v>
      </c>
      <c r="AP93" s="196"/>
      <c r="AQ93" s="197"/>
      <c r="AR93" s="196">
        <f t="shared" ref="AR93:AR106" si="35">AR160</f>
        <v>196859.37479999999</v>
      </c>
      <c r="AS93" s="196"/>
      <c r="AT93" s="197"/>
      <c r="AU93" s="91"/>
      <c r="AV93" s="91"/>
      <c r="AW93" s="91"/>
      <c r="AX93" s="91"/>
      <c r="AY93" s="91"/>
      <c r="AZ93" s="91"/>
      <c r="BA93" s="91"/>
      <c r="BB93" s="91"/>
      <c r="BC93" s="91"/>
    </row>
    <row r="94" spans="1:68">
      <c r="A94" s="91"/>
      <c r="B94" s="198">
        <v>2</v>
      </c>
      <c r="C94" s="199"/>
      <c r="D94" s="199" t="s">
        <v>88</v>
      </c>
      <c r="E94" s="199">
        <f t="shared" si="22"/>
        <v>109492.31838995447</v>
      </c>
      <c r="F94" s="199"/>
      <c r="G94" s="197"/>
      <c r="H94" s="199">
        <f t="shared" si="23"/>
        <v>106821.77403897997</v>
      </c>
      <c r="I94" s="199"/>
      <c r="J94" s="197"/>
      <c r="K94" s="199">
        <f t="shared" si="24"/>
        <v>104510.48447839999</v>
      </c>
      <c r="L94" s="199"/>
      <c r="M94" s="197"/>
      <c r="N94" s="199">
        <f t="shared" si="25"/>
        <v>102400.17661873998</v>
      </c>
      <c r="O94" s="199"/>
      <c r="P94" s="197"/>
      <c r="Q94" s="199">
        <f t="shared" si="26"/>
        <v>100490.85046</v>
      </c>
      <c r="R94" s="199"/>
      <c r="S94" s="197"/>
      <c r="T94" s="199">
        <f t="shared" si="27"/>
        <v>98778.373682559992</v>
      </c>
      <c r="U94" s="199"/>
      <c r="V94" s="197"/>
      <c r="W94" s="199">
        <f t="shared" si="28"/>
        <v>97336.353628799989</v>
      </c>
      <c r="X94" s="199"/>
      <c r="Y94" s="197"/>
      <c r="Z94" s="199">
        <f t="shared" si="29"/>
        <v>95984.471439999994</v>
      </c>
      <c r="AA94" s="199"/>
      <c r="AB94" s="197"/>
      <c r="AC94" s="199">
        <f t="shared" si="30"/>
        <v>93460.938999999998</v>
      </c>
      <c r="AD94" s="199"/>
      <c r="AE94" s="197"/>
      <c r="AF94" s="199">
        <f t="shared" si="31"/>
        <v>90126.253360000002</v>
      </c>
      <c r="AG94" s="199"/>
      <c r="AH94" s="197"/>
      <c r="AI94" s="199">
        <f t="shared" si="32"/>
        <v>88058.338788420006</v>
      </c>
      <c r="AJ94" s="199"/>
      <c r="AK94" s="197"/>
      <c r="AL94" s="199">
        <f t="shared" si="33"/>
        <v>88058.338788420006</v>
      </c>
      <c r="AM94" s="199"/>
      <c r="AN94" s="197"/>
      <c r="AO94" s="199">
        <f t="shared" si="34"/>
        <v>86162.758109999995</v>
      </c>
      <c r="AP94" s="199"/>
      <c r="AQ94" s="197"/>
      <c r="AR94" s="199">
        <f t="shared" si="35"/>
        <v>84075.78035999999</v>
      </c>
      <c r="AS94" s="199"/>
      <c r="AT94" s="197"/>
      <c r="AU94" s="77"/>
      <c r="AV94" s="77"/>
      <c r="AW94" s="258"/>
      <c r="AX94" s="259"/>
      <c r="AY94" s="91"/>
      <c r="AZ94" s="91"/>
      <c r="BA94" s="91"/>
      <c r="BB94" s="91"/>
      <c r="BC94" s="91"/>
      <c r="BD94" s="91"/>
      <c r="BE94" s="91"/>
      <c r="BF94" s="91"/>
      <c r="BG94" s="91"/>
      <c r="BH94" s="91"/>
      <c r="BI94" s="91"/>
      <c r="BJ94" s="91"/>
      <c r="BK94" s="91"/>
      <c r="BL94" s="91"/>
    </row>
    <row r="95" spans="1:68">
      <c r="A95" s="91"/>
      <c r="B95" s="200" t="s">
        <v>89</v>
      </c>
      <c r="C95" s="201"/>
      <c r="D95" s="201" t="s">
        <v>81</v>
      </c>
      <c r="E95" s="201">
        <f t="shared" si="22"/>
        <v>0</v>
      </c>
      <c r="F95" s="201"/>
      <c r="G95" s="202"/>
      <c r="H95" s="201">
        <f t="shared" si="23"/>
        <v>0</v>
      </c>
      <c r="I95" s="201"/>
      <c r="J95" s="202"/>
      <c r="K95" s="201">
        <f t="shared" si="24"/>
        <v>0</v>
      </c>
      <c r="L95" s="201"/>
      <c r="M95" s="202"/>
      <c r="N95" s="201">
        <f t="shared" si="25"/>
        <v>0</v>
      </c>
      <c r="O95" s="201"/>
      <c r="P95" s="202"/>
      <c r="Q95" s="201">
        <f t="shared" si="26"/>
        <v>0</v>
      </c>
      <c r="R95" s="201"/>
      <c r="S95" s="202"/>
      <c r="T95" s="201">
        <f t="shared" si="27"/>
        <v>0</v>
      </c>
      <c r="U95" s="201"/>
      <c r="V95" s="202"/>
      <c r="W95" s="201">
        <f t="shared" si="28"/>
        <v>0</v>
      </c>
      <c r="X95" s="201"/>
      <c r="Y95" s="202"/>
      <c r="Z95" s="201">
        <f t="shared" si="29"/>
        <v>0</v>
      </c>
      <c r="AA95" s="201"/>
      <c r="AB95" s="202"/>
      <c r="AC95" s="201">
        <f t="shared" si="30"/>
        <v>0</v>
      </c>
      <c r="AD95" s="201"/>
      <c r="AE95" s="202"/>
      <c r="AF95" s="201">
        <f t="shared" si="31"/>
        <v>0</v>
      </c>
      <c r="AG95" s="201"/>
      <c r="AH95" s="202"/>
      <c r="AI95" s="201">
        <f t="shared" si="32"/>
        <v>0</v>
      </c>
      <c r="AJ95" s="201"/>
      <c r="AK95" s="202"/>
      <c r="AL95" s="201">
        <f t="shared" si="33"/>
        <v>0</v>
      </c>
      <c r="AM95" s="201"/>
      <c r="AN95" s="202"/>
      <c r="AO95" s="201">
        <f t="shared" si="34"/>
        <v>0</v>
      </c>
      <c r="AP95" s="201"/>
      <c r="AQ95" s="202"/>
      <c r="AR95" s="201">
        <f t="shared" si="35"/>
        <v>0</v>
      </c>
      <c r="AS95" s="201"/>
      <c r="AT95" s="202"/>
      <c r="AU95" s="77"/>
      <c r="AV95" s="77"/>
      <c r="AW95" s="258"/>
      <c r="AX95" s="259"/>
      <c r="AY95" s="91"/>
      <c r="AZ95" s="91"/>
      <c r="BA95" s="91"/>
      <c r="BB95" s="91"/>
      <c r="BC95" s="91"/>
      <c r="BD95" s="91"/>
      <c r="BE95" s="91"/>
      <c r="BF95" s="91"/>
      <c r="BG95" s="91"/>
      <c r="BH95" s="91"/>
      <c r="BI95" s="91"/>
      <c r="BJ95" s="91"/>
      <c r="BK95" s="91"/>
      <c r="BL95" s="91"/>
    </row>
    <row r="96" spans="1:68">
      <c r="A96" s="91"/>
      <c r="B96" s="203" t="s">
        <v>90</v>
      </c>
      <c r="C96" s="196"/>
      <c r="D96" s="196" t="s">
        <v>91</v>
      </c>
      <c r="E96" s="196">
        <f t="shared" si="22"/>
        <v>0</v>
      </c>
      <c r="F96" s="196">
        <f>468108*1.1</f>
        <v>514918.80000000005</v>
      </c>
      <c r="G96" s="197"/>
      <c r="H96" s="196">
        <f t="shared" si="23"/>
        <v>0</v>
      </c>
      <c r="I96" s="196">
        <f>468108*1.1</f>
        <v>514918.80000000005</v>
      </c>
      <c r="J96" s="197"/>
      <c r="K96" s="196">
        <f t="shared" si="24"/>
        <v>0</v>
      </c>
      <c r="L96" s="196">
        <f>468108*1.1</f>
        <v>514918.80000000005</v>
      </c>
      <c r="M96" s="197"/>
      <c r="N96" s="196">
        <f t="shared" si="25"/>
        <v>0</v>
      </c>
      <c r="O96" s="196">
        <f>468108*1.1</f>
        <v>514918.80000000005</v>
      </c>
      <c r="P96" s="197"/>
      <c r="Q96" s="196">
        <f t="shared" si="26"/>
        <v>0</v>
      </c>
      <c r="R96" s="196">
        <f>468108*1.1</f>
        <v>514918.80000000005</v>
      </c>
      <c r="S96" s="197"/>
      <c r="T96" s="196">
        <f t="shared" si="27"/>
        <v>0</v>
      </c>
      <c r="U96" s="196">
        <f>468108*1.1</f>
        <v>514918.80000000005</v>
      </c>
      <c r="V96" s="197"/>
      <c r="W96" s="196">
        <f t="shared" si="28"/>
        <v>0</v>
      </c>
      <c r="X96" s="196">
        <f>468108*1.1</f>
        <v>514918.80000000005</v>
      </c>
      <c r="Y96" s="197"/>
      <c r="Z96" s="196">
        <f t="shared" si="29"/>
        <v>0</v>
      </c>
      <c r="AA96" s="196">
        <f>468108*1.1</f>
        <v>514918.80000000005</v>
      </c>
      <c r="AB96" s="197"/>
      <c r="AC96" s="196">
        <f t="shared" si="30"/>
        <v>0</v>
      </c>
      <c r="AD96" s="196">
        <f>468108*1.1</f>
        <v>514918.80000000005</v>
      </c>
      <c r="AE96" s="197"/>
      <c r="AF96" s="196">
        <f t="shared" si="31"/>
        <v>0</v>
      </c>
      <c r="AG96" s="196">
        <f>468108*1.1</f>
        <v>514918.80000000005</v>
      </c>
      <c r="AH96" s="197"/>
      <c r="AI96" s="196">
        <f t="shared" si="32"/>
        <v>0</v>
      </c>
      <c r="AJ96" s="196"/>
      <c r="AK96" s="197"/>
      <c r="AL96" s="196">
        <f t="shared" si="33"/>
        <v>0</v>
      </c>
      <c r="AM96" s="196"/>
      <c r="AN96" s="197"/>
      <c r="AO96" s="196">
        <f t="shared" si="34"/>
        <v>0</v>
      </c>
      <c r="AP96" s="196"/>
      <c r="AQ96" s="197"/>
      <c r="AR96" s="196">
        <f t="shared" si="35"/>
        <v>0</v>
      </c>
      <c r="AS96" s="196"/>
      <c r="AT96" s="197"/>
      <c r="AU96" s="77"/>
      <c r="AV96" s="77"/>
      <c r="AW96" s="258"/>
      <c r="AX96" s="259"/>
      <c r="AY96" s="91"/>
      <c r="AZ96" s="91"/>
      <c r="BA96" s="91"/>
      <c r="BB96" s="91"/>
      <c r="BC96" s="91"/>
      <c r="BD96" s="91"/>
      <c r="BE96" s="91"/>
      <c r="BF96" s="91"/>
      <c r="BG96" s="91"/>
      <c r="BH96" s="91"/>
      <c r="BI96" s="91"/>
      <c r="BJ96" s="91"/>
      <c r="BK96" s="91"/>
      <c r="BL96" s="91"/>
    </row>
    <row r="97" spans="1:64">
      <c r="A97" s="91"/>
      <c r="B97" s="198">
        <v>5</v>
      </c>
      <c r="C97" s="199"/>
      <c r="D97" s="199" t="s">
        <v>92</v>
      </c>
      <c r="E97" s="199">
        <f t="shared" si="22"/>
        <v>0</v>
      </c>
      <c r="F97" s="199"/>
      <c r="G97" s="197"/>
      <c r="H97" s="199">
        <f t="shared" si="23"/>
        <v>0</v>
      </c>
      <c r="I97" s="199"/>
      <c r="J97" s="197"/>
      <c r="K97" s="199">
        <f t="shared" si="24"/>
        <v>0</v>
      </c>
      <c r="L97" s="199"/>
      <c r="M97" s="197"/>
      <c r="N97" s="199">
        <f t="shared" si="25"/>
        <v>0</v>
      </c>
      <c r="O97" s="199"/>
      <c r="P97" s="197"/>
      <c r="Q97" s="199">
        <f t="shared" si="26"/>
        <v>0</v>
      </c>
      <c r="R97" s="199"/>
      <c r="S97" s="197"/>
      <c r="T97" s="199">
        <f t="shared" si="27"/>
        <v>0</v>
      </c>
      <c r="U97" s="199"/>
      <c r="V97" s="197"/>
      <c r="W97" s="199">
        <f t="shared" si="28"/>
        <v>0</v>
      </c>
      <c r="X97" s="199"/>
      <c r="Y97" s="197"/>
      <c r="Z97" s="199">
        <f t="shared" si="29"/>
        <v>0</v>
      </c>
      <c r="AA97" s="199"/>
      <c r="AB97" s="197"/>
      <c r="AC97" s="199">
        <f t="shared" si="30"/>
        <v>0</v>
      </c>
      <c r="AD97" s="199"/>
      <c r="AE97" s="197"/>
      <c r="AF97" s="199">
        <f t="shared" si="31"/>
        <v>0</v>
      </c>
      <c r="AG97" s="199"/>
      <c r="AH97" s="197"/>
      <c r="AI97" s="199">
        <f t="shared" si="32"/>
        <v>0</v>
      </c>
      <c r="AJ97" s="199"/>
      <c r="AK97" s="197"/>
      <c r="AL97" s="199">
        <f t="shared" si="33"/>
        <v>0</v>
      </c>
      <c r="AM97" s="199"/>
      <c r="AN97" s="197"/>
      <c r="AO97" s="199">
        <f t="shared" si="34"/>
        <v>0</v>
      </c>
      <c r="AP97" s="199"/>
      <c r="AQ97" s="197"/>
      <c r="AR97" s="199">
        <f t="shared" si="35"/>
        <v>0</v>
      </c>
      <c r="AS97" s="199"/>
      <c r="AT97" s="197"/>
      <c r="AU97" s="77"/>
      <c r="AV97" s="77"/>
      <c r="AW97" s="258"/>
      <c r="AX97" s="259"/>
      <c r="AY97" s="91"/>
      <c r="AZ97" s="91"/>
      <c r="BA97" s="91"/>
      <c r="BB97" s="91"/>
      <c r="BC97" s="91"/>
      <c r="BD97" s="91"/>
      <c r="BE97" s="91"/>
      <c r="BF97" s="91"/>
      <c r="BG97" s="91"/>
      <c r="BH97" s="91"/>
      <c r="BI97" s="91"/>
      <c r="BJ97" s="91"/>
      <c r="BK97" s="91"/>
      <c r="BL97" s="91"/>
    </row>
    <row r="98" spans="1:64">
      <c r="A98" s="91"/>
      <c r="B98" s="203">
        <v>6</v>
      </c>
      <c r="C98" s="196"/>
      <c r="D98" s="196" t="s">
        <v>93</v>
      </c>
      <c r="E98" s="196">
        <f t="shared" si="22"/>
        <v>207070.41153891236</v>
      </c>
      <c r="F98" s="196"/>
      <c r="G98" s="197"/>
      <c r="H98" s="196">
        <f t="shared" si="23"/>
        <v>202019.91369649989</v>
      </c>
      <c r="I98" s="196"/>
      <c r="J98" s="197"/>
      <c r="K98" s="196">
        <f t="shared" si="24"/>
        <v>197648.83371999991</v>
      </c>
      <c r="L98" s="196"/>
      <c r="M98" s="197"/>
      <c r="N98" s="196">
        <f t="shared" si="25"/>
        <v>193657.84765449996</v>
      </c>
      <c r="O98" s="196"/>
      <c r="P98" s="197"/>
      <c r="Q98" s="196">
        <f t="shared" si="26"/>
        <v>190046.95549999998</v>
      </c>
      <c r="R98" s="196"/>
      <c r="S98" s="197"/>
      <c r="T98" s="196">
        <f t="shared" si="27"/>
        <v>186808.48719999997</v>
      </c>
      <c r="U98" s="196"/>
      <c r="V98" s="197"/>
      <c r="W98" s="196">
        <f t="shared" si="28"/>
        <v>184081.35599999997</v>
      </c>
      <c r="X98" s="196"/>
      <c r="Y98" s="197"/>
      <c r="Z98" s="196">
        <f t="shared" si="29"/>
        <v>181524.67050000001</v>
      </c>
      <c r="AA98" s="196"/>
      <c r="AB98" s="197"/>
      <c r="AC98" s="196">
        <f t="shared" si="30"/>
        <v>176752.19090000002</v>
      </c>
      <c r="AD98" s="196"/>
      <c r="AE98" s="197"/>
      <c r="AF98" s="196">
        <f t="shared" si="31"/>
        <v>170445.7</v>
      </c>
      <c r="AG98" s="196"/>
      <c r="AH98" s="197"/>
      <c r="AI98" s="196">
        <f t="shared" si="32"/>
        <v>166534.9</v>
      </c>
      <c r="AJ98" s="196"/>
      <c r="AK98" s="197"/>
      <c r="AL98" s="196">
        <f t="shared" si="33"/>
        <v>166534.9</v>
      </c>
      <c r="AM98" s="196"/>
      <c r="AN98" s="197"/>
      <c r="AO98" s="196">
        <f t="shared" si="34"/>
        <v>162950</v>
      </c>
      <c r="AP98" s="196"/>
      <c r="AQ98" s="197"/>
      <c r="AR98" s="196">
        <f t="shared" si="35"/>
        <v>159002.46897269256</v>
      </c>
      <c r="AS98" s="196"/>
      <c r="AT98" s="197"/>
      <c r="AU98" s="77"/>
      <c r="AV98" s="77"/>
      <c r="AW98" s="258"/>
      <c r="AX98" s="259"/>
      <c r="AY98" s="91"/>
      <c r="AZ98" s="91"/>
      <c r="BA98" s="91"/>
      <c r="BB98" s="91"/>
      <c r="BC98" s="91"/>
      <c r="BD98" s="91"/>
      <c r="BE98" s="91"/>
      <c r="BF98" s="91"/>
      <c r="BG98" s="91"/>
      <c r="BH98" s="91"/>
      <c r="BI98" s="91"/>
      <c r="BJ98" s="91"/>
      <c r="BK98" s="91"/>
      <c r="BL98" s="91"/>
    </row>
    <row r="99" spans="1:64">
      <c r="A99" s="91"/>
      <c r="B99" s="198">
        <v>10</v>
      </c>
      <c r="C99" s="204">
        <f>C166</f>
        <v>0</v>
      </c>
      <c r="D99" s="199" t="s">
        <v>94</v>
      </c>
      <c r="E99" s="199">
        <f t="shared" si="22"/>
        <v>0</v>
      </c>
      <c r="F99" s="199"/>
      <c r="G99" s="197"/>
      <c r="H99" s="199">
        <f t="shared" si="23"/>
        <v>0</v>
      </c>
      <c r="I99" s="199"/>
      <c r="J99" s="197"/>
      <c r="K99" s="199">
        <f t="shared" si="24"/>
        <v>0</v>
      </c>
      <c r="L99" s="199"/>
      <c r="M99" s="197"/>
      <c r="N99" s="199">
        <f t="shared" si="25"/>
        <v>0</v>
      </c>
      <c r="O99" s="199"/>
      <c r="P99" s="197"/>
      <c r="Q99" s="199">
        <f t="shared" si="26"/>
        <v>0</v>
      </c>
      <c r="R99" s="199"/>
      <c r="S99" s="197"/>
      <c r="T99" s="199">
        <f t="shared" si="27"/>
        <v>0</v>
      </c>
      <c r="U99" s="199"/>
      <c r="V99" s="197"/>
      <c r="W99" s="199">
        <f t="shared" si="28"/>
        <v>0</v>
      </c>
      <c r="X99" s="199"/>
      <c r="Y99" s="197"/>
      <c r="Z99" s="199">
        <f t="shared" si="29"/>
        <v>0</v>
      </c>
      <c r="AA99" s="199"/>
      <c r="AB99" s="197"/>
      <c r="AC99" s="199">
        <f t="shared" si="30"/>
        <v>0</v>
      </c>
      <c r="AD99" s="199"/>
      <c r="AE99" s="197"/>
      <c r="AF99" s="199">
        <f t="shared" si="31"/>
        <v>0</v>
      </c>
      <c r="AG99" s="199"/>
      <c r="AH99" s="197"/>
      <c r="AI99" s="199">
        <f t="shared" si="32"/>
        <v>0</v>
      </c>
      <c r="AJ99" s="199"/>
      <c r="AK99" s="197"/>
      <c r="AL99" s="199">
        <f t="shared" si="33"/>
        <v>0</v>
      </c>
      <c r="AM99" s="199"/>
      <c r="AN99" s="197"/>
      <c r="AO99" s="199">
        <f t="shared" si="34"/>
        <v>0</v>
      </c>
      <c r="AP99" s="199"/>
      <c r="AQ99" s="197"/>
      <c r="AR99" s="199">
        <f t="shared" si="35"/>
        <v>0</v>
      </c>
      <c r="AS99" s="199"/>
      <c r="AT99" s="197"/>
      <c r="AU99" s="77"/>
      <c r="AV99" s="77"/>
      <c r="AW99" s="258"/>
      <c r="AX99" s="259"/>
      <c r="AY99" s="91"/>
      <c r="AZ99" s="91"/>
      <c r="BA99" s="91"/>
      <c r="BB99" s="91"/>
      <c r="BC99" s="91"/>
      <c r="BD99" s="91"/>
      <c r="BE99" s="91"/>
      <c r="BF99" s="91"/>
      <c r="BG99" s="91"/>
      <c r="BH99" s="91"/>
      <c r="BI99" s="91"/>
      <c r="BJ99" s="91"/>
      <c r="BK99" s="91"/>
      <c r="BL99" s="91"/>
    </row>
    <row r="100" spans="1:64">
      <c r="A100" s="91"/>
      <c r="B100" s="203">
        <v>14</v>
      </c>
      <c r="C100" s="205">
        <v>7.0000000000000007E-2</v>
      </c>
      <c r="D100" s="196" t="s">
        <v>95</v>
      </c>
      <c r="E100" s="196">
        <f t="shared" si="22"/>
        <v>14494.928807723867</v>
      </c>
      <c r="F100" s="196"/>
      <c r="G100" s="206">
        <f t="shared" ref="G100:G105" si="36">G167</f>
        <v>151909.45954003194</v>
      </c>
      <c r="H100" s="196">
        <f t="shared" si="23"/>
        <v>14141.393958754994</v>
      </c>
      <c r="I100" s="196"/>
      <c r="J100" s="206">
        <f t="shared" ref="J100:J105" si="37">J167</f>
        <v>137335.80325566875</v>
      </c>
      <c r="K100" s="196">
        <f t="shared" si="24"/>
        <v>13835.418360399995</v>
      </c>
      <c r="L100" s="196"/>
      <c r="M100" s="206">
        <f t="shared" ref="M100:M105" si="38">M167</f>
        <v>128049.29852220284</v>
      </c>
      <c r="N100" s="196">
        <f t="shared" si="25"/>
        <v>13556.049335814998</v>
      </c>
      <c r="O100" s="196"/>
      <c r="P100" s="206">
        <f t="shared" ref="P100:P105" si="39">P167</f>
        <v>130009.85167124789</v>
      </c>
      <c r="Q100" s="196">
        <f t="shared" si="26"/>
        <v>13303.286885</v>
      </c>
      <c r="R100" s="196"/>
      <c r="S100" s="206">
        <f t="shared" ref="S100:S105" si="40">S167</f>
        <v>133623.59737809727</v>
      </c>
      <c r="T100" s="196">
        <f t="shared" si="27"/>
        <v>13076.594104</v>
      </c>
      <c r="U100" s="196"/>
      <c r="V100" s="206">
        <f t="shared" ref="V100:V105" si="41">V167</f>
        <v>130537.78463412204</v>
      </c>
      <c r="W100" s="196">
        <f t="shared" si="28"/>
        <v>12885.69492</v>
      </c>
      <c r="X100" s="196"/>
      <c r="Y100" s="206">
        <f t="shared" ref="Y100:Y105" si="42">Y167</f>
        <v>130819.9691141974</v>
      </c>
      <c r="Z100" s="196">
        <f t="shared" si="29"/>
        <v>12706.726935000002</v>
      </c>
      <c r="AA100" s="196"/>
      <c r="AB100" s="206">
        <f t="shared" ref="AB100:AB105" si="43">AB167</f>
        <v>140810.05788364721</v>
      </c>
      <c r="AC100" s="196">
        <f t="shared" si="30"/>
        <v>12372.653363000003</v>
      </c>
      <c r="AD100" s="196"/>
      <c r="AE100" s="206">
        <f t="shared" ref="AE100:AE105" si="44">AE167</f>
        <v>145715.53612560828</v>
      </c>
      <c r="AF100" s="196">
        <f t="shared" si="31"/>
        <v>11931.199000000002</v>
      </c>
      <c r="AG100" s="196"/>
      <c r="AH100" s="206">
        <f t="shared" ref="AH100:AH105" si="45">AH167</f>
        <v>127568.05901996647</v>
      </c>
      <c r="AI100" s="196">
        <f t="shared" si="32"/>
        <v>11657.443000000001</v>
      </c>
      <c r="AJ100" s="196"/>
      <c r="AK100" s="206">
        <f t="shared" ref="AK100:AK105" si="46">AK167</f>
        <v>119390.17807124114</v>
      </c>
      <c r="AL100" s="196">
        <f t="shared" si="33"/>
        <v>11657.443000000001</v>
      </c>
      <c r="AM100" s="196"/>
      <c r="AN100" s="206">
        <f t="shared" ref="AN100:AN105" si="47">AN167</f>
        <v>119390.17807124114</v>
      </c>
      <c r="AO100" s="196">
        <f t="shared" si="34"/>
        <v>11406.500000000002</v>
      </c>
      <c r="AP100" s="196"/>
      <c r="AQ100" s="206">
        <f t="shared" ref="AQ100:AQ105" si="48">AQ167</f>
        <v>124319.65418621374</v>
      </c>
      <c r="AR100" s="196">
        <f t="shared" si="35"/>
        <v>11130.17282808848</v>
      </c>
      <c r="AS100" s="196"/>
      <c r="AT100" s="206">
        <f t="shared" ref="AT100:AT105" si="49">AT167</f>
        <v>122494.09262094568</v>
      </c>
      <c r="AU100" s="77"/>
      <c r="AV100" s="77"/>
      <c r="AW100" s="258"/>
      <c r="AX100" s="259"/>
      <c r="AY100" s="91"/>
      <c r="AZ100" s="91"/>
      <c r="BA100" s="91"/>
      <c r="BB100" s="91"/>
      <c r="BC100" s="91"/>
      <c r="BD100" s="91"/>
      <c r="BE100" s="91"/>
      <c r="BF100" s="91"/>
      <c r="BG100" s="91"/>
      <c r="BH100" s="91"/>
      <c r="BI100" s="91"/>
      <c r="BJ100" s="91"/>
      <c r="BK100" s="91"/>
      <c r="BL100" s="91"/>
    </row>
    <row r="101" spans="1:64">
      <c r="A101" s="91"/>
      <c r="B101" s="198">
        <v>188</v>
      </c>
      <c r="C101" s="204">
        <v>7.0000000000000007E-2</v>
      </c>
      <c r="D101" s="199" t="s">
        <v>96</v>
      </c>
      <c r="E101" s="199">
        <f t="shared" si="22"/>
        <v>37757.720497332455</v>
      </c>
      <c r="F101" s="199"/>
      <c r="G101" s="207"/>
      <c r="H101" s="199">
        <f t="shared" si="23"/>
        <v>36076.002159145813</v>
      </c>
      <c r="I101" s="199"/>
      <c r="J101" s="207"/>
      <c r="K101" s="199">
        <f t="shared" si="24"/>
        <v>34853.381064474197</v>
      </c>
      <c r="L101" s="199"/>
      <c r="M101" s="207"/>
      <c r="N101" s="199">
        <f t="shared" si="25"/>
        <v>34467.842348824357</v>
      </c>
      <c r="O101" s="199"/>
      <c r="P101" s="207"/>
      <c r="Q101" s="199">
        <f t="shared" si="26"/>
        <v>34247.815439466809</v>
      </c>
      <c r="R101" s="199"/>
      <c r="S101" s="207"/>
      <c r="T101" s="199">
        <f t="shared" si="27"/>
        <v>33607.585143543743</v>
      </c>
      <c r="U101" s="199"/>
      <c r="V101" s="207"/>
      <c r="W101" s="199">
        <f t="shared" si="28"/>
        <v>33270.112652489821</v>
      </c>
      <c r="X101" s="199"/>
      <c r="Y101" s="207"/>
      <c r="Z101" s="199">
        <f t="shared" si="29"/>
        <v>33634.522765455302</v>
      </c>
      <c r="AA101" s="199"/>
      <c r="AB101" s="207"/>
      <c r="AC101" s="199">
        <f t="shared" si="30"/>
        <v>33352.762405032583</v>
      </c>
      <c r="AD101" s="199"/>
      <c r="AE101" s="207"/>
      <c r="AF101" s="199">
        <f t="shared" si="31"/>
        <v>31256.351922597652</v>
      </c>
      <c r="AG101" s="199"/>
      <c r="AH101" s="207"/>
      <c r="AI101" s="199">
        <f t="shared" si="32"/>
        <v>30171.624816918284</v>
      </c>
      <c r="AJ101" s="199"/>
      <c r="AK101" s="207"/>
      <c r="AL101" s="199">
        <f t="shared" si="33"/>
        <v>30171.624816918284</v>
      </c>
      <c r="AM101" s="199"/>
      <c r="AN101" s="207"/>
      <c r="AO101" s="199">
        <f t="shared" si="34"/>
        <v>30047.104121734963</v>
      </c>
      <c r="AP101" s="199"/>
      <c r="AQ101" s="207"/>
      <c r="AR101" s="199">
        <f t="shared" si="35"/>
        <v>29402.322379196448</v>
      </c>
      <c r="AS101" s="199"/>
      <c r="AT101" s="207"/>
      <c r="AU101" s="77"/>
      <c r="AV101" s="77"/>
      <c r="AW101" s="258"/>
      <c r="AX101" s="259"/>
      <c r="AY101" s="91"/>
      <c r="AZ101" s="91"/>
      <c r="BA101" s="91"/>
      <c r="BB101" s="91"/>
      <c r="BC101" s="91"/>
      <c r="BD101" s="91"/>
      <c r="BE101" s="91"/>
      <c r="BF101" s="91"/>
      <c r="BG101" s="91"/>
      <c r="BH101" s="91"/>
      <c r="BI101" s="91"/>
      <c r="BJ101" s="91"/>
      <c r="BK101" s="91"/>
      <c r="BL101" s="91"/>
    </row>
    <row r="102" spans="1:64">
      <c r="A102" s="91"/>
      <c r="B102" s="203">
        <v>52</v>
      </c>
      <c r="C102" s="196"/>
      <c r="D102" s="196" t="s">
        <v>97</v>
      </c>
      <c r="E102" s="196">
        <f t="shared" si="22"/>
        <v>0</v>
      </c>
      <c r="F102" s="196"/>
      <c r="G102" s="207">
        <f t="shared" si="36"/>
        <v>538114.06671491987</v>
      </c>
      <c r="H102" s="196">
        <f t="shared" si="23"/>
        <v>0</v>
      </c>
      <c r="I102" s="196"/>
      <c r="J102" s="207">
        <f t="shared" si="37"/>
        <v>517154.3951212198</v>
      </c>
      <c r="K102" s="196">
        <f t="shared" si="24"/>
        <v>0</v>
      </c>
      <c r="L102" s="196"/>
      <c r="M102" s="207">
        <f t="shared" si="38"/>
        <v>501412.43</v>
      </c>
      <c r="N102" s="196">
        <f t="shared" si="25"/>
        <v>0</v>
      </c>
      <c r="O102" s="196"/>
      <c r="P102" s="207">
        <f t="shared" si="39"/>
        <v>494565</v>
      </c>
      <c r="Q102" s="196">
        <f t="shared" si="26"/>
        <v>0</v>
      </c>
      <c r="R102" s="196"/>
      <c r="S102" s="207">
        <f t="shared" si="40"/>
        <v>489696</v>
      </c>
      <c r="T102" s="196">
        <f t="shared" si="27"/>
        <v>0</v>
      </c>
      <c r="U102" s="196"/>
      <c r="V102" s="207">
        <f t="shared" si="41"/>
        <v>480768.38</v>
      </c>
      <c r="W102" s="196">
        <f t="shared" si="28"/>
        <v>0</v>
      </c>
      <c r="X102" s="196"/>
      <c r="Y102" s="207">
        <f t="shared" si="42"/>
        <v>475327.04</v>
      </c>
      <c r="Z102" s="196">
        <f t="shared" si="29"/>
        <v>0</v>
      </c>
      <c r="AA102" s="196"/>
      <c r="AB102" s="207">
        <f t="shared" si="43"/>
        <v>477236.78</v>
      </c>
      <c r="AC102" s="196">
        <f t="shared" si="30"/>
        <v>0</v>
      </c>
      <c r="AD102" s="196"/>
      <c r="AE102" s="207">
        <f t="shared" si="44"/>
        <v>470894.73</v>
      </c>
      <c r="AF102" s="196">
        <f t="shared" si="31"/>
        <v>0</v>
      </c>
      <c r="AG102" s="196"/>
      <c r="AH102" s="207">
        <f t="shared" si="45"/>
        <v>444759</v>
      </c>
      <c r="AI102" s="196">
        <f t="shared" si="32"/>
        <v>0</v>
      </c>
      <c r="AJ102" s="196"/>
      <c r="AK102" s="207">
        <f t="shared" si="46"/>
        <v>430769</v>
      </c>
      <c r="AL102" s="196">
        <f t="shared" si="33"/>
        <v>0</v>
      </c>
      <c r="AM102" s="196"/>
      <c r="AN102" s="207">
        <f t="shared" si="47"/>
        <v>430769</v>
      </c>
      <c r="AO102" s="196">
        <f t="shared" si="34"/>
        <v>0</v>
      </c>
      <c r="AP102" s="196"/>
      <c r="AQ102" s="207">
        <f t="shared" si="48"/>
        <v>436900</v>
      </c>
      <c r="AR102" s="196">
        <f t="shared" si="35"/>
        <v>0</v>
      </c>
      <c r="AS102" s="196"/>
      <c r="AT102" s="207">
        <f t="shared" si="49"/>
        <v>417415.89</v>
      </c>
      <c r="AU102" s="77"/>
      <c r="AV102" s="77"/>
      <c r="AW102" s="258"/>
      <c r="AX102" s="259"/>
      <c r="AY102" s="91"/>
      <c r="AZ102" s="91"/>
      <c r="BA102" s="91"/>
      <c r="BB102" s="91"/>
      <c r="BC102" s="91"/>
      <c r="BD102" s="91"/>
      <c r="BE102" s="91"/>
      <c r="BF102" s="91"/>
      <c r="BG102" s="91"/>
      <c r="BH102" s="91"/>
      <c r="BI102" s="91"/>
      <c r="BJ102" s="91"/>
      <c r="BK102" s="91"/>
      <c r="BL102" s="91"/>
    </row>
    <row r="103" spans="1:64">
      <c r="A103" s="91"/>
      <c r="B103" s="198">
        <v>16</v>
      </c>
      <c r="C103" s="199"/>
      <c r="D103" s="199" t="s">
        <v>98</v>
      </c>
      <c r="E103" s="199">
        <f t="shared" si="22"/>
        <v>0</v>
      </c>
      <c r="F103" s="199"/>
      <c r="G103" s="207">
        <f t="shared" si="36"/>
        <v>50199.890542811401</v>
      </c>
      <c r="H103" s="199">
        <f t="shared" si="23"/>
        <v>0</v>
      </c>
      <c r="I103" s="199"/>
      <c r="J103" s="207">
        <f t="shared" si="37"/>
        <v>39587.846295711555</v>
      </c>
      <c r="K103" s="199">
        <f t="shared" si="24"/>
        <v>0</v>
      </c>
      <c r="L103" s="199"/>
      <c r="M103" s="207">
        <f t="shared" si="38"/>
        <v>33276.74879778397</v>
      </c>
      <c r="N103" s="199">
        <f t="shared" si="25"/>
        <v>0</v>
      </c>
      <c r="O103" s="199"/>
      <c r="P103" s="207">
        <f t="shared" si="39"/>
        <v>36531.538706953645</v>
      </c>
      <c r="Q103" s="199">
        <f t="shared" si="26"/>
        <v>0</v>
      </c>
      <c r="R103" s="199"/>
      <c r="S103" s="207">
        <f t="shared" si="40"/>
        <v>41065.485707836095</v>
      </c>
      <c r="T103" s="199">
        <f t="shared" si="27"/>
        <v>0</v>
      </c>
      <c r="U103" s="199"/>
      <c r="V103" s="207">
        <f t="shared" si="41"/>
        <v>39667.403613273709</v>
      </c>
      <c r="W103" s="199">
        <f t="shared" si="28"/>
        <v>0</v>
      </c>
      <c r="X103" s="199"/>
      <c r="Y103" s="207">
        <f t="shared" si="42"/>
        <v>40978.056820883256</v>
      </c>
      <c r="Z103" s="199">
        <f t="shared" si="29"/>
        <v>0</v>
      </c>
      <c r="AA103" s="199"/>
      <c r="AB103" s="207">
        <f t="shared" si="43"/>
        <v>50607.182254603409</v>
      </c>
      <c r="AC103" s="199">
        <f t="shared" si="30"/>
        <v>0</v>
      </c>
      <c r="AD103" s="199"/>
      <c r="AE103" s="207">
        <f t="shared" si="44"/>
        <v>56711.378445282404</v>
      </c>
      <c r="AF103" s="199">
        <f t="shared" si="31"/>
        <v>0</v>
      </c>
      <c r="AG103" s="199"/>
      <c r="AH103" s="207">
        <f t="shared" si="45"/>
        <v>43503.836637987093</v>
      </c>
      <c r="AI103" s="199">
        <f t="shared" si="32"/>
        <v>0</v>
      </c>
      <c r="AJ103" s="199"/>
      <c r="AK103" s="207">
        <f t="shared" si="46"/>
        <v>37970.336230838562</v>
      </c>
      <c r="AL103" s="199">
        <f t="shared" si="33"/>
        <v>0</v>
      </c>
      <c r="AM103" s="199"/>
      <c r="AN103" s="207">
        <f t="shared" si="47"/>
        <v>37970.336230838562</v>
      </c>
      <c r="AO103" s="199">
        <f t="shared" si="34"/>
        <v>0</v>
      </c>
      <c r="AP103" s="199"/>
      <c r="AQ103" s="207">
        <f t="shared" si="48"/>
        <v>55609.613448135606</v>
      </c>
      <c r="AR103" s="199">
        <f t="shared" si="35"/>
        <v>0</v>
      </c>
      <c r="AS103" s="199"/>
      <c r="AT103" s="207">
        <f t="shared" si="49"/>
        <v>43597.303740044641</v>
      </c>
      <c r="AU103" s="77"/>
      <c r="AV103" s="77"/>
      <c r="AW103" s="258"/>
      <c r="AX103" s="259"/>
      <c r="AY103" s="91"/>
      <c r="AZ103" s="91"/>
      <c r="BA103" s="91"/>
      <c r="BB103" s="91"/>
      <c r="BC103" s="91"/>
      <c r="BD103" s="91"/>
      <c r="BE103" s="91"/>
      <c r="BF103" s="91"/>
      <c r="BG103" s="91"/>
      <c r="BH103" s="91"/>
      <c r="BI103" s="91"/>
      <c r="BJ103" s="91"/>
      <c r="BK103" s="91"/>
      <c r="BL103" s="91"/>
    </row>
    <row r="104" spans="1:64" ht="16.5" thickBot="1">
      <c r="A104" s="91"/>
      <c r="B104" s="203">
        <v>78</v>
      </c>
      <c r="C104" s="208">
        <v>0</v>
      </c>
      <c r="D104" s="196" t="s">
        <v>99</v>
      </c>
      <c r="E104" s="196">
        <f t="shared" si="22"/>
        <v>0</v>
      </c>
      <c r="F104" s="196"/>
      <c r="G104" s="207">
        <f t="shared" si="36"/>
        <v>623000.87300000014</v>
      </c>
      <c r="H104" s="196">
        <f t="shared" si="23"/>
        <v>0</v>
      </c>
      <c r="I104" s="196"/>
      <c r="J104" s="207">
        <f t="shared" si="37"/>
        <v>598734.84000000008</v>
      </c>
      <c r="K104" s="196">
        <f t="shared" si="24"/>
        <v>0</v>
      </c>
      <c r="L104" s="196"/>
      <c r="M104" s="207">
        <f t="shared" si="38"/>
        <v>580509.6</v>
      </c>
      <c r="N104" s="196">
        <f t="shared" si="25"/>
        <v>0</v>
      </c>
      <c r="O104" s="196"/>
      <c r="P104" s="207">
        <f t="shared" si="39"/>
        <v>572582</v>
      </c>
      <c r="Q104" s="196">
        <f t="shared" si="26"/>
        <v>0</v>
      </c>
      <c r="R104" s="196"/>
      <c r="S104" s="207">
        <f t="shared" si="40"/>
        <v>566945</v>
      </c>
      <c r="T104" s="196">
        <f t="shared" si="27"/>
        <v>0</v>
      </c>
      <c r="U104" s="196"/>
      <c r="V104" s="207">
        <f t="shared" si="41"/>
        <v>556608.80000000005</v>
      </c>
      <c r="W104" s="196">
        <f t="shared" si="28"/>
        <v>0</v>
      </c>
      <c r="X104" s="196"/>
      <c r="Y104" s="207">
        <f t="shared" si="42"/>
        <v>550309.1</v>
      </c>
      <c r="Z104" s="196">
        <f t="shared" si="29"/>
        <v>0</v>
      </c>
      <c r="AA104" s="196"/>
      <c r="AB104" s="207">
        <f t="shared" si="43"/>
        <v>552520.1</v>
      </c>
      <c r="AC104" s="196">
        <f t="shared" si="30"/>
        <v>0</v>
      </c>
      <c r="AD104" s="196"/>
      <c r="AE104" s="207">
        <f t="shared" si="44"/>
        <v>545177.59999999998</v>
      </c>
      <c r="AF104" s="196">
        <f t="shared" si="31"/>
        <v>0</v>
      </c>
      <c r="AG104" s="196"/>
      <c r="AH104" s="207">
        <f t="shared" si="45"/>
        <v>514919</v>
      </c>
      <c r="AI104" s="196">
        <f t="shared" si="32"/>
        <v>0</v>
      </c>
      <c r="AJ104" s="196"/>
      <c r="AK104" s="207">
        <f t="shared" si="46"/>
        <v>498722</v>
      </c>
      <c r="AL104" s="196">
        <f t="shared" si="33"/>
        <v>0</v>
      </c>
      <c r="AM104" s="196"/>
      <c r="AN104" s="207">
        <f t="shared" si="47"/>
        <v>498722</v>
      </c>
      <c r="AO104" s="196">
        <f t="shared" si="34"/>
        <v>0</v>
      </c>
      <c r="AP104" s="196"/>
      <c r="AQ104" s="207">
        <f t="shared" si="48"/>
        <v>494245.4</v>
      </c>
      <c r="AR104" s="196">
        <f t="shared" si="35"/>
        <v>0</v>
      </c>
      <c r="AS104" s="196"/>
      <c r="AT104" s="207">
        <f t="shared" si="49"/>
        <v>483263.15</v>
      </c>
      <c r="AU104" s="77"/>
      <c r="AV104" s="77"/>
      <c r="AW104" s="258"/>
      <c r="AX104" s="259"/>
      <c r="AY104" s="91"/>
      <c r="AZ104" s="91"/>
      <c r="BA104" s="91"/>
      <c r="BB104" s="91"/>
      <c r="BC104" s="91"/>
      <c r="BD104" s="91"/>
      <c r="BE104" s="91"/>
      <c r="BF104" s="91"/>
      <c r="BG104" s="91"/>
      <c r="BH104" s="91"/>
      <c r="BI104" s="91"/>
      <c r="BJ104" s="91"/>
      <c r="BK104" s="91"/>
      <c r="BL104" s="91"/>
    </row>
    <row r="105" spans="1:64" s="727" customFormat="1" ht="16.5" thickBot="1">
      <c r="A105" s="720"/>
      <c r="B105" s="721">
        <v>185</v>
      </c>
      <c r="C105" s="722"/>
      <c r="D105" s="722" t="s">
        <v>100</v>
      </c>
      <c r="E105" s="722">
        <f t="shared" si="22"/>
        <v>151909.45954003194</v>
      </c>
      <c r="F105" s="722"/>
      <c r="G105" s="723">
        <f t="shared" si="36"/>
        <v>151909.45954003194</v>
      </c>
      <c r="H105" s="722">
        <f t="shared" si="23"/>
        <v>137335.80325566875</v>
      </c>
      <c r="I105" s="722"/>
      <c r="J105" s="723">
        <f t="shared" si="37"/>
        <v>137335.80325566875</v>
      </c>
      <c r="K105" s="722">
        <f t="shared" si="24"/>
        <v>128049.29852220284</v>
      </c>
      <c r="L105" s="722"/>
      <c r="M105" s="723">
        <f t="shared" si="38"/>
        <v>128049.29852220284</v>
      </c>
      <c r="N105" s="722">
        <f t="shared" si="25"/>
        <v>130009.85167124789</v>
      </c>
      <c r="O105" s="722"/>
      <c r="P105" s="723">
        <f t="shared" si="39"/>
        <v>130009.85167124789</v>
      </c>
      <c r="Q105" s="722">
        <f t="shared" si="26"/>
        <v>133623.59737809727</v>
      </c>
      <c r="R105" s="722"/>
      <c r="S105" s="723">
        <f t="shared" si="40"/>
        <v>133623.59737809727</v>
      </c>
      <c r="T105" s="722">
        <f t="shared" si="27"/>
        <v>130537.78463412204</v>
      </c>
      <c r="U105" s="722"/>
      <c r="V105" s="723">
        <f t="shared" si="41"/>
        <v>130537.78463412204</v>
      </c>
      <c r="W105" s="722">
        <f t="shared" si="28"/>
        <v>130819.9691141974</v>
      </c>
      <c r="X105" s="722"/>
      <c r="Y105" s="723">
        <f t="shared" si="42"/>
        <v>130819.9691141974</v>
      </c>
      <c r="Z105" s="722">
        <f t="shared" si="29"/>
        <v>140810.05788364721</v>
      </c>
      <c r="AA105" s="722"/>
      <c r="AB105" s="723">
        <f t="shared" si="43"/>
        <v>140810.05788364721</v>
      </c>
      <c r="AC105" s="722">
        <f t="shared" si="30"/>
        <v>145715.53612560828</v>
      </c>
      <c r="AD105" s="722"/>
      <c r="AE105" s="723">
        <f t="shared" si="44"/>
        <v>145715.53612560828</v>
      </c>
      <c r="AF105" s="722">
        <f t="shared" si="31"/>
        <v>127568.05901996647</v>
      </c>
      <c r="AG105" s="722"/>
      <c r="AH105" s="723">
        <f t="shared" si="45"/>
        <v>127568.05901996647</v>
      </c>
      <c r="AI105" s="722">
        <f t="shared" si="32"/>
        <v>119390.17807124114</v>
      </c>
      <c r="AJ105" s="722"/>
      <c r="AK105" s="723">
        <f t="shared" si="46"/>
        <v>119390.17807124114</v>
      </c>
      <c r="AL105" s="722">
        <f t="shared" si="33"/>
        <v>119390.17807124114</v>
      </c>
      <c r="AM105" s="722"/>
      <c r="AN105" s="723">
        <f t="shared" si="47"/>
        <v>119390.17807124114</v>
      </c>
      <c r="AO105" s="722">
        <f t="shared" si="34"/>
        <v>124319.65418621374</v>
      </c>
      <c r="AP105" s="722"/>
      <c r="AQ105" s="723">
        <f t="shared" si="48"/>
        <v>124319.65418621374</v>
      </c>
      <c r="AR105" s="722">
        <f t="shared" si="35"/>
        <v>122494.09262094568</v>
      </c>
      <c r="AS105" s="722"/>
      <c r="AT105" s="723">
        <f t="shared" si="49"/>
        <v>122494.09262094568</v>
      </c>
      <c r="AU105" s="724"/>
      <c r="AV105" s="724"/>
      <c r="AW105" s="725"/>
      <c r="AX105" s="726"/>
      <c r="AY105" s="720"/>
      <c r="AZ105" s="720"/>
      <c r="BA105" s="720"/>
      <c r="BB105" s="720"/>
      <c r="BC105" s="720"/>
      <c r="BD105" s="720"/>
      <c r="BE105" s="720"/>
      <c r="BF105" s="720"/>
      <c r="BG105" s="720"/>
      <c r="BH105" s="720"/>
      <c r="BI105" s="720"/>
      <c r="BJ105" s="720"/>
      <c r="BK105" s="720"/>
      <c r="BL105" s="720"/>
    </row>
    <row r="106" spans="1:64" ht="16.5" thickBot="1">
      <c r="A106" s="91"/>
      <c r="B106" s="195">
        <v>117</v>
      </c>
      <c r="C106" s="717">
        <v>1</v>
      </c>
      <c r="D106" s="718" t="s">
        <v>101</v>
      </c>
      <c r="E106" s="718">
        <f t="shared" si="22"/>
        <v>21623.259421577986</v>
      </c>
      <c r="F106" s="718"/>
      <c r="G106" s="719"/>
      <c r="H106" s="718">
        <f t="shared" si="23"/>
        <v>21095.862850319991</v>
      </c>
      <c r="I106" s="718"/>
      <c r="J106" s="719"/>
      <c r="K106" s="718">
        <f t="shared" si="24"/>
        <v>20639.414265599993</v>
      </c>
      <c r="L106" s="718"/>
      <c r="M106" s="719"/>
      <c r="N106" s="718">
        <f t="shared" si="25"/>
        <v>20222.656862159994</v>
      </c>
      <c r="O106" s="718"/>
      <c r="P106" s="719"/>
      <c r="Q106" s="718">
        <f t="shared" si="26"/>
        <v>19845.590639999999</v>
      </c>
      <c r="R106" s="718"/>
      <c r="S106" s="719"/>
      <c r="T106" s="718">
        <f t="shared" si="27"/>
        <v>19507.414655999997</v>
      </c>
      <c r="U106" s="718"/>
      <c r="V106" s="719"/>
      <c r="W106" s="718">
        <f t="shared" si="28"/>
        <v>19222.634879999998</v>
      </c>
      <c r="X106" s="718"/>
      <c r="Y106" s="719"/>
      <c r="Z106" s="718">
        <f t="shared" si="29"/>
        <v>18955.653839999999</v>
      </c>
      <c r="AA106" s="718"/>
      <c r="AB106" s="719"/>
      <c r="AC106" s="718">
        <f t="shared" si="30"/>
        <v>18457.289231999999</v>
      </c>
      <c r="AD106" s="718"/>
      <c r="AE106" s="719"/>
      <c r="AF106" s="718">
        <f t="shared" si="31"/>
        <v>17798.736000000001</v>
      </c>
      <c r="AG106" s="718"/>
      <c r="AH106" s="719"/>
      <c r="AI106" s="718">
        <f t="shared" si="32"/>
        <v>17390.351999999999</v>
      </c>
      <c r="AJ106" s="718"/>
      <c r="AK106" s="719"/>
      <c r="AL106" s="718">
        <f t="shared" si="33"/>
        <v>17390.351999999999</v>
      </c>
      <c r="AM106" s="718"/>
      <c r="AN106" s="719"/>
      <c r="AO106" s="718">
        <f t="shared" si="34"/>
        <v>17016</v>
      </c>
      <c r="AP106" s="718"/>
      <c r="AQ106" s="719"/>
      <c r="AR106" s="718">
        <f t="shared" si="35"/>
        <v>16603.929064717915</v>
      </c>
      <c r="AS106" s="718"/>
      <c r="AT106" s="719"/>
      <c r="AU106" s="77"/>
      <c r="AV106" s="77"/>
      <c r="AW106" s="258"/>
      <c r="AX106" s="259"/>
      <c r="AY106" s="91"/>
      <c r="AZ106" s="91"/>
      <c r="BA106" s="91"/>
      <c r="BB106" s="91"/>
      <c r="BC106" s="91"/>
      <c r="BD106" s="91"/>
      <c r="BE106" s="91"/>
      <c r="BF106" s="91"/>
      <c r="BG106" s="91"/>
      <c r="BH106" s="91"/>
      <c r="BI106" s="91"/>
      <c r="BJ106" s="91"/>
      <c r="BK106" s="91"/>
      <c r="BL106" s="91"/>
    </row>
    <row r="107" spans="1:64" s="748" customFormat="1" ht="16.5" thickBot="1">
      <c r="A107" s="91"/>
      <c r="B107" s="764">
        <v>25</v>
      </c>
      <c r="C107" s="811">
        <v>1</v>
      </c>
      <c r="D107" s="784" t="s">
        <v>197</v>
      </c>
      <c r="E107" s="785">
        <f t="shared" si="22"/>
        <v>0</v>
      </c>
      <c r="F107" s="785"/>
      <c r="G107" s="786"/>
      <c r="H107" s="785">
        <f t="shared" si="23"/>
        <v>0</v>
      </c>
      <c r="I107" s="785"/>
      <c r="J107" s="786"/>
      <c r="K107" s="785">
        <f t="shared" si="24"/>
        <v>0</v>
      </c>
      <c r="L107" s="785"/>
      <c r="M107" s="786"/>
      <c r="N107" s="785">
        <f t="shared" si="25"/>
        <v>0</v>
      </c>
      <c r="O107" s="785"/>
      <c r="P107" s="786"/>
      <c r="Q107" s="785">
        <f t="shared" si="26"/>
        <v>0</v>
      </c>
      <c r="R107" s="785"/>
      <c r="S107" s="786"/>
      <c r="T107" s="785">
        <f t="shared" si="27"/>
        <v>0</v>
      </c>
      <c r="U107" s="785"/>
      <c r="V107" s="786"/>
      <c r="W107" s="785">
        <f t="shared" si="28"/>
        <v>0</v>
      </c>
      <c r="X107" s="785"/>
      <c r="Y107" s="786"/>
      <c r="Z107" s="785">
        <f t="shared" si="29"/>
        <v>0</v>
      </c>
      <c r="AA107" s="785"/>
      <c r="AB107" s="786"/>
      <c r="AC107" s="785">
        <f t="shared" si="30"/>
        <v>0</v>
      </c>
      <c r="AD107" s="785"/>
      <c r="AE107" s="786"/>
      <c r="AF107" s="785">
        <f t="shared" si="31"/>
        <v>0</v>
      </c>
      <c r="AG107" s="785"/>
      <c r="AH107" s="786"/>
      <c r="AI107" s="785">
        <f t="shared" si="32"/>
        <v>0</v>
      </c>
      <c r="AJ107" s="770"/>
      <c r="AK107" s="767"/>
      <c r="AL107" s="770"/>
      <c r="AM107" s="770"/>
      <c r="AN107" s="767"/>
      <c r="AO107" s="718"/>
      <c r="AP107" s="718"/>
      <c r="AQ107" s="719"/>
      <c r="AR107" s="718"/>
      <c r="AS107" s="718"/>
      <c r="AT107" s="719"/>
      <c r="AU107" s="77"/>
      <c r="AV107" s="77"/>
      <c r="AW107" s="258"/>
      <c r="AX107" s="259"/>
      <c r="AY107" s="91"/>
      <c r="AZ107" s="91"/>
      <c r="BA107" s="91"/>
      <c r="BB107" s="91"/>
      <c r="BC107" s="91"/>
      <c r="BD107" s="91"/>
      <c r="BE107" s="91"/>
      <c r="BF107" s="91"/>
      <c r="BG107" s="91"/>
      <c r="BH107" s="91"/>
      <c r="BI107" s="91"/>
      <c r="BJ107" s="91"/>
      <c r="BK107" s="91"/>
      <c r="BL107" s="91"/>
    </row>
    <row r="108" spans="1:64">
      <c r="A108" s="91"/>
      <c r="B108" s="768">
        <v>29</v>
      </c>
      <c r="C108" s="769">
        <f>cantkm</f>
        <v>0</v>
      </c>
      <c r="D108" s="216" t="s">
        <v>102</v>
      </c>
      <c r="E108" s="216">
        <f t="shared" si="22"/>
        <v>0</v>
      </c>
      <c r="F108" s="216"/>
      <c r="G108" s="719">
        <f>G175</f>
        <v>804434.82997307403</v>
      </c>
      <c r="H108" s="216">
        <f t="shared" si="23"/>
        <v>0</v>
      </c>
      <c r="I108" s="216"/>
      <c r="J108" s="719">
        <f>J175</f>
        <v>773101.90095729707</v>
      </c>
      <c r="K108" s="216">
        <f t="shared" si="24"/>
        <v>0</v>
      </c>
      <c r="L108" s="216"/>
      <c r="M108" s="719">
        <f>M175</f>
        <v>749569</v>
      </c>
      <c r="N108" s="216">
        <f t="shared" si="25"/>
        <v>0</v>
      </c>
      <c r="O108" s="216"/>
      <c r="P108" s="719">
        <f>P175</f>
        <v>739333</v>
      </c>
      <c r="Q108" s="216">
        <f t="shared" si="26"/>
        <v>0</v>
      </c>
      <c r="R108" s="216"/>
      <c r="S108" s="719">
        <f>S175</f>
        <v>732054</v>
      </c>
      <c r="T108" s="216">
        <f t="shared" si="27"/>
        <v>0</v>
      </c>
      <c r="U108" s="216"/>
      <c r="V108" s="719">
        <f>V175</f>
        <v>718707.7</v>
      </c>
      <c r="W108" s="216">
        <f t="shared" si="28"/>
        <v>0</v>
      </c>
      <c r="X108" s="216"/>
      <c r="Y108" s="719">
        <f>Y175</f>
        <v>710583.25</v>
      </c>
      <c r="Z108" s="216">
        <f t="shared" si="29"/>
        <v>0</v>
      </c>
      <c r="AA108" s="216"/>
      <c r="AB108" s="719">
        <f>AB175</f>
        <v>713438.19</v>
      </c>
      <c r="AC108" s="216">
        <f t="shared" si="30"/>
        <v>0</v>
      </c>
      <c r="AD108" s="216"/>
      <c r="AE108" s="719">
        <f>AE175</f>
        <v>703957.23</v>
      </c>
      <c r="AF108" s="216">
        <f>AF175</f>
        <v>0</v>
      </c>
      <c r="AG108" s="216"/>
      <c r="AH108" s="719">
        <f>AH175</f>
        <v>664886</v>
      </c>
      <c r="AI108" s="216">
        <f>AI175</f>
        <v>0</v>
      </c>
      <c r="AJ108" s="216"/>
      <c r="AK108" s="207">
        <f>AK175</f>
        <v>643972</v>
      </c>
      <c r="AL108" s="216">
        <f>AL175</f>
        <v>0</v>
      </c>
      <c r="AM108" s="216"/>
      <c r="AN108" s="207">
        <f>AN175</f>
        <v>643971</v>
      </c>
      <c r="AO108" s="199">
        <f>AO175</f>
        <v>0</v>
      </c>
      <c r="AP108" s="199"/>
      <c r="AQ108" s="207">
        <f>AQ175</f>
        <v>638191</v>
      </c>
      <c r="AR108" s="199">
        <f>AR175</f>
        <v>0</v>
      </c>
      <c r="AS108" s="199"/>
      <c r="AT108" s="207">
        <f>AT175</f>
        <v>624011.31000000006</v>
      </c>
      <c r="AU108" s="77"/>
      <c r="AV108" s="77"/>
      <c r="AW108" s="258"/>
      <c r="AX108" s="259"/>
      <c r="AY108" s="91"/>
      <c r="AZ108" s="91"/>
      <c r="BA108" s="91"/>
      <c r="BB108" s="91"/>
      <c r="BC108" s="91"/>
      <c r="BD108" s="91"/>
      <c r="BE108" s="91"/>
      <c r="BF108" s="91"/>
      <c r="BG108" s="91"/>
      <c r="BH108" s="91"/>
      <c r="BI108" s="91"/>
      <c r="BJ108" s="91"/>
      <c r="BK108" s="91"/>
      <c r="BL108" s="91"/>
    </row>
    <row r="109" spans="1:64">
      <c r="A109" s="91"/>
      <c r="B109" s="203" t="s">
        <v>103</v>
      </c>
      <c r="C109" s="196" t="s">
        <v>104</v>
      </c>
      <c r="D109" s="196"/>
      <c r="E109" s="210">
        <v>0</v>
      </c>
      <c r="F109" s="196"/>
      <c r="G109" s="207">
        <f>G176</f>
        <v>369299.77462878567</v>
      </c>
      <c r="H109" s="210">
        <v>0</v>
      </c>
      <c r="I109" s="196"/>
      <c r="J109" s="207">
        <f>J176</f>
        <v>346258.71358073101</v>
      </c>
      <c r="K109" s="210">
        <v>0</v>
      </c>
      <c r="L109" s="196"/>
      <c r="M109" s="207">
        <f>M176</f>
        <v>330612.68217904441</v>
      </c>
      <c r="N109" s="210">
        <v>0</v>
      </c>
      <c r="O109" s="196"/>
      <c r="P109" s="207">
        <f>P176</f>
        <v>329807.3594594099</v>
      </c>
      <c r="Q109" s="210">
        <v>0</v>
      </c>
      <c r="R109" s="196"/>
      <c r="S109" s="207">
        <f>S176</f>
        <v>331453.69562875631</v>
      </c>
      <c r="T109" s="210">
        <v>0</v>
      </c>
      <c r="U109" s="196"/>
      <c r="V109" s="207">
        <f>V176</f>
        <v>324761.24497440469</v>
      </c>
      <c r="W109" s="210">
        <v>0</v>
      </c>
      <c r="X109" s="196"/>
      <c r="Y109" s="207">
        <f>Y176</f>
        <v>322857.05274707545</v>
      </c>
      <c r="Z109" s="210">
        <v>0</v>
      </c>
      <c r="AA109" s="196"/>
      <c r="AB109" s="207">
        <f>AB176</f>
        <v>333618.69675256638</v>
      </c>
      <c r="AC109" s="210">
        <v>0</v>
      </c>
      <c r="AD109" s="196"/>
      <c r="AE109" s="207">
        <f>AE176</f>
        <v>335961.91762572812</v>
      </c>
      <c r="AF109" s="210">
        <v>0</v>
      </c>
      <c r="AG109" s="196"/>
      <c r="AH109" s="207">
        <f>AH176</f>
        <v>307255.33436144737</v>
      </c>
      <c r="AI109" s="210">
        <v>0</v>
      </c>
      <c r="AJ109" s="196"/>
      <c r="AK109" s="207">
        <f>AK176</f>
        <v>293425.644162782</v>
      </c>
      <c r="AL109" s="210">
        <v>0</v>
      </c>
      <c r="AM109" s="196"/>
      <c r="AN109" s="207">
        <f>AN176</f>
        <v>293424.44598401373</v>
      </c>
      <c r="AO109" s="210">
        <v>0</v>
      </c>
      <c r="AP109" s="196"/>
      <c r="AQ109" s="207">
        <f>AQ176</f>
        <v>296792.21589242027</v>
      </c>
      <c r="AR109" s="210">
        <v>0</v>
      </c>
      <c r="AS109" s="196"/>
      <c r="AT109" s="207">
        <f>AT176</f>
        <v>291135.54960632796</v>
      </c>
      <c r="AU109" s="77"/>
      <c r="AV109" s="77"/>
      <c r="AW109" s="258"/>
      <c r="AX109" s="259"/>
      <c r="AY109" s="91"/>
      <c r="AZ109" s="91"/>
      <c r="BA109" s="91"/>
      <c r="BB109" s="91"/>
      <c r="BC109" s="91"/>
      <c r="BD109" s="91"/>
      <c r="BE109" s="91"/>
      <c r="BF109" s="91"/>
      <c r="BG109" s="91"/>
      <c r="BH109" s="91"/>
      <c r="BI109" s="91"/>
      <c r="BJ109" s="91"/>
      <c r="BK109" s="91"/>
      <c r="BL109" s="91"/>
    </row>
    <row r="110" spans="1:64">
      <c r="A110" s="91"/>
      <c r="B110" s="198"/>
      <c r="C110" s="199"/>
      <c r="D110" s="211" t="s">
        <v>105</v>
      </c>
      <c r="E110" s="211">
        <f>E177</f>
        <v>798719.06794871809</v>
      </c>
      <c r="F110" s="211"/>
      <c r="G110" s="212"/>
      <c r="H110" s="211">
        <f>H177</f>
        <v>767608.76923076925</v>
      </c>
      <c r="I110" s="211"/>
      <c r="J110" s="212"/>
      <c r="K110" s="211">
        <f>K177</f>
        <v>744243.07692307699</v>
      </c>
      <c r="L110" s="211"/>
      <c r="M110" s="212"/>
      <c r="N110" s="211">
        <f>N177</f>
        <v>734079.48717948713</v>
      </c>
      <c r="O110" s="211"/>
      <c r="P110" s="212"/>
      <c r="Q110" s="211">
        <f>Q177</f>
        <v>726852.56410256401</v>
      </c>
      <c r="R110" s="211"/>
      <c r="S110" s="212"/>
      <c r="T110" s="211">
        <f>T177</f>
        <v>713601.02564102574</v>
      </c>
      <c r="U110" s="211"/>
      <c r="V110" s="212"/>
      <c r="W110" s="211">
        <f>W177</f>
        <v>705524.48717948713</v>
      </c>
      <c r="X110" s="211"/>
      <c r="Y110" s="212"/>
      <c r="Z110" s="211">
        <f>Z177</f>
        <v>708359.1025641025</v>
      </c>
      <c r="AA110" s="211"/>
      <c r="AB110" s="212"/>
      <c r="AC110" s="211">
        <f>AC177</f>
        <v>698945.641025641</v>
      </c>
      <c r="AD110" s="211"/>
      <c r="AE110" s="212"/>
      <c r="AF110" s="211">
        <f t="shared" ref="AF110:AF114" si="50">AF177</f>
        <v>660152.56410256424</v>
      </c>
      <c r="AG110" s="211"/>
      <c r="AH110" s="212"/>
      <c r="AI110" s="211">
        <f t="shared" ref="AI110:AI114" si="51">AI177</f>
        <v>639387.1794871795</v>
      </c>
      <c r="AJ110" s="211"/>
      <c r="AK110" s="212"/>
      <c r="AL110" s="211">
        <f t="shared" ref="AL110:AL114" si="52">AL177</f>
        <v>639387.1794871795</v>
      </c>
      <c r="AM110" s="211"/>
      <c r="AN110" s="212"/>
      <c r="AO110" s="211">
        <f t="shared" ref="AO110:AO114" si="53">AO177</f>
        <v>633647.94871794875</v>
      </c>
      <c r="AP110" s="211"/>
      <c r="AQ110" s="212"/>
      <c r="AR110" s="211">
        <f t="shared" ref="AR110:AR114" si="54">AR177</f>
        <v>619568.14102564112</v>
      </c>
      <c r="AS110" s="211"/>
      <c r="AT110" s="212"/>
      <c r="AU110" s="77"/>
      <c r="AV110" s="77"/>
      <c r="AW110" s="258"/>
      <c r="AX110" s="259"/>
      <c r="AY110" s="91"/>
      <c r="AZ110" s="91"/>
      <c r="BA110" s="91"/>
      <c r="BB110" s="91"/>
      <c r="BC110" s="91"/>
      <c r="BD110" s="91"/>
      <c r="BE110" s="91"/>
      <c r="BF110" s="91"/>
      <c r="BG110" s="91"/>
      <c r="BH110" s="91"/>
      <c r="BI110" s="91"/>
      <c r="BJ110" s="91"/>
      <c r="BK110" s="91"/>
      <c r="BL110" s="91"/>
    </row>
    <row r="111" spans="1:64">
      <c r="A111" s="91"/>
      <c r="B111" s="203">
        <v>184</v>
      </c>
      <c r="C111" s="209">
        <v>1</v>
      </c>
      <c r="D111" s="196" t="s">
        <v>196</v>
      </c>
      <c r="E111" s="196">
        <f>E178</f>
        <v>36752.400000000001</v>
      </c>
      <c r="F111" s="196"/>
      <c r="G111" s="197"/>
      <c r="H111" s="196">
        <f>H178</f>
        <v>36752.400000000001</v>
      </c>
      <c r="I111" s="196"/>
      <c r="J111" s="197"/>
      <c r="K111" s="196">
        <f>K178</f>
        <v>36752.400000000001</v>
      </c>
      <c r="L111" s="196"/>
      <c r="M111" s="197"/>
      <c r="N111" s="196">
        <f>N178</f>
        <v>36752.400000000001</v>
      </c>
      <c r="O111" s="196"/>
      <c r="P111" s="197"/>
      <c r="Q111" s="196">
        <f>Q178</f>
        <v>36752.400000000001</v>
      </c>
      <c r="R111" s="196"/>
      <c r="S111" s="197"/>
      <c r="T111" s="196">
        <f>T178</f>
        <v>36752.400000000001</v>
      </c>
      <c r="U111" s="196"/>
      <c r="V111" s="197"/>
      <c r="W111" s="196">
        <f>W178</f>
        <v>36752.400000000001</v>
      </c>
      <c r="X111" s="196"/>
      <c r="Y111" s="197"/>
      <c r="Z111" s="196">
        <f>Z178</f>
        <v>36752.400000000001</v>
      </c>
      <c r="AA111" s="196"/>
      <c r="AB111" s="197"/>
      <c r="AC111" s="196">
        <f>AC178</f>
        <v>36752.400000000001</v>
      </c>
      <c r="AD111" s="196"/>
      <c r="AE111" s="197"/>
      <c r="AF111" s="196">
        <f t="shared" si="50"/>
        <v>36752.400000000001</v>
      </c>
      <c r="AG111" s="196"/>
      <c r="AH111" s="197"/>
      <c r="AI111" s="196">
        <f t="shared" si="51"/>
        <v>36752.400000000001</v>
      </c>
      <c r="AJ111" s="196"/>
      <c r="AK111" s="197"/>
      <c r="AL111" s="196">
        <f t="shared" si="52"/>
        <v>33200</v>
      </c>
      <c r="AM111" s="196"/>
      <c r="AN111" s="197"/>
      <c r="AO111" s="196">
        <f t="shared" si="53"/>
        <v>33200</v>
      </c>
      <c r="AP111" s="196"/>
      <c r="AQ111" s="197"/>
      <c r="AR111" s="196">
        <f t="shared" si="54"/>
        <v>33200</v>
      </c>
      <c r="AS111" s="196"/>
      <c r="AT111" s="197"/>
      <c r="AU111" s="77"/>
      <c r="AV111" s="77"/>
      <c r="AW111" s="258"/>
      <c r="AX111" s="259"/>
      <c r="AY111" s="91"/>
      <c r="AZ111" s="91"/>
      <c r="BA111" s="91"/>
      <c r="BB111" s="91"/>
      <c r="BC111" s="91"/>
      <c r="BD111" s="91"/>
      <c r="BE111" s="91"/>
      <c r="BF111" s="91"/>
      <c r="BG111" s="91"/>
      <c r="BH111" s="91"/>
      <c r="BI111" s="91"/>
      <c r="BJ111" s="91"/>
      <c r="BK111" s="91"/>
      <c r="BL111" s="91"/>
    </row>
    <row r="112" spans="1:64">
      <c r="A112" s="91"/>
      <c r="B112" s="203">
        <v>99</v>
      </c>
      <c r="C112" s="196"/>
      <c r="D112" s="196"/>
      <c r="E112" s="210">
        <v>0</v>
      </c>
      <c r="F112" s="196"/>
      <c r="G112" s="197"/>
      <c r="H112" s="210">
        <v>0</v>
      </c>
      <c r="I112" s="196"/>
      <c r="J112" s="197"/>
      <c r="K112" s="210">
        <v>0</v>
      </c>
      <c r="L112" s="196"/>
      <c r="M112" s="197"/>
      <c r="N112" s="210">
        <v>0</v>
      </c>
      <c r="O112" s="196"/>
      <c r="P112" s="197"/>
      <c r="Q112" s="210">
        <v>0</v>
      </c>
      <c r="R112" s="196"/>
      <c r="S112" s="197"/>
      <c r="T112" s="210">
        <v>0</v>
      </c>
      <c r="U112" s="196"/>
      <c r="V112" s="197"/>
      <c r="W112" s="210">
        <v>0</v>
      </c>
      <c r="X112" s="196"/>
      <c r="Y112" s="197"/>
      <c r="Z112" s="210">
        <v>0</v>
      </c>
      <c r="AA112" s="196"/>
      <c r="AB112" s="197"/>
      <c r="AC112" s="210">
        <v>0</v>
      </c>
      <c r="AD112" s="196"/>
      <c r="AE112" s="197"/>
      <c r="AF112" s="210">
        <v>0</v>
      </c>
      <c r="AG112" s="196"/>
      <c r="AH112" s="197"/>
      <c r="AI112" s="210">
        <v>0</v>
      </c>
      <c r="AJ112" s="196"/>
      <c r="AK112" s="197"/>
      <c r="AL112" s="210">
        <v>0</v>
      </c>
      <c r="AM112" s="196"/>
      <c r="AN112" s="197"/>
      <c r="AO112" s="210">
        <v>0</v>
      </c>
      <c r="AP112" s="196"/>
      <c r="AQ112" s="197"/>
      <c r="AR112" s="210">
        <v>0</v>
      </c>
      <c r="AS112" s="196"/>
      <c r="AT112" s="197"/>
      <c r="AU112" s="77"/>
      <c r="AV112" s="77"/>
      <c r="AW112" s="258"/>
      <c r="AX112" s="259"/>
      <c r="AY112" s="91"/>
      <c r="AZ112" s="91"/>
      <c r="BA112" s="91"/>
      <c r="BB112" s="91"/>
      <c r="BC112" s="91"/>
      <c r="BD112" s="91"/>
      <c r="BE112" s="91"/>
      <c r="BF112" s="91"/>
      <c r="BG112" s="91"/>
      <c r="BH112" s="91"/>
      <c r="BI112" s="91"/>
      <c r="BJ112" s="91"/>
      <c r="BK112" s="91"/>
      <c r="BL112" s="91"/>
    </row>
    <row r="113" spans="1:64">
      <c r="A113" s="91"/>
      <c r="B113" s="198">
        <v>204</v>
      </c>
      <c r="C113" s="213">
        <v>1</v>
      </c>
      <c r="D113" s="199" t="s">
        <v>195</v>
      </c>
      <c r="E113" s="199">
        <f>E180</f>
        <v>27453.599999999999</v>
      </c>
      <c r="F113" s="199"/>
      <c r="G113" s="197"/>
      <c r="H113" s="199">
        <f>H180</f>
        <v>27453.599999999999</v>
      </c>
      <c r="I113" s="199"/>
      <c r="J113" s="197"/>
      <c r="K113" s="199">
        <f>K180</f>
        <v>27453.599999999999</v>
      </c>
      <c r="L113" s="199"/>
      <c r="M113" s="197"/>
      <c r="N113" s="199">
        <f>N180</f>
        <v>27453.599999999999</v>
      </c>
      <c r="O113" s="199"/>
      <c r="P113" s="197"/>
      <c r="Q113" s="199">
        <f>Q180</f>
        <v>27453.599999999999</v>
      </c>
      <c r="R113" s="199"/>
      <c r="S113" s="197"/>
      <c r="T113" s="199">
        <f>T180</f>
        <v>27453.599999999999</v>
      </c>
      <c r="U113" s="199"/>
      <c r="V113" s="197"/>
      <c r="W113" s="199">
        <f>W180</f>
        <v>27453.599999999999</v>
      </c>
      <c r="X113" s="199"/>
      <c r="Y113" s="197"/>
      <c r="Z113" s="199">
        <f>Z180</f>
        <v>27453.599999999999</v>
      </c>
      <c r="AA113" s="199"/>
      <c r="AB113" s="197"/>
      <c r="AC113" s="199">
        <f>AC180</f>
        <v>27453.599999999999</v>
      </c>
      <c r="AD113" s="199"/>
      <c r="AE113" s="197"/>
      <c r="AF113" s="199">
        <f t="shared" si="50"/>
        <v>27453.599999999999</v>
      </c>
      <c r="AG113" s="199"/>
      <c r="AH113" s="197"/>
      <c r="AI113" s="199">
        <f t="shared" si="51"/>
        <v>27453.599999999999</v>
      </c>
      <c r="AJ113" s="199"/>
      <c r="AK113" s="197"/>
      <c r="AL113" s="199">
        <f t="shared" si="52"/>
        <v>24800</v>
      </c>
      <c r="AM113" s="199"/>
      <c r="AN113" s="197"/>
      <c r="AO113" s="199">
        <f t="shared" si="53"/>
        <v>24800</v>
      </c>
      <c r="AP113" s="199"/>
      <c r="AQ113" s="197"/>
      <c r="AR113" s="199">
        <f t="shared" si="54"/>
        <v>24800</v>
      </c>
      <c r="AS113" s="199"/>
      <c r="AT113" s="197"/>
      <c r="AU113" s="77"/>
      <c r="AV113" s="77"/>
      <c r="AW113" s="258"/>
      <c r="AX113" s="259"/>
      <c r="AY113" s="91"/>
      <c r="AZ113" s="91"/>
      <c r="BA113" s="91"/>
      <c r="BB113" s="91"/>
      <c r="BC113" s="91"/>
      <c r="BD113" s="91"/>
      <c r="BE113" s="91"/>
      <c r="BF113" s="91"/>
      <c r="BG113" s="91"/>
      <c r="BH113" s="91"/>
      <c r="BI113" s="91"/>
      <c r="BJ113" s="91"/>
      <c r="BK113" s="91"/>
      <c r="BL113" s="91"/>
    </row>
    <row r="114" spans="1:64">
      <c r="A114" s="91"/>
      <c r="B114" s="203"/>
      <c r="C114" s="196"/>
      <c r="D114" s="214" t="s">
        <v>107</v>
      </c>
      <c r="E114" s="214">
        <f>E181</f>
        <v>862925.06794871809</v>
      </c>
      <c r="F114" s="214"/>
      <c r="G114" s="215"/>
      <c r="H114" s="214">
        <f>H181</f>
        <v>831814.76923076925</v>
      </c>
      <c r="I114" s="214"/>
      <c r="J114" s="215"/>
      <c r="K114" s="214">
        <f>K181</f>
        <v>808449.07692307699</v>
      </c>
      <c r="L114" s="214"/>
      <c r="M114" s="215"/>
      <c r="N114" s="214">
        <f>N181</f>
        <v>798285.48717948713</v>
      </c>
      <c r="O114" s="214"/>
      <c r="P114" s="215"/>
      <c r="Q114" s="214">
        <f>Q181</f>
        <v>791058.56410256401</v>
      </c>
      <c r="R114" s="214"/>
      <c r="S114" s="215"/>
      <c r="T114" s="214">
        <f>T181</f>
        <v>777807.02564102574</v>
      </c>
      <c r="U114" s="214"/>
      <c r="V114" s="215"/>
      <c r="W114" s="214">
        <f>W181</f>
        <v>769730.48717948713</v>
      </c>
      <c r="X114" s="214"/>
      <c r="Y114" s="215"/>
      <c r="Z114" s="214">
        <f>Z181</f>
        <v>772565.1025641025</v>
      </c>
      <c r="AA114" s="214"/>
      <c r="AB114" s="215"/>
      <c r="AC114" s="214">
        <f>AC181</f>
        <v>763151.641025641</v>
      </c>
      <c r="AD114" s="214"/>
      <c r="AE114" s="215"/>
      <c r="AF114" s="214">
        <f t="shared" si="50"/>
        <v>724358.56410256424</v>
      </c>
      <c r="AG114" s="214"/>
      <c r="AH114" s="215"/>
      <c r="AI114" s="214">
        <f t="shared" si="51"/>
        <v>703593.1794871795</v>
      </c>
      <c r="AJ114" s="214"/>
      <c r="AK114" s="215"/>
      <c r="AL114" s="214">
        <f t="shared" si="52"/>
        <v>697387.1794871795</v>
      </c>
      <c r="AM114" s="214"/>
      <c r="AN114" s="215"/>
      <c r="AO114" s="214">
        <f t="shared" si="53"/>
        <v>691647.94871794875</v>
      </c>
      <c r="AP114" s="214"/>
      <c r="AQ114" s="215"/>
      <c r="AR114" s="214">
        <f t="shared" si="54"/>
        <v>677568.14102564112</v>
      </c>
      <c r="AS114" s="214"/>
      <c r="AT114" s="215"/>
      <c r="AU114" s="77"/>
      <c r="AV114" s="77"/>
      <c r="AW114" s="258"/>
      <c r="AX114" s="259"/>
      <c r="AY114" s="91"/>
      <c r="AZ114" s="91"/>
      <c r="BA114" s="91"/>
      <c r="BB114" s="91"/>
      <c r="BC114" s="91"/>
      <c r="BD114" s="91"/>
      <c r="BE114" s="91"/>
      <c r="BF114" s="91"/>
      <c r="BG114" s="91"/>
      <c r="BH114" s="91"/>
      <c r="BI114" s="91"/>
      <c r="BJ114" s="91"/>
      <c r="BK114" s="91"/>
      <c r="BL114" s="91"/>
    </row>
    <row r="115" spans="1:64">
      <c r="A115" s="91"/>
      <c r="B115" s="198">
        <v>440</v>
      </c>
      <c r="C115" s="199"/>
      <c r="D115" s="216" t="s">
        <v>108</v>
      </c>
      <c r="E115" s="217">
        <v>0</v>
      </c>
      <c r="F115" s="199">
        <f t="shared" ref="F115:F121" si="55">F182</f>
        <v>0</v>
      </c>
      <c r="G115" s="197"/>
      <c r="H115" s="217">
        <v>0</v>
      </c>
      <c r="I115" s="199">
        <f t="shared" ref="I115:I121" si="56">I182</f>
        <v>0</v>
      </c>
      <c r="J115" s="197"/>
      <c r="K115" s="217">
        <v>0</v>
      </c>
      <c r="L115" s="199">
        <f t="shared" ref="L115:L121" si="57">L182</f>
        <v>0</v>
      </c>
      <c r="M115" s="197"/>
      <c r="N115" s="217">
        <v>0</v>
      </c>
      <c r="O115" s="199">
        <f t="shared" ref="O115:O121" si="58">O182</f>
        <v>0</v>
      </c>
      <c r="P115" s="197"/>
      <c r="Q115" s="217">
        <v>0</v>
      </c>
      <c r="R115" s="199">
        <f t="shared" ref="R115:R121" si="59">R182</f>
        <v>0</v>
      </c>
      <c r="S115" s="197"/>
      <c r="T115" s="217">
        <v>0</v>
      </c>
      <c r="U115" s="199">
        <f t="shared" ref="U115:U121" si="60">U182</f>
        <v>0</v>
      </c>
      <c r="V115" s="197"/>
      <c r="W115" s="217">
        <v>0</v>
      </c>
      <c r="X115" s="199">
        <f t="shared" ref="X115:X121" si="61">X182</f>
        <v>0</v>
      </c>
      <c r="Y115" s="197"/>
      <c r="Z115" s="217">
        <v>0</v>
      </c>
      <c r="AA115" s="199">
        <f t="shared" ref="AA115:AA121" si="62">AA182</f>
        <v>0</v>
      </c>
      <c r="AB115" s="197"/>
      <c r="AC115" s="217">
        <v>0</v>
      </c>
      <c r="AD115" s="199">
        <f t="shared" ref="AD115:AD121" si="63">AD182</f>
        <v>0</v>
      </c>
      <c r="AE115" s="197"/>
      <c r="AF115" s="217">
        <v>0</v>
      </c>
      <c r="AG115" s="199">
        <f t="shared" ref="AG115:AG121" si="64">AG182</f>
        <v>0</v>
      </c>
      <c r="AH115" s="197"/>
      <c r="AI115" s="217">
        <v>0</v>
      </c>
      <c r="AJ115" s="199">
        <f t="shared" ref="AJ115:AJ121" si="65">AJ182</f>
        <v>0</v>
      </c>
      <c r="AK115" s="197"/>
      <c r="AL115" s="217">
        <v>0</v>
      </c>
      <c r="AM115" s="199">
        <f t="shared" ref="AM115:AM121" si="66">AM182</f>
        <v>0</v>
      </c>
      <c r="AN115" s="197"/>
      <c r="AO115" s="217">
        <v>0</v>
      </c>
      <c r="AP115" s="199">
        <f t="shared" ref="AP115:AP121" si="67">AP182</f>
        <v>0</v>
      </c>
      <c r="AQ115" s="197"/>
      <c r="AR115" s="217">
        <v>0</v>
      </c>
      <c r="AS115" s="199">
        <f t="shared" ref="AS115:AS121" si="68">AS182</f>
        <v>0</v>
      </c>
      <c r="AT115" s="197"/>
      <c r="AU115" s="77"/>
      <c r="AV115" s="77"/>
      <c r="AW115" s="258"/>
      <c r="AX115" s="259"/>
      <c r="AY115" s="91"/>
      <c r="AZ115" s="91"/>
      <c r="BA115" s="91"/>
      <c r="BB115" s="91"/>
      <c r="BC115" s="91"/>
      <c r="BD115" s="91"/>
      <c r="BE115" s="91"/>
      <c r="BF115" s="91"/>
      <c r="BG115" s="91"/>
      <c r="BH115" s="91"/>
      <c r="BI115" s="91"/>
      <c r="BJ115" s="91"/>
      <c r="BK115" s="91"/>
      <c r="BL115" s="91"/>
    </row>
    <row r="116" spans="1:64">
      <c r="A116" s="91"/>
      <c r="B116" s="203">
        <v>502</v>
      </c>
      <c r="C116" s="218" t="s">
        <v>109</v>
      </c>
      <c r="D116" s="196" t="s">
        <v>110</v>
      </c>
      <c r="E116" s="196"/>
      <c r="F116" s="196">
        <f t="shared" si="55"/>
        <v>-151756.62291025644</v>
      </c>
      <c r="G116" s="197"/>
      <c r="H116" s="196"/>
      <c r="I116" s="196">
        <f t="shared" si="56"/>
        <v>-145845.66615384616</v>
      </c>
      <c r="J116" s="197"/>
      <c r="K116" s="196"/>
      <c r="L116" s="196">
        <f t="shared" si="57"/>
        <v>-141406.18461538461</v>
      </c>
      <c r="M116" s="197"/>
      <c r="N116" s="196"/>
      <c r="O116" s="196">
        <f t="shared" si="58"/>
        <v>-139475.10256410256</v>
      </c>
      <c r="P116" s="197"/>
      <c r="Q116" s="196"/>
      <c r="R116" s="196">
        <f t="shared" si="59"/>
        <v>-138101.98717948719</v>
      </c>
      <c r="S116" s="197"/>
      <c r="T116" s="196"/>
      <c r="U116" s="196">
        <f t="shared" si="60"/>
        <v>-135584.19487179487</v>
      </c>
      <c r="V116" s="197"/>
      <c r="W116" s="196"/>
      <c r="X116" s="196">
        <f t="shared" si="61"/>
        <v>-134049.65256410255</v>
      </c>
      <c r="Y116" s="197"/>
      <c r="Z116" s="196"/>
      <c r="AA116" s="196">
        <f t="shared" si="62"/>
        <v>-134588.22948717949</v>
      </c>
      <c r="AB116" s="197"/>
      <c r="AC116" s="196"/>
      <c r="AD116" s="196">
        <f t="shared" si="63"/>
        <v>-132799.6717948718</v>
      </c>
      <c r="AE116" s="197"/>
      <c r="AF116" s="196"/>
      <c r="AG116" s="196">
        <f t="shared" si="64"/>
        <v>-125428.98717948719</v>
      </c>
      <c r="AH116" s="197"/>
      <c r="AI116" s="196"/>
      <c r="AJ116" s="196">
        <f t="shared" si="65"/>
        <v>-121483.56410256409</v>
      </c>
      <c r="AK116" s="197"/>
      <c r="AL116" s="196"/>
      <c r="AM116" s="196">
        <f t="shared" si="66"/>
        <v>-121483.56410256409</v>
      </c>
      <c r="AN116" s="197"/>
      <c r="AO116" s="196"/>
      <c r="AP116" s="196">
        <f t="shared" si="67"/>
        <v>-120393.11025641026</v>
      </c>
      <c r="AQ116" s="197"/>
      <c r="AR116" s="196"/>
      <c r="AS116" s="196">
        <f t="shared" si="68"/>
        <v>-117717.94679487179</v>
      </c>
      <c r="AT116" s="197"/>
      <c r="AU116" s="77"/>
      <c r="AV116" s="77"/>
      <c r="AW116" s="258"/>
      <c r="AX116" s="259"/>
      <c r="AY116" s="91"/>
      <c r="AZ116" s="91"/>
      <c r="BA116" s="91"/>
      <c r="BB116" s="91"/>
      <c r="BC116" s="91"/>
      <c r="BD116" s="91"/>
      <c r="BE116" s="91"/>
      <c r="BF116" s="91"/>
      <c r="BG116" s="91"/>
      <c r="BH116" s="91"/>
      <c r="BI116" s="91"/>
      <c r="BJ116" s="91"/>
      <c r="BK116" s="91"/>
      <c r="BL116" s="91"/>
    </row>
    <row r="117" spans="1:64">
      <c r="A117" s="91"/>
      <c r="B117" s="203">
        <v>505</v>
      </c>
      <c r="C117" s="219">
        <v>0.03</v>
      </c>
      <c r="D117" s="196" t="s">
        <v>111</v>
      </c>
      <c r="E117" s="196"/>
      <c r="F117" s="196">
        <f t="shared" si="55"/>
        <v>-23961.572038461542</v>
      </c>
      <c r="G117" s="197"/>
      <c r="H117" s="196"/>
      <c r="I117" s="196">
        <f t="shared" si="56"/>
        <v>-23028.263076923078</v>
      </c>
      <c r="J117" s="197"/>
      <c r="K117" s="196"/>
      <c r="L117" s="196">
        <f t="shared" si="57"/>
        <v>-22327.292307692307</v>
      </c>
      <c r="M117" s="197"/>
      <c r="N117" s="196"/>
      <c r="O117" s="196">
        <f t="shared" si="58"/>
        <v>-22022.384615384613</v>
      </c>
      <c r="P117" s="197"/>
      <c r="Q117" s="196"/>
      <c r="R117" s="196">
        <f t="shared" si="59"/>
        <v>-21805.576923076922</v>
      </c>
      <c r="S117" s="197"/>
      <c r="T117" s="196"/>
      <c r="U117" s="196">
        <f t="shared" si="60"/>
        <v>-21408.030769230769</v>
      </c>
      <c r="V117" s="197"/>
      <c r="W117" s="196"/>
      <c r="X117" s="196">
        <f t="shared" si="61"/>
        <v>-21165.734615384616</v>
      </c>
      <c r="Y117" s="197"/>
      <c r="Z117" s="196"/>
      <c r="AA117" s="196">
        <f t="shared" si="62"/>
        <v>-21250.773076923077</v>
      </c>
      <c r="AB117" s="197"/>
      <c r="AC117" s="196"/>
      <c r="AD117" s="196">
        <f t="shared" si="63"/>
        <v>-20968.369230769229</v>
      </c>
      <c r="AE117" s="197"/>
      <c r="AF117" s="196"/>
      <c r="AG117" s="196">
        <f t="shared" si="64"/>
        <v>-19804.576923076922</v>
      </c>
      <c r="AH117" s="197"/>
      <c r="AI117" s="196"/>
      <c r="AJ117" s="196">
        <f t="shared" si="65"/>
        <v>-19181.615384615383</v>
      </c>
      <c r="AK117" s="197"/>
      <c r="AL117" s="196"/>
      <c r="AM117" s="196">
        <f t="shared" si="66"/>
        <v>-19181.615384615383</v>
      </c>
      <c r="AN117" s="197"/>
      <c r="AO117" s="196"/>
      <c r="AP117" s="196">
        <f t="shared" si="67"/>
        <v>-19009.438461538459</v>
      </c>
      <c r="AQ117" s="197"/>
      <c r="AR117" s="196"/>
      <c r="AS117" s="196">
        <f t="shared" si="68"/>
        <v>-18587.044230769228</v>
      </c>
      <c r="AT117" s="197"/>
      <c r="AU117" s="77"/>
      <c r="AV117" s="77"/>
      <c r="AW117" s="258"/>
      <c r="AX117" s="259"/>
      <c r="AY117" s="91"/>
      <c r="AZ117" s="91"/>
      <c r="BA117" s="91"/>
      <c r="BB117" s="91"/>
      <c r="BC117" s="91"/>
      <c r="BD117" s="91"/>
      <c r="BE117" s="91"/>
      <c r="BF117" s="91"/>
      <c r="BG117" s="91"/>
      <c r="BH117" s="91"/>
      <c r="BI117" s="91"/>
      <c r="BJ117" s="91"/>
      <c r="BK117" s="91"/>
      <c r="BL117" s="91"/>
    </row>
    <row r="118" spans="1:64">
      <c r="A118" s="91"/>
      <c r="B118" s="198">
        <v>510</v>
      </c>
      <c r="C118" s="199"/>
      <c r="D118" s="199" t="s">
        <v>112</v>
      </c>
      <c r="E118" s="217">
        <v>0</v>
      </c>
      <c r="F118" s="199">
        <f t="shared" si="55"/>
        <v>0</v>
      </c>
      <c r="G118" s="197"/>
      <c r="H118" s="217">
        <v>0</v>
      </c>
      <c r="I118" s="199">
        <f t="shared" si="56"/>
        <v>0</v>
      </c>
      <c r="J118" s="197"/>
      <c r="K118" s="217">
        <v>0</v>
      </c>
      <c r="L118" s="199">
        <f t="shared" si="57"/>
        <v>0</v>
      </c>
      <c r="M118" s="197"/>
      <c r="N118" s="217">
        <v>0</v>
      </c>
      <c r="O118" s="199">
        <f t="shared" si="58"/>
        <v>0</v>
      </c>
      <c r="P118" s="197"/>
      <c r="Q118" s="217">
        <v>0</v>
      </c>
      <c r="R118" s="199">
        <f t="shared" si="59"/>
        <v>0</v>
      </c>
      <c r="S118" s="197"/>
      <c r="T118" s="217">
        <v>0</v>
      </c>
      <c r="U118" s="199">
        <f t="shared" si="60"/>
        <v>0</v>
      </c>
      <c r="V118" s="197"/>
      <c r="W118" s="217">
        <v>0</v>
      </c>
      <c r="X118" s="199">
        <f t="shared" si="61"/>
        <v>0</v>
      </c>
      <c r="Y118" s="197"/>
      <c r="Z118" s="217">
        <v>0</v>
      </c>
      <c r="AA118" s="199">
        <f t="shared" si="62"/>
        <v>0</v>
      </c>
      <c r="AB118" s="197"/>
      <c r="AC118" s="217">
        <v>0</v>
      </c>
      <c r="AD118" s="199">
        <f t="shared" si="63"/>
        <v>0</v>
      </c>
      <c r="AE118" s="197"/>
      <c r="AF118" s="217">
        <v>0</v>
      </c>
      <c r="AG118" s="199">
        <f t="shared" si="64"/>
        <v>0</v>
      </c>
      <c r="AH118" s="197"/>
      <c r="AI118" s="217">
        <v>0</v>
      </c>
      <c r="AJ118" s="199">
        <f t="shared" si="65"/>
        <v>0</v>
      </c>
      <c r="AK118" s="197"/>
      <c r="AL118" s="217">
        <v>0</v>
      </c>
      <c r="AM118" s="199">
        <f t="shared" si="66"/>
        <v>0</v>
      </c>
      <c r="AN118" s="197"/>
      <c r="AO118" s="217">
        <v>0</v>
      </c>
      <c r="AP118" s="199">
        <f t="shared" si="67"/>
        <v>0</v>
      </c>
      <c r="AQ118" s="197"/>
      <c r="AR118" s="217">
        <v>0</v>
      </c>
      <c r="AS118" s="199">
        <f t="shared" si="68"/>
        <v>0</v>
      </c>
      <c r="AT118" s="197"/>
      <c r="AU118" s="77"/>
      <c r="AV118" s="77"/>
      <c r="AW118" s="258"/>
      <c r="AX118" s="259"/>
      <c r="AY118" s="91"/>
      <c r="AZ118" s="91"/>
      <c r="BA118" s="91"/>
      <c r="BB118" s="91"/>
      <c r="BC118" s="91"/>
      <c r="BD118" s="91"/>
      <c r="BE118" s="91"/>
      <c r="BF118" s="91"/>
      <c r="BG118" s="91"/>
      <c r="BH118" s="91"/>
      <c r="BI118" s="91"/>
      <c r="BJ118" s="91"/>
      <c r="BK118" s="91"/>
      <c r="BL118" s="91"/>
    </row>
    <row r="119" spans="1:64">
      <c r="A119" s="91"/>
      <c r="B119" s="203">
        <v>332</v>
      </c>
      <c r="C119" s="220">
        <v>0</v>
      </c>
      <c r="D119" s="196" t="s">
        <v>113</v>
      </c>
      <c r="E119" s="196"/>
      <c r="F119" s="196">
        <f t="shared" si="55"/>
        <v>0</v>
      </c>
      <c r="G119" s="197"/>
      <c r="H119" s="196"/>
      <c r="I119" s="196">
        <f t="shared" si="56"/>
        <v>0</v>
      </c>
      <c r="J119" s="197"/>
      <c r="K119" s="196"/>
      <c r="L119" s="196">
        <f t="shared" si="57"/>
        <v>0</v>
      </c>
      <c r="M119" s="197"/>
      <c r="N119" s="196"/>
      <c r="O119" s="196">
        <f t="shared" si="58"/>
        <v>0</v>
      </c>
      <c r="P119" s="197"/>
      <c r="Q119" s="196"/>
      <c r="R119" s="196">
        <f t="shared" si="59"/>
        <v>0</v>
      </c>
      <c r="S119" s="197"/>
      <c r="T119" s="196"/>
      <c r="U119" s="196">
        <f t="shared" si="60"/>
        <v>0</v>
      </c>
      <c r="V119" s="197"/>
      <c r="W119" s="196"/>
      <c r="X119" s="196">
        <f t="shared" si="61"/>
        <v>0</v>
      </c>
      <c r="Y119" s="197"/>
      <c r="Z119" s="196"/>
      <c r="AA119" s="196">
        <f t="shared" si="62"/>
        <v>0</v>
      </c>
      <c r="AB119" s="197"/>
      <c r="AC119" s="196"/>
      <c r="AD119" s="196">
        <f t="shared" si="63"/>
        <v>0</v>
      </c>
      <c r="AE119" s="197"/>
      <c r="AF119" s="196"/>
      <c r="AG119" s="196">
        <f t="shared" si="64"/>
        <v>0</v>
      </c>
      <c r="AH119" s="197"/>
      <c r="AI119" s="196"/>
      <c r="AJ119" s="196">
        <f t="shared" si="65"/>
        <v>0</v>
      </c>
      <c r="AK119" s="197"/>
      <c r="AL119" s="196"/>
      <c r="AM119" s="196">
        <f t="shared" si="66"/>
        <v>0</v>
      </c>
      <c r="AN119" s="197"/>
      <c r="AO119" s="196"/>
      <c r="AP119" s="196">
        <f t="shared" si="67"/>
        <v>0</v>
      </c>
      <c r="AQ119" s="197"/>
      <c r="AR119" s="196"/>
      <c r="AS119" s="196">
        <f t="shared" si="68"/>
        <v>0</v>
      </c>
      <c r="AT119" s="197"/>
      <c r="AU119" s="77"/>
      <c r="AV119" s="77"/>
      <c r="AW119" s="258"/>
      <c r="AX119" s="259"/>
      <c r="AY119" s="91"/>
      <c r="AZ119" s="91"/>
      <c r="BA119" s="91"/>
      <c r="BB119" s="91"/>
      <c r="BC119" s="91"/>
      <c r="BD119" s="91"/>
      <c r="BE119" s="91"/>
      <c r="BF119" s="91"/>
      <c r="BG119" s="91"/>
      <c r="BH119" s="91"/>
      <c r="BI119" s="91"/>
      <c r="BJ119" s="91"/>
      <c r="BK119" s="91"/>
      <c r="BL119" s="91"/>
    </row>
    <row r="120" spans="1:64">
      <c r="A120" s="91"/>
      <c r="B120" s="221"/>
      <c r="C120" s="220"/>
      <c r="D120" s="199" t="s">
        <v>114</v>
      </c>
      <c r="E120" s="217">
        <v>0</v>
      </c>
      <c r="F120" s="199">
        <f t="shared" si="55"/>
        <v>0</v>
      </c>
      <c r="G120" s="197"/>
      <c r="H120" s="217">
        <v>0</v>
      </c>
      <c r="I120" s="199">
        <f t="shared" si="56"/>
        <v>0</v>
      </c>
      <c r="J120" s="197"/>
      <c r="K120" s="217">
        <v>0</v>
      </c>
      <c r="L120" s="199">
        <f t="shared" si="57"/>
        <v>0</v>
      </c>
      <c r="M120" s="197"/>
      <c r="N120" s="217">
        <v>0</v>
      </c>
      <c r="O120" s="199">
        <f t="shared" si="58"/>
        <v>0</v>
      </c>
      <c r="P120" s="197"/>
      <c r="Q120" s="217">
        <v>0</v>
      </c>
      <c r="R120" s="199">
        <f t="shared" si="59"/>
        <v>0</v>
      </c>
      <c r="S120" s="197"/>
      <c r="T120" s="217">
        <v>0</v>
      </c>
      <c r="U120" s="199">
        <f t="shared" si="60"/>
        <v>0</v>
      </c>
      <c r="V120" s="197"/>
      <c r="W120" s="217">
        <v>0</v>
      </c>
      <c r="X120" s="199">
        <f t="shared" si="61"/>
        <v>0</v>
      </c>
      <c r="Y120" s="197"/>
      <c r="Z120" s="217">
        <v>0</v>
      </c>
      <c r="AA120" s="199">
        <f t="shared" si="62"/>
        <v>0</v>
      </c>
      <c r="AB120" s="197"/>
      <c r="AC120" s="217">
        <v>0</v>
      </c>
      <c r="AD120" s="199">
        <f t="shared" si="63"/>
        <v>0</v>
      </c>
      <c r="AE120" s="197"/>
      <c r="AF120" s="217">
        <v>0</v>
      </c>
      <c r="AG120" s="199">
        <f t="shared" si="64"/>
        <v>0</v>
      </c>
      <c r="AH120" s="197"/>
      <c r="AI120" s="217">
        <v>0</v>
      </c>
      <c r="AJ120" s="199">
        <f t="shared" si="65"/>
        <v>0</v>
      </c>
      <c r="AK120" s="197"/>
      <c r="AL120" s="217">
        <v>0</v>
      </c>
      <c r="AM120" s="199">
        <f t="shared" si="66"/>
        <v>0</v>
      </c>
      <c r="AN120" s="197"/>
      <c r="AO120" s="217">
        <v>0</v>
      </c>
      <c r="AP120" s="199">
        <f t="shared" si="67"/>
        <v>0</v>
      </c>
      <c r="AQ120" s="197"/>
      <c r="AR120" s="217">
        <v>0</v>
      </c>
      <c r="AS120" s="199">
        <f t="shared" si="68"/>
        <v>0</v>
      </c>
      <c r="AT120" s="197"/>
      <c r="AU120" s="77"/>
      <c r="AV120" s="77"/>
      <c r="AW120" s="258"/>
      <c r="AX120" s="259"/>
      <c r="AY120" s="91"/>
      <c r="AZ120" s="91"/>
      <c r="BA120" s="91"/>
      <c r="BB120" s="91"/>
      <c r="BC120" s="91"/>
      <c r="BD120" s="91"/>
      <c r="BE120" s="91"/>
      <c r="BF120" s="91"/>
      <c r="BG120" s="91"/>
      <c r="BH120" s="91"/>
      <c r="BI120" s="91"/>
      <c r="BJ120" s="91"/>
      <c r="BK120" s="91"/>
      <c r="BL120" s="91"/>
    </row>
    <row r="121" spans="1:64">
      <c r="A121" s="91"/>
      <c r="B121" s="222"/>
      <c r="C121" s="223"/>
      <c r="D121" s="224" t="s">
        <v>115</v>
      </c>
      <c r="E121" s="224"/>
      <c r="F121" s="225">
        <f t="shared" si="55"/>
        <v>-175718.19494871798</v>
      </c>
      <c r="G121" s="226"/>
      <c r="H121" s="224"/>
      <c r="I121" s="225">
        <f t="shared" si="56"/>
        <v>-168873.92923076925</v>
      </c>
      <c r="J121" s="226"/>
      <c r="K121" s="224"/>
      <c r="L121" s="225">
        <f t="shared" si="57"/>
        <v>-163733.47692307693</v>
      </c>
      <c r="M121" s="226"/>
      <c r="N121" s="224"/>
      <c r="O121" s="225">
        <f t="shared" si="58"/>
        <v>-161497.48717948719</v>
      </c>
      <c r="P121" s="226"/>
      <c r="Q121" s="224"/>
      <c r="R121" s="225">
        <f t="shared" si="59"/>
        <v>-159907.56410256412</v>
      </c>
      <c r="S121" s="226"/>
      <c r="T121" s="224"/>
      <c r="U121" s="225">
        <f t="shared" si="60"/>
        <v>-156992.22564102564</v>
      </c>
      <c r="V121" s="226"/>
      <c r="W121" s="224"/>
      <c r="X121" s="225">
        <f t="shared" si="61"/>
        <v>-155215.38717948715</v>
      </c>
      <c r="Y121" s="226"/>
      <c r="Z121" s="224"/>
      <c r="AA121" s="225">
        <f t="shared" si="62"/>
        <v>-155839.00256410256</v>
      </c>
      <c r="AB121" s="226"/>
      <c r="AC121" s="224"/>
      <c r="AD121" s="225">
        <f t="shared" si="63"/>
        <v>-153768.04102564103</v>
      </c>
      <c r="AE121" s="226"/>
      <c r="AF121" s="224"/>
      <c r="AG121" s="225">
        <f t="shared" si="64"/>
        <v>-145233.56410256412</v>
      </c>
      <c r="AH121" s="226"/>
      <c r="AI121" s="224"/>
      <c r="AJ121" s="225">
        <f t="shared" si="65"/>
        <v>-140665.17948717947</v>
      </c>
      <c r="AK121" s="226"/>
      <c r="AL121" s="224"/>
      <c r="AM121" s="225">
        <f t="shared" si="66"/>
        <v>-140665.17948717947</v>
      </c>
      <c r="AN121" s="226"/>
      <c r="AO121" s="224"/>
      <c r="AP121" s="225">
        <f t="shared" si="67"/>
        <v>-139402.54871794872</v>
      </c>
      <c r="AQ121" s="226"/>
      <c r="AR121" s="224"/>
      <c r="AS121" s="225">
        <f t="shared" si="68"/>
        <v>-136304.99102564104</v>
      </c>
      <c r="AT121" s="226"/>
      <c r="AU121" s="77"/>
      <c r="AV121" s="77"/>
      <c r="AW121" s="258"/>
      <c r="AX121" s="259"/>
      <c r="AY121" s="91"/>
      <c r="AZ121" s="91"/>
      <c r="BA121" s="91"/>
      <c r="BB121" s="91"/>
      <c r="BC121" s="91"/>
      <c r="BD121" s="91"/>
      <c r="BE121" s="91"/>
      <c r="BF121" s="91"/>
      <c r="BG121" s="91"/>
      <c r="BH121" s="91"/>
      <c r="BI121" s="91"/>
      <c r="BJ121" s="91"/>
      <c r="BK121" s="91"/>
      <c r="BL121" s="91"/>
    </row>
    <row r="122" spans="1:64">
      <c r="A122" s="91"/>
      <c r="B122" s="227"/>
      <c r="C122" s="28"/>
      <c r="D122" s="28"/>
      <c r="E122" s="28"/>
      <c r="F122" s="28"/>
      <c r="G122" s="228"/>
      <c r="H122" s="28"/>
      <c r="I122" s="28"/>
      <c r="J122" s="228"/>
      <c r="K122" s="28"/>
      <c r="L122" s="28"/>
      <c r="M122" s="228"/>
      <c r="N122" s="28"/>
      <c r="O122" s="28"/>
      <c r="P122" s="228"/>
      <c r="Q122" s="28"/>
      <c r="R122" s="28"/>
      <c r="S122" s="228"/>
      <c r="T122" s="28"/>
      <c r="U122" s="28"/>
      <c r="V122" s="228"/>
      <c r="W122" s="28"/>
      <c r="X122" s="28"/>
      <c r="Y122" s="228"/>
      <c r="Z122" s="28"/>
      <c r="AA122" s="28"/>
      <c r="AB122" s="228"/>
      <c r="AC122" s="28"/>
      <c r="AD122" s="28"/>
      <c r="AE122" s="228"/>
      <c r="AF122" s="28"/>
      <c r="AG122" s="28"/>
      <c r="AH122" s="228"/>
      <c r="AI122" s="28"/>
      <c r="AJ122" s="28"/>
      <c r="AK122" s="228"/>
      <c r="AL122" s="28"/>
      <c r="AM122" s="28"/>
      <c r="AN122" s="228"/>
      <c r="AO122" s="28"/>
      <c r="AP122" s="28"/>
      <c r="AQ122" s="228"/>
      <c r="AR122" s="28"/>
      <c r="AS122" s="28"/>
      <c r="AT122" s="228"/>
      <c r="AU122" s="77"/>
      <c r="AV122" s="77"/>
      <c r="AW122" s="258"/>
      <c r="AX122" s="259"/>
      <c r="AY122" s="91"/>
      <c r="AZ122" s="91"/>
      <c r="BA122" s="91"/>
      <c r="BB122" s="91"/>
      <c r="BC122" s="91"/>
      <c r="BD122" s="91"/>
      <c r="BE122" s="91"/>
      <c r="BF122" s="91"/>
      <c r="BG122" s="91"/>
      <c r="BH122" s="91"/>
      <c r="BI122" s="91"/>
      <c r="BJ122" s="91"/>
      <c r="BK122" s="91"/>
      <c r="BL122" s="91"/>
    </row>
    <row r="123" spans="1:64" s="16" customFormat="1" ht="19.5">
      <c r="A123" s="229"/>
      <c r="B123" s="229"/>
      <c r="C123" s="229"/>
      <c r="D123" s="230"/>
      <c r="E123" s="231" t="str">
        <f t="shared" ref="E123:F123" si="69">E190</f>
        <v>Sueldo líquido</v>
      </c>
      <c r="F123" s="232">
        <f t="shared" si="69"/>
        <v>687206.87300000014</v>
      </c>
      <c r="G123" s="229"/>
      <c r="H123" s="231" t="str">
        <f t="shared" ref="H123:I123" si="70">H190</f>
        <v>Sueldo líquido</v>
      </c>
      <c r="I123" s="232">
        <f t="shared" si="70"/>
        <v>662940.84</v>
      </c>
      <c r="J123" s="229"/>
      <c r="K123" s="231" t="str">
        <f t="shared" ref="K123:L123" si="71">K190</f>
        <v>Sueldo líquido</v>
      </c>
      <c r="L123" s="232">
        <f t="shared" si="71"/>
        <v>644715.60000000009</v>
      </c>
      <c r="M123" s="229"/>
      <c r="N123" s="231" t="str">
        <f t="shared" ref="N123:O123" si="72">N190</f>
        <v>Sueldo líquido</v>
      </c>
      <c r="O123" s="232">
        <f t="shared" si="72"/>
        <v>636788</v>
      </c>
      <c r="P123" s="229"/>
      <c r="Q123" s="231" t="str">
        <f t="shared" ref="Q123:R123" si="73">Q190</f>
        <v>Sueldo líquido</v>
      </c>
      <c r="R123" s="232">
        <f t="shared" si="73"/>
        <v>631150.99999999988</v>
      </c>
      <c r="S123" s="229"/>
      <c r="T123" s="231" t="str">
        <f t="shared" ref="T123:U123" si="74">T190</f>
        <v>Sueldo líquido</v>
      </c>
      <c r="U123" s="232">
        <f t="shared" si="74"/>
        <v>620814.80000000005</v>
      </c>
      <c r="V123" s="229"/>
      <c r="W123" s="231" t="str">
        <f t="shared" ref="W123:X123" si="75">W190</f>
        <v>Sueldo líquido</v>
      </c>
      <c r="X123" s="232">
        <f t="shared" si="75"/>
        <v>614515.1</v>
      </c>
      <c r="Y123" s="229"/>
      <c r="Z123" s="231" t="str">
        <f t="shared" ref="Z123:AA123" si="76">Z190</f>
        <v>Sueldo líquido</v>
      </c>
      <c r="AA123" s="232">
        <f t="shared" si="76"/>
        <v>616726.1</v>
      </c>
      <c r="AB123" s="229"/>
      <c r="AC123" s="231" t="str">
        <f t="shared" ref="AC123:AD123" si="77">AC190</f>
        <v>Sueldo líquido</v>
      </c>
      <c r="AD123" s="232">
        <f t="shared" si="77"/>
        <v>609383.6</v>
      </c>
      <c r="AE123" s="229"/>
      <c r="AF123" s="231" t="str">
        <f t="shared" ref="AF123:AG123" si="78">AF190</f>
        <v>Sueldo líquido</v>
      </c>
      <c r="AG123" s="232">
        <f t="shared" si="78"/>
        <v>579125.00000000012</v>
      </c>
      <c r="AH123" s="229"/>
      <c r="AI123" s="231" t="str">
        <f t="shared" ref="AI123:AJ123" si="79">AI190</f>
        <v>Sueldo líquido</v>
      </c>
      <c r="AJ123" s="232">
        <f t="shared" si="79"/>
        <v>562928</v>
      </c>
      <c r="AK123" s="229"/>
      <c r="AL123" s="231" t="str">
        <f t="shared" ref="AL123:AM123" si="80">AL190</f>
        <v>Sueldo líquido</v>
      </c>
      <c r="AM123" s="232">
        <f t="shared" si="80"/>
        <v>556722</v>
      </c>
      <c r="AN123" s="229"/>
      <c r="AO123" s="231" t="str">
        <f t="shared" ref="AO123:AP130" si="81">AO190</f>
        <v>Sueldo líquido</v>
      </c>
      <c r="AP123" s="232">
        <f t="shared" si="81"/>
        <v>552245.4</v>
      </c>
      <c r="AQ123" s="229"/>
      <c r="AR123" s="231" t="str">
        <f t="shared" ref="AR123:AS130" si="82">AR190</f>
        <v>Sueldo líquido</v>
      </c>
      <c r="AS123" s="232">
        <f t="shared" si="82"/>
        <v>541263.15000000014</v>
      </c>
      <c r="AT123" s="229"/>
      <c r="AU123" s="260"/>
      <c r="AV123" s="260"/>
      <c r="AW123" s="261"/>
      <c r="AX123" s="262"/>
      <c r="AY123" s="229"/>
      <c r="AZ123" s="229"/>
      <c r="BA123" s="229"/>
      <c r="BB123" s="229"/>
      <c r="BC123" s="229"/>
      <c r="BD123" s="229"/>
      <c r="BE123" s="229"/>
      <c r="BF123" s="229"/>
      <c r="BG123" s="229"/>
      <c r="BH123" s="229"/>
      <c r="BI123" s="229"/>
      <c r="BJ123" s="229"/>
      <c r="BK123" s="229"/>
      <c r="BL123" s="229"/>
    </row>
    <row r="124" spans="1:64">
      <c r="A124" s="91"/>
      <c r="B124" s="233"/>
      <c r="C124" s="28"/>
      <c r="D124" s="234"/>
      <c r="E124" s="235"/>
      <c r="F124" s="236"/>
      <c r="G124" s="228"/>
      <c r="H124" s="235"/>
      <c r="I124" s="236"/>
      <c r="J124" s="228"/>
      <c r="K124" s="235"/>
      <c r="L124" s="236"/>
      <c r="M124" s="228"/>
      <c r="N124" s="235"/>
      <c r="O124" s="236"/>
      <c r="P124" s="228"/>
      <c r="Q124" s="235"/>
      <c r="R124" s="236"/>
      <c r="S124" s="228"/>
      <c r="T124" s="235"/>
      <c r="U124" s="236"/>
      <c r="V124" s="228"/>
      <c r="W124" s="235"/>
      <c r="X124" s="236"/>
      <c r="Y124" s="228"/>
      <c r="Z124" s="235"/>
      <c r="AA124" s="236"/>
      <c r="AB124" s="228"/>
      <c r="AC124" s="235"/>
      <c r="AD124" s="236"/>
      <c r="AE124" s="228"/>
      <c r="AF124" s="235"/>
      <c r="AG124" s="236"/>
      <c r="AH124" s="228"/>
      <c r="AI124" s="235"/>
      <c r="AJ124" s="236"/>
      <c r="AK124" s="228"/>
      <c r="AL124" s="235"/>
      <c r="AM124" s="236"/>
      <c r="AN124" s="228"/>
      <c r="AO124" s="235"/>
      <c r="AP124" s="236"/>
      <c r="AQ124" s="228"/>
      <c r="AR124" s="235"/>
      <c r="AS124" s="236"/>
      <c r="AT124" s="228"/>
      <c r="AU124" s="77"/>
      <c r="AV124" s="77"/>
      <c r="AW124" s="258"/>
      <c r="AX124" s="259"/>
      <c r="AY124" s="91"/>
      <c r="AZ124" s="91"/>
      <c r="BA124" s="91"/>
      <c r="BB124" s="91"/>
      <c r="BC124" s="91"/>
      <c r="BD124" s="91"/>
      <c r="BE124" s="91"/>
      <c r="BF124" s="91"/>
      <c r="BG124" s="91"/>
      <c r="BH124" s="91"/>
      <c r="BI124" s="91"/>
      <c r="BJ124" s="91"/>
      <c r="BK124" s="91"/>
      <c r="BL124" s="91"/>
    </row>
    <row r="125" spans="1:64" ht="15">
      <c r="A125" s="91"/>
      <c r="B125" s="28"/>
      <c r="C125" s="28"/>
      <c r="D125" s="237"/>
      <c r="E125" s="8"/>
      <c r="F125" s="8"/>
      <c r="G125" s="228"/>
      <c r="H125" s="8"/>
      <c r="I125" s="8"/>
      <c r="J125" s="228"/>
      <c r="K125" s="8"/>
      <c r="L125" s="8"/>
      <c r="M125" s="228"/>
      <c r="N125" s="8"/>
      <c r="O125" s="8"/>
      <c r="P125" s="228"/>
      <c r="Q125" s="8"/>
      <c r="R125" s="8"/>
      <c r="S125" s="228"/>
      <c r="T125" s="8"/>
      <c r="U125" s="8"/>
      <c r="V125" s="228"/>
      <c r="W125" s="8"/>
      <c r="X125" s="8"/>
      <c r="Y125" s="228"/>
      <c r="Z125" s="8"/>
      <c r="AA125" s="8"/>
      <c r="AB125" s="228"/>
      <c r="AC125" s="8"/>
      <c r="AD125" s="8"/>
      <c r="AE125" s="228"/>
      <c r="AF125" s="8"/>
      <c r="AG125" s="8"/>
      <c r="AH125" s="228"/>
      <c r="AI125" s="8"/>
      <c r="AJ125" s="8"/>
      <c r="AK125" s="228"/>
      <c r="AL125" s="8"/>
      <c r="AM125" s="8"/>
      <c r="AN125" s="228"/>
      <c r="AO125" s="8"/>
      <c r="AP125" s="8"/>
      <c r="AQ125" s="228"/>
      <c r="AR125" s="8"/>
      <c r="AS125" s="8"/>
      <c r="AT125" s="228"/>
      <c r="AU125" s="91"/>
      <c r="AV125" s="91"/>
      <c r="AW125" s="91"/>
      <c r="AX125" s="91"/>
      <c r="AY125" s="91"/>
      <c r="AZ125" s="91"/>
      <c r="BA125" s="91"/>
      <c r="BB125" s="91"/>
      <c r="BC125" s="91"/>
      <c r="BD125" s="91"/>
      <c r="BE125" s="91"/>
      <c r="BF125" s="91"/>
    </row>
    <row r="126" spans="1:64">
      <c r="A126" s="91"/>
      <c r="B126" s="28"/>
      <c r="D126" s="238"/>
      <c r="E126" s="8" t="str">
        <f>E193</f>
        <v>Total remunerativos</v>
      </c>
      <c r="F126" s="8"/>
      <c r="G126" s="228"/>
      <c r="H126" s="8" t="str">
        <f>H193</f>
        <v>Total remunerativos</v>
      </c>
      <c r="I126" s="8"/>
      <c r="J126" s="228"/>
      <c r="K126" s="8" t="str">
        <f>K193</f>
        <v>Total remunerativos</v>
      </c>
      <c r="L126" s="8"/>
      <c r="M126" s="228"/>
      <c r="N126" s="8" t="str">
        <f>N193</f>
        <v>Total remunerativos</v>
      </c>
      <c r="O126" s="8"/>
      <c r="P126" s="228"/>
      <c r="Q126" s="8" t="str">
        <f>Q193</f>
        <v>Total remunerativos</v>
      </c>
      <c r="R126" s="8"/>
      <c r="S126" s="228"/>
      <c r="T126" s="8" t="str">
        <f>T193</f>
        <v>Total remunerativos</v>
      </c>
      <c r="U126" s="8"/>
      <c r="V126" s="228"/>
      <c r="W126" s="8" t="str">
        <f>W193</f>
        <v>Total remunerativos</v>
      </c>
      <c r="X126" s="8"/>
      <c r="Y126" s="228"/>
      <c r="Z126" s="8" t="str">
        <f>Z193</f>
        <v>Total remunerativos</v>
      </c>
      <c r="AA126" s="8"/>
      <c r="AB126" s="228"/>
      <c r="AC126" s="8" t="str">
        <f>AC193</f>
        <v>Total remunerativos</v>
      </c>
      <c r="AD126" s="8"/>
      <c r="AE126" s="228"/>
      <c r="AF126" s="8" t="str">
        <f t="shared" ref="AF126" si="83">AF193</f>
        <v>Total remunerativos</v>
      </c>
      <c r="AG126" s="8"/>
      <c r="AH126" s="228"/>
      <c r="AI126" s="8" t="str">
        <f t="shared" ref="AI126" si="84">AI193</f>
        <v>Total remunerativos</v>
      </c>
      <c r="AJ126" s="8"/>
      <c r="AK126" s="228"/>
      <c r="AL126" s="8" t="str">
        <f t="shared" ref="AL126" si="85">AL193</f>
        <v>Total remunerativos</v>
      </c>
      <c r="AM126" s="8"/>
      <c r="AN126" s="228"/>
      <c r="AO126" s="8" t="str">
        <f t="shared" si="81"/>
        <v>Total remunerativos</v>
      </c>
      <c r="AP126" s="8"/>
      <c r="AQ126" s="228"/>
      <c r="AR126" s="8" t="str">
        <f t="shared" si="82"/>
        <v>Total remunerativos</v>
      </c>
      <c r="AS126" s="8"/>
      <c r="AT126" s="228"/>
      <c r="AU126" s="91"/>
      <c r="AV126" s="91"/>
      <c r="AW126" s="91"/>
      <c r="AX126" s="91"/>
      <c r="AY126" s="91"/>
      <c r="AZ126" s="91"/>
      <c r="BA126" s="91"/>
      <c r="BB126" s="91"/>
      <c r="BC126" s="91"/>
      <c r="BD126" s="91"/>
      <c r="BE126" s="91"/>
      <c r="BF126" s="91"/>
    </row>
    <row r="127" spans="1:64" ht="18">
      <c r="A127" s="91"/>
      <c r="B127" s="28"/>
      <c r="C127" s="28"/>
      <c r="D127" s="239"/>
      <c r="E127" s="8">
        <f t="shared" ref="E127:F127" si="86">E194</f>
        <v>636175.9462408839</v>
      </c>
      <c r="F127" s="8">
        <f t="shared" si="86"/>
        <v>0</v>
      </c>
      <c r="G127" s="228"/>
      <c r="H127" s="8">
        <f t="shared" ref="H127:I127" si="87">H194</f>
        <v>620659.45974720374</v>
      </c>
      <c r="I127" s="8">
        <f t="shared" si="87"/>
        <v>0</v>
      </c>
      <c r="J127" s="228"/>
      <c r="K127" s="8">
        <f t="shared" ref="K127:L127" si="88">K194</f>
        <v>607230.32750431984</v>
      </c>
      <c r="L127" s="8">
        <f t="shared" si="88"/>
        <v>0</v>
      </c>
      <c r="M127" s="228"/>
      <c r="N127" s="8">
        <f t="shared" ref="N127:O127" si="89">N194</f>
        <v>594968.9458912519</v>
      </c>
      <c r="O127" s="8">
        <f t="shared" si="89"/>
        <v>0</v>
      </c>
      <c r="P127" s="228"/>
      <c r="Q127" s="8">
        <f t="shared" ref="Q127:R127" si="90">Q194</f>
        <v>583875.31490799994</v>
      </c>
      <c r="R127" s="8">
        <f t="shared" si="90"/>
        <v>0</v>
      </c>
      <c r="S127" s="228"/>
      <c r="T127" s="8">
        <f t="shared" ref="T127:U127" si="91">T194</f>
        <v>573925.59608251508</v>
      </c>
      <c r="U127" s="8">
        <f t="shared" si="91"/>
        <v>0</v>
      </c>
      <c r="V127" s="228"/>
      <c r="W127" s="8">
        <f t="shared" ref="W127:X127" si="92">W194</f>
        <v>565547.12022729591</v>
      </c>
      <c r="X127" s="8">
        <f t="shared" si="92"/>
        <v>0</v>
      </c>
      <c r="Y127" s="228"/>
      <c r="Z127" s="8">
        <f t="shared" ref="Z127:AA127" si="93">Z194</f>
        <v>557692.34062859998</v>
      </c>
      <c r="AA127" s="8">
        <f t="shared" si="93"/>
        <v>0</v>
      </c>
      <c r="AB127" s="228"/>
      <c r="AC127" s="8">
        <f t="shared" ref="AC127:AD127" si="94">AC194</f>
        <v>543030.01737124007</v>
      </c>
      <c r="AD127" s="8">
        <f t="shared" si="94"/>
        <v>0</v>
      </c>
      <c r="AE127" s="228"/>
      <c r="AF127" s="8">
        <f t="shared" ref="AF127:AG127" si="95">AF194</f>
        <v>523654.74095119996</v>
      </c>
      <c r="AG127" s="8">
        <f t="shared" si="95"/>
        <v>0</v>
      </c>
      <c r="AH127" s="228"/>
      <c r="AI127" s="8">
        <f t="shared" ref="AI127:AJ127" si="96">AI194</f>
        <v>511639.68895095144</v>
      </c>
      <c r="AJ127" s="8">
        <f t="shared" si="96"/>
        <v>0</v>
      </c>
      <c r="AK127" s="228"/>
      <c r="AL127" s="8">
        <f t="shared" ref="AL127:AM127" si="97">AL194</f>
        <v>511639.68895095144</v>
      </c>
      <c r="AM127" s="8">
        <f t="shared" si="97"/>
        <v>0</v>
      </c>
      <c r="AN127" s="228"/>
      <c r="AO127" s="8">
        <f t="shared" si="81"/>
        <v>500625.91873869998</v>
      </c>
      <c r="AP127" s="8">
        <f t="shared" si="81"/>
        <v>0</v>
      </c>
      <c r="AQ127" s="228"/>
      <c r="AR127" s="8">
        <f t="shared" si="82"/>
        <v>488499.46192122914</v>
      </c>
      <c r="AS127" s="8">
        <f t="shared" si="82"/>
        <v>0</v>
      </c>
      <c r="AT127" s="228"/>
      <c r="AU127" s="77"/>
      <c r="AV127" s="258"/>
      <c r="AW127" s="259"/>
      <c r="AX127" s="91"/>
      <c r="AY127" s="91"/>
      <c r="AZ127" s="91"/>
      <c r="BA127" s="91"/>
      <c r="BB127" s="91"/>
      <c r="BC127" s="91"/>
      <c r="BD127" s="91"/>
      <c r="BE127" s="91"/>
      <c r="BF127" s="91"/>
      <c r="BG127" s="91"/>
      <c r="BH127" s="91"/>
      <c r="BI127" s="91"/>
      <c r="BJ127" s="91"/>
      <c r="BK127" s="91"/>
    </row>
    <row r="128" spans="1:64" ht="16.5" thickBot="1">
      <c r="A128" s="91"/>
      <c r="B128" s="28"/>
      <c r="C128" s="28"/>
      <c r="D128" s="240"/>
      <c r="E128" s="227">
        <f t="shared" ref="E128:F128" si="98">E195</f>
        <v>0</v>
      </c>
      <c r="F128" s="227">
        <f t="shared" si="98"/>
        <v>0</v>
      </c>
      <c r="G128" s="228"/>
      <c r="H128" s="227">
        <f t="shared" ref="H128:I128" si="99">H195</f>
        <v>0</v>
      </c>
      <c r="I128" s="227">
        <f t="shared" si="99"/>
        <v>0</v>
      </c>
      <c r="J128" s="228"/>
      <c r="K128" s="227">
        <f t="shared" ref="K128:L128" si="100">K195</f>
        <v>0</v>
      </c>
      <c r="L128" s="227">
        <f t="shared" si="100"/>
        <v>0</v>
      </c>
      <c r="M128" s="228"/>
      <c r="N128" s="227">
        <f t="shared" ref="N128:O128" si="101">N195</f>
        <v>0</v>
      </c>
      <c r="O128" s="227">
        <f t="shared" si="101"/>
        <v>0</v>
      </c>
      <c r="P128" s="228"/>
      <c r="Q128" s="227">
        <f t="shared" ref="Q128:R128" si="102">Q195</f>
        <v>0</v>
      </c>
      <c r="R128" s="227">
        <f t="shared" si="102"/>
        <v>0</v>
      </c>
      <c r="S128" s="228"/>
      <c r="T128" s="227">
        <f t="shared" ref="T128:U128" si="103">T195</f>
        <v>0</v>
      </c>
      <c r="U128" s="227">
        <f t="shared" si="103"/>
        <v>0</v>
      </c>
      <c r="V128" s="228"/>
      <c r="W128" s="227">
        <f t="shared" ref="W128:X128" si="104">W195</f>
        <v>0</v>
      </c>
      <c r="X128" s="227">
        <f t="shared" si="104"/>
        <v>0</v>
      </c>
      <c r="Y128" s="228"/>
      <c r="Z128" s="227">
        <f t="shared" ref="Z128:AA128" si="105">Z195</f>
        <v>0</v>
      </c>
      <c r="AA128" s="227">
        <f t="shared" si="105"/>
        <v>0</v>
      </c>
      <c r="AB128" s="228"/>
      <c r="AC128" s="227">
        <f t="shared" ref="AC128:AD128" si="106">AC195</f>
        <v>0</v>
      </c>
      <c r="AD128" s="227">
        <f t="shared" si="106"/>
        <v>0</v>
      </c>
      <c r="AE128" s="228"/>
      <c r="AF128" s="227">
        <f t="shared" ref="AF128:AG128" si="107">AF195</f>
        <v>0</v>
      </c>
      <c r="AG128" s="227">
        <f t="shared" si="107"/>
        <v>0</v>
      </c>
      <c r="AH128" s="228"/>
      <c r="AI128" s="227">
        <f t="shared" ref="AI128:AJ128" si="108">AI195</f>
        <v>0</v>
      </c>
      <c r="AJ128" s="227">
        <f t="shared" si="108"/>
        <v>0</v>
      </c>
      <c r="AK128" s="228"/>
      <c r="AL128" s="227">
        <f t="shared" ref="AL128:AM128" si="109">AL195</f>
        <v>0</v>
      </c>
      <c r="AM128" s="227">
        <f t="shared" si="109"/>
        <v>0</v>
      </c>
      <c r="AN128" s="228"/>
      <c r="AO128" s="227">
        <f t="shared" si="81"/>
        <v>0</v>
      </c>
      <c r="AP128" s="227">
        <f t="shared" si="81"/>
        <v>0</v>
      </c>
      <c r="AQ128" s="228"/>
      <c r="AR128" s="227">
        <f t="shared" si="82"/>
        <v>0</v>
      </c>
      <c r="AS128" s="227">
        <f t="shared" si="82"/>
        <v>0</v>
      </c>
      <c r="AT128" s="228"/>
      <c r="AU128" s="77"/>
      <c r="AV128" s="258"/>
      <c r="AW128" s="259"/>
      <c r="AX128" s="91"/>
      <c r="AY128" s="91"/>
      <c r="AZ128" s="91"/>
      <c r="BA128" s="91"/>
      <c r="BB128" s="91"/>
      <c r="BC128" s="91"/>
      <c r="BD128" s="91"/>
      <c r="BE128" s="91"/>
      <c r="BF128" s="91"/>
      <c r="BG128" s="91"/>
      <c r="BH128" s="91"/>
      <c r="BI128" s="91"/>
      <c r="BJ128" s="91"/>
      <c r="BK128" s="91"/>
    </row>
    <row r="129" spans="1:64" ht="18">
      <c r="A129" s="91"/>
      <c r="B129" s="28"/>
      <c r="C129" s="28"/>
      <c r="D129" s="240"/>
      <c r="E129" s="241" t="str">
        <f t="shared" ref="E129:F129" si="110">E196</f>
        <v>Aumento del mes</v>
      </c>
      <c r="F129" s="242">
        <f t="shared" si="110"/>
        <v>24266.03300000017</v>
      </c>
      <c r="G129" s="228"/>
      <c r="H129" s="241" t="str">
        <f t="shared" ref="H129:I129" si="111">H196</f>
        <v>Aumento del mes</v>
      </c>
      <c r="I129" s="242">
        <f t="shared" si="111"/>
        <v>18225.239999999874</v>
      </c>
      <c r="J129" s="228"/>
      <c r="K129" s="241" t="str">
        <f t="shared" ref="K129:L129" si="112">K196</f>
        <v>Aumento del mes</v>
      </c>
      <c r="L129" s="242">
        <f t="shared" si="112"/>
        <v>7927.6000000000931</v>
      </c>
      <c r="M129" s="228"/>
      <c r="N129" s="241" t="str">
        <f t="shared" ref="N129:O129" si="113">N196</f>
        <v>Aumento del mes</v>
      </c>
      <c r="O129" s="242">
        <f t="shared" si="113"/>
        <v>5637.0000000001164</v>
      </c>
      <c r="P129" s="228"/>
      <c r="Q129" s="241" t="str">
        <f t="shared" ref="Q129:R129" si="114">Q196</f>
        <v>Aumento del mes</v>
      </c>
      <c r="R129" s="242">
        <f t="shared" si="114"/>
        <v>10336.199999999837</v>
      </c>
      <c r="S129" s="228"/>
      <c r="T129" s="241" t="str">
        <f t="shared" ref="T129:U129" si="115">T196</f>
        <v>Aumento del mes</v>
      </c>
      <c r="U129" s="242">
        <f t="shared" si="115"/>
        <v>6299.7000000000698</v>
      </c>
      <c r="V129" s="228"/>
      <c r="W129" s="241" t="str">
        <f t="shared" ref="W129:X129" si="116">W196</f>
        <v>Aumento del mes</v>
      </c>
      <c r="X129" s="242">
        <f t="shared" si="116"/>
        <v>-2211</v>
      </c>
      <c r="Y129" s="228"/>
      <c r="Z129" s="241" t="str">
        <f t="shared" ref="Z129:AA129" si="117">Z196</f>
        <v>Aumento del mes</v>
      </c>
      <c r="AA129" s="242">
        <f t="shared" si="117"/>
        <v>7342.5</v>
      </c>
      <c r="AB129" s="228"/>
      <c r="AC129" s="241" t="str">
        <f t="shared" ref="AC129:AD129" si="118">AC196</f>
        <v>Aumento del mes</v>
      </c>
      <c r="AD129" s="242">
        <f t="shared" si="118"/>
        <v>30258.59999999986</v>
      </c>
      <c r="AE129" s="228"/>
      <c r="AF129" s="241" t="str">
        <f t="shared" ref="AF129:AG129" si="119">AF196</f>
        <v>Aumento del mes</v>
      </c>
      <c r="AG129" s="242">
        <f t="shared" si="119"/>
        <v>16197.000000000116</v>
      </c>
      <c r="AH129" s="228"/>
      <c r="AI129" s="241" t="str">
        <f t="shared" ref="AI129:AJ129" si="120">AI196</f>
        <v>Aumento del mes</v>
      </c>
      <c r="AJ129" s="242">
        <f t="shared" si="120"/>
        <v>6206</v>
      </c>
      <c r="AK129" s="228"/>
      <c r="AL129" s="241" t="str">
        <f t="shared" ref="AL129:AM129" si="121">AL196</f>
        <v>Aumento del mes</v>
      </c>
      <c r="AM129" s="242">
        <f t="shared" si="121"/>
        <v>4476.5999999999767</v>
      </c>
      <c r="AN129" s="228"/>
      <c r="AO129" s="241" t="str">
        <f t="shared" si="81"/>
        <v>Aumento del mes</v>
      </c>
      <c r="AP129" s="242">
        <f t="shared" si="81"/>
        <v>10982.249999999884</v>
      </c>
      <c r="AQ129" s="228"/>
      <c r="AR129" s="241" t="str">
        <f t="shared" si="82"/>
        <v>Aumento del mes</v>
      </c>
      <c r="AS129" s="242">
        <f t="shared" si="82"/>
        <v>0</v>
      </c>
      <c r="AT129" s="228"/>
      <c r="AU129" s="77"/>
      <c r="AV129" s="258"/>
      <c r="AW129" s="259"/>
      <c r="AX129" s="91"/>
      <c r="AY129" s="91"/>
      <c r="AZ129" s="91"/>
      <c r="BA129" s="91"/>
      <c r="BB129" s="91"/>
      <c r="BC129" s="91"/>
      <c r="BD129" s="91"/>
      <c r="BE129" s="91"/>
      <c r="BF129" s="91"/>
      <c r="BG129" s="91"/>
      <c r="BH129" s="91"/>
      <c r="BI129" s="91"/>
      <c r="BJ129" s="91"/>
      <c r="BK129" s="91"/>
    </row>
    <row r="130" spans="1:64" ht="18.75" thickBot="1">
      <c r="A130" s="91"/>
      <c r="B130" s="28"/>
      <c r="C130" s="28"/>
      <c r="D130" s="28"/>
      <c r="E130" s="243" t="str">
        <f t="shared" ref="E130:F130" si="122">E197</f>
        <v>Porc resp a anterior</v>
      </c>
      <c r="F130" s="244">
        <f t="shared" si="122"/>
        <v>3.6603617601836343E-2</v>
      </c>
      <c r="G130" s="228"/>
      <c r="H130" s="243" t="str">
        <f t="shared" ref="H130:I130" si="123">H197</f>
        <v>Porc resp a anterior</v>
      </c>
      <c r="I130" s="244">
        <f t="shared" si="123"/>
        <v>2.8268650549172179E-2</v>
      </c>
      <c r="J130" s="228"/>
      <c r="K130" s="243" t="str">
        <f t="shared" ref="K130:L130" si="124">K197</f>
        <v>Porc resp a anterior</v>
      </c>
      <c r="L130" s="244">
        <f t="shared" si="124"/>
        <v>1.2449355201417258E-2</v>
      </c>
      <c r="M130" s="228"/>
      <c r="N130" s="243" t="str">
        <f t="shared" ref="N130:O130" si="125">N197</f>
        <v>Porc resp a anterior</v>
      </c>
      <c r="O130" s="244">
        <f t="shared" si="125"/>
        <v>8.9313017011778753E-3</v>
      </c>
      <c r="P130" s="228"/>
      <c r="Q130" s="243" t="str">
        <f t="shared" ref="Q130:R130" si="126">Q197</f>
        <v>Porc resp a anterior</v>
      </c>
      <c r="R130" s="244">
        <f t="shared" si="126"/>
        <v>1.6649409775668745E-2</v>
      </c>
      <c r="S130" s="228"/>
      <c r="T130" s="243" t="str">
        <f t="shared" ref="T130:U130" si="127">T197</f>
        <v>Porc resp a anterior</v>
      </c>
      <c r="U130" s="244">
        <f t="shared" si="127"/>
        <v>1.0251497481510332E-2</v>
      </c>
      <c r="V130" s="228"/>
      <c r="W130" s="243" t="str">
        <f t="shared" ref="W130:X130" si="128">W197</f>
        <v>Porc resp a anterior</v>
      </c>
      <c r="X130" s="244">
        <f t="shared" si="128"/>
        <v>-3.5850598831474786E-3</v>
      </c>
      <c r="Y130" s="228"/>
      <c r="Z130" s="243" t="str">
        <f t="shared" ref="Z130:AA130" si="129">Z197</f>
        <v>Porc resp a anterior</v>
      </c>
      <c r="AA130" s="244">
        <f t="shared" si="129"/>
        <v>1.2049060722999438E-2</v>
      </c>
      <c r="AB130" s="228"/>
      <c r="AC130" s="243" t="str">
        <f t="shared" ref="AC130:AD130" si="130">AC197</f>
        <v>Porc resp a anterior</v>
      </c>
      <c r="AD130" s="244">
        <f t="shared" si="130"/>
        <v>5.2248823656377903E-2</v>
      </c>
      <c r="AE130" s="228"/>
      <c r="AF130" s="243" t="str">
        <f t="shared" ref="AF130:AG130" si="131">AF197</f>
        <v>Porc resp a anterior</v>
      </c>
      <c r="AG130" s="244">
        <f t="shared" si="131"/>
        <v>2.8772773782793033E-2</v>
      </c>
      <c r="AH130" s="228"/>
      <c r="AI130" s="243" t="str">
        <f t="shared" ref="AI130:AJ130" si="132">AI197</f>
        <v>Porc resp a anterior</v>
      </c>
      <c r="AJ130" s="244">
        <f t="shared" si="132"/>
        <v>1.11473949296058E-2</v>
      </c>
      <c r="AK130" s="228"/>
      <c r="AL130" s="243" t="str">
        <f t="shared" ref="AL130:AM130" si="133">AL197</f>
        <v>Porc resp a anterior</v>
      </c>
      <c r="AM130" s="244">
        <f t="shared" si="133"/>
        <v>8.1061788835180455E-3</v>
      </c>
      <c r="AN130" s="228"/>
      <c r="AO130" s="243" t="str">
        <f t="shared" si="81"/>
        <v>Porc resp a anterior</v>
      </c>
      <c r="AP130" s="244">
        <f t="shared" si="81"/>
        <v>2.029003821893266E-2</v>
      </c>
      <c r="AQ130" s="228"/>
      <c r="AR130" s="243" t="str">
        <f t="shared" si="82"/>
        <v>Porc resp a anterior</v>
      </c>
      <c r="AS130" s="244">
        <f t="shared" si="82"/>
        <v>0</v>
      </c>
      <c r="AT130" s="228"/>
      <c r="AU130" s="77"/>
      <c r="AV130" s="258"/>
      <c r="AW130" s="259"/>
      <c r="AX130" s="91"/>
      <c r="AY130" s="91"/>
      <c r="AZ130" s="91"/>
      <c r="BA130" s="91"/>
      <c r="BB130" s="91"/>
      <c r="BC130" s="91"/>
      <c r="BD130" s="91"/>
      <c r="BE130" s="91"/>
      <c r="BF130" s="91"/>
      <c r="BG130" s="91"/>
      <c r="BH130" s="91"/>
      <c r="BI130" s="91"/>
      <c r="BJ130" s="91"/>
      <c r="BK130" s="91"/>
    </row>
    <row r="131" spans="1:64" ht="16.5" thickBot="1">
      <c r="A131" s="91"/>
      <c r="B131" s="28"/>
      <c r="C131" s="28"/>
      <c r="D131" s="28"/>
      <c r="E131" s="245"/>
      <c r="F131" s="246"/>
      <c r="G131" s="228"/>
      <c r="H131" s="245"/>
      <c r="I131" s="246"/>
      <c r="J131" s="228"/>
      <c r="K131" s="245"/>
      <c r="L131" s="246"/>
      <c r="M131" s="228"/>
      <c r="N131" s="245"/>
      <c r="O131" s="246"/>
      <c r="P131" s="228"/>
      <c r="Q131" s="245"/>
      <c r="R131" s="246"/>
      <c r="S131" s="228"/>
      <c r="T131" s="245"/>
      <c r="U131" s="246"/>
      <c r="V131" s="228"/>
      <c r="W131" s="245"/>
      <c r="X131" s="246"/>
      <c r="Y131" s="228"/>
      <c r="Z131" s="245"/>
      <c r="AA131" s="246"/>
      <c r="AB131" s="228"/>
      <c r="AC131" s="245"/>
      <c r="AD131" s="246"/>
      <c r="AE131" s="228"/>
      <c r="AF131" s="245"/>
      <c r="AG131" s="246"/>
      <c r="AH131" s="228"/>
      <c r="AI131" s="245"/>
      <c r="AJ131" s="246"/>
      <c r="AK131" s="228"/>
      <c r="AL131" s="245"/>
      <c r="AM131" s="246"/>
      <c r="AN131" s="228"/>
      <c r="AO131" s="245"/>
      <c r="AP131" s="246"/>
      <c r="AQ131" s="228"/>
      <c r="AR131" s="245"/>
      <c r="AS131" s="246"/>
      <c r="AT131" s="228"/>
      <c r="AU131" s="77"/>
      <c r="AV131" s="77"/>
      <c r="AW131" s="258"/>
      <c r="AX131" s="259"/>
      <c r="AY131" s="91"/>
      <c r="AZ131" s="91"/>
      <c r="BA131" s="91"/>
      <c r="BB131" s="91"/>
      <c r="BC131" s="91"/>
      <c r="BD131" s="91"/>
      <c r="BE131" s="91"/>
      <c r="BF131" s="91"/>
      <c r="BG131" s="91"/>
      <c r="BH131" s="91"/>
      <c r="BI131" s="91"/>
      <c r="BJ131" s="91"/>
      <c r="BK131" s="91"/>
      <c r="BL131" s="91"/>
    </row>
    <row r="132" spans="1:64" ht="18.75" thickBot="1">
      <c r="A132" s="91"/>
      <c r="B132" s="233"/>
      <c r="C132" s="28"/>
      <c r="D132" s="28"/>
      <c r="E132" s="247" t="str">
        <f t="shared" ref="E132:F132" si="134">E199</f>
        <v>Aumento Remunerativo</v>
      </c>
      <c r="F132" s="248">
        <f t="shared" si="134"/>
        <v>24266.03300000017</v>
      </c>
      <c r="G132" s="228"/>
      <c r="H132" s="247" t="str">
        <f t="shared" ref="H132:I132" si="135">H199</f>
        <v>Aumento Remunerativo</v>
      </c>
      <c r="I132" s="248">
        <f t="shared" si="135"/>
        <v>18225.239999999874</v>
      </c>
      <c r="J132" s="228"/>
      <c r="K132" s="247" t="str">
        <f t="shared" ref="K132:L132" si="136">K199</f>
        <v>Aumento Remunerativo</v>
      </c>
      <c r="L132" s="248">
        <f t="shared" si="136"/>
        <v>7927.6000000000931</v>
      </c>
      <c r="M132" s="228"/>
      <c r="N132" s="247" t="str">
        <f t="shared" ref="N132:O132" si="137">N199</f>
        <v>Aumento Remunerativo</v>
      </c>
      <c r="O132" s="248">
        <f t="shared" si="137"/>
        <v>5637.0000000001164</v>
      </c>
      <c r="P132" s="228"/>
      <c r="Q132" s="247" t="str">
        <f t="shared" ref="Q132:R132" si="138">Q199</f>
        <v>Aumento Remunerativo</v>
      </c>
      <c r="R132" s="248">
        <f t="shared" si="138"/>
        <v>10336.199999999837</v>
      </c>
      <c r="S132" s="228"/>
      <c r="T132" s="247" t="str">
        <f t="shared" ref="T132:U132" si="139">T199</f>
        <v>Aumento Remunerativo</v>
      </c>
      <c r="U132" s="248">
        <f t="shared" si="139"/>
        <v>6299.7000000000698</v>
      </c>
      <c r="V132" s="228"/>
      <c r="W132" s="247" t="str">
        <f t="shared" ref="W132:X132" si="140">W199</f>
        <v>Aumento Remunerativo</v>
      </c>
      <c r="X132" s="248">
        <f t="shared" si="140"/>
        <v>-2211</v>
      </c>
      <c r="Y132" s="228"/>
      <c r="Z132" s="247" t="str">
        <f t="shared" ref="Z132:AA132" si="141">Z199</f>
        <v>Aumento Remunerativo</v>
      </c>
      <c r="AA132" s="248">
        <f t="shared" si="141"/>
        <v>7342.5</v>
      </c>
      <c r="AB132" s="228"/>
      <c r="AC132" s="247" t="str">
        <f t="shared" ref="AC132:AD132" si="142">AC199</f>
        <v>Aumento Remunerativo</v>
      </c>
      <c r="AD132" s="248">
        <f t="shared" si="142"/>
        <v>30258.59999999986</v>
      </c>
      <c r="AE132" s="228"/>
      <c r="AF132" s="247" t="str">
        <f t="shared" ref="AF132:AG132" si="143">AF199</f>
        <v>Aumento Remunerativo</v>
      </c>
      <c r="AG132" s="248">
        <f t="shared" si="143"/>
        <v>16197.000000000116</v>
      </c>
      <c r="AH132" s="228"/>
      <c r="AI132" s="247" t="str">
        <f t="shared" ref="AI132:AJ132" si="144">AI199</f>
        <v>Aumento Remunerativo</v>
      </c>
      <c r="AJ132" s="248">
        <f t="shared" si="144"/>
        <v>0</v>
      </c>
      <c r="AK132" s="228"/>
      <c r="AL132" s="247" t="str">
        <f t="shared" ref="AL132:AM132" si="145">AL199</f>
        <v>Aumento Remunerativo</v>
      </c>
      <c r="AM132" s="248">
        <f t="shared" si="145"/>
        <v>4476.5999999999767</v>
      </c>
      <c r="AN132" s="228"/>
      <c r="AO132" s="247" t="str">
        <f t="shared" ref="AO132:AP136" si="146">AO199</f>
        <v>Aumento Remunerativo</v>
      </c>
      <c r="AP132" s="248">
        <f t="shared" si="146"/>
        <v>10982.249999999884</v>
      </c>
      <c r="AQ132" s="228"/>
      <c r="AR132" s="247" t="str">
        <f t="shared" ref="AR132:AS136" si="147">AR199</f>
        <v>Aumento Remunerativo</v>
      </c>
      <c r="AS132" s="248">
        <f t="shared" si="147"/>
        <v>0</v>
      </c>
      <c r="AT132" s="228"/>
      <c r="AU132" s="77"/>
      <c r="AV132" s="77"/>
      <c r="AW132" s="258"/>
      <c r="AX132" s="259"/>
      <c r="AY132" s="91"/>
      <c r="AZ132" s="91"/>
      <c r="BA132" s="91"/>
      <c r="BB132" s="91"/>
      <c r="BC132" s="91"/>
      <c r="BD132" s="91"/>
      <c r="BE132" s="91"/>
      <c r="BF132" s="91"/>
      <c r="BG132" s="91"/>
      <c r="BH132" s="91"/>
      <c r="BI132" s="91"/>
      <c r="BJ132" s="91"/>
      <c r="BK132" s="91"/>
      <c r="BL132" s="91"/>
    </row>
    <row r="133" spans="1:64" ht="18.75" thickBot="1">
      <c r="A133" s="91"/>
      <c r="B133" s="233"/>
      <c r="C133" s="28"/>
      <c r="D133" s="28"/>
      <c r="E133" s="247" t="str">
        <f t="shared" ref="E133:F133" si="148">E200</f>
        <v>Rem Porcentual</v>
      </c>
      <c r="F133" s="817">
        <f t="shared" si="148"/>
        <v>4.0528847461090076E-2</v>
      </c>
      <c r="G133" s="228"/>
      <c r="H133" s="247" t="str">
        <f t="shared" ref="H133:I133" si="149">H200</f>
        <v>Rem Porcentual</v>
      </c>
      <c r="I133" s="817">
        <f t="shared" si="149"/>
        <v>3.1395243076083275E-2</v>
      </c>
      <c r="J133" s="228"/>
      <c r="K133" s="247" t="str">
        <f t="shared" ref="K133:L133" si="150">K200</f>
        <v>Rem Porcentual</v>
      </c>
      <c r="L133" s="817">
        <f t="shared" si="150"/>
        <v>1.3845353154657488E-2</v>
      </c>
      <c r="M133" s="228"/>
      <c r="N133" s="247" t="str">
        <f t="shared" ref="N133:O133" si="151">N200</f>
        <v>Rem Porcentual</v>
      </c>
      <c r="O133" s="817">
        <f t="shared" si="151"/>
        <v>9.9427634073854035E-3</v>
      </c>
      <c r="P133" s="228"/>
      <c r="Q133" s="247" t="str">
        <f t="shared" ref="Q133:R133" si="152">Q200</f>
        <v>Rem Porcentual</v>
      </c>
      <c r="R133" s="817">
        <f t="shared" si="152"/>
        <v>1.856995433776799E-2</v>
      </c>
      <c r="S133" s="228"/>
      <c r="T133" s="247" t="str">
        <f t="shared" ref="T133:U133" si="153">T200</f>
        <v>Rem Porcentual</v>
      </c>
      <c r="U133" s="817">
        <f t="shared" si="153"/>
        <v>1.1447566467645311E-2</v>
      </c>
      <c r="V133" s="228"/>
      <c r="W133" s="247" t="str">
        <f t="shared" ref="W133:X133" si="154">W200</f>
        <v>Rem Porcentual</v>
      </c>
      <c r="X133" s="817">
        <f t="shared" si="154"/>
        <v>-4.0016643738390693E-3</v>
      </c>
      <c r="Y133" s="228"/>
      <c r="Z133" s="247" t="str">
        <f t="shared" ref="Z133:AA133" si="155">Z200</f>
        <v>Rem Porcentual</v>
      </c>
      <c r="AA133" s="817">
        <f t="shared" si="155"/>
        <v>1.346808819731405E-2</v>
      </c>
      <c r="AB133" s="228"/>
      <c r="AC133" s="247" t="str">
        <f t="shared" ref="AC133:AD133" si="156">AC200</f>
        <v>Rem Porcentual</v>
      </c>
      <c r="AD133" s="817">
        <f t="shared" si="156"/>
        <v>5.8763805569419375E-2</v>
      </c>
      <c r="AE133" s="228"/>
      <c r="AF133" s="247" t="str">
        <f t="shared" ref="AF133:AG133" si="157">AF200</f>
        <v>Rem Porcentual</v>
      </c>
      <c r="AG133" s="249">
        <f t="shared" si="157"/>
        <v>3.2477011240731546E-2</v>
      </c>
      <c r="AH133" s="228"/>
      <c r="AI133" s="247" t="str">
        <f t="shared" ref="AI133:AJ133" si="158">AI200</f>
        <v>Rem Porcentual</v>
      </c>
      <c r="AJ133" s="249">
        <f t="shared" si="158"/>
        <v>0</v>
      </c>
      <c r="AK133" s="228"/>
      <c r="AL133" s="247" t="str">
        <f t="shared" ref="AL133:AM133" si="159">AL200</f>
        <v>Rem Porcentual</v>
      </c>
      <c r="AM133" s="249">
        <f t="shared" si="159"/>
        <v>9.0574439337219453E-3</v>
      </c>
      <c r="AN133" s="228"/>
      <c r="AO133" s="247" t="str">
        <f t="shared" si="146"/>
        <v>Rem Porcentual</v>
      </c>
      <c r="AP133" s="249">
        <f t="shared" si="146"/>
        <v>2.029003821893266E-2</v>
      </c>
      <c r="AQ133" s="228"/>
      <c r="AR133" s="247" t="str">
        <f t="shared" si="147"/>
        <v>Rem Porcentual</v>
      </c>
      <c r="AS133" s="249">
        <f t="shared" si="147"/>
        <v>0</v>
      </c>
      <c r="AT133" s="228"/>
      <c r="AU133" s="77"/>
      <c r="AV133" s="77"/>
      <c r="AW133" s="258"/>
      <c r="AX133" s="259"/>
      <c r="AY133" s="91"/>
      <c r="AZ133" s="91"/>
      <c r="BA133" s="91"/>
      <c r="BB133" s="91"/>
      <c r="BC133" s="91"/>
      <c r="BD133" s="91"/>
      <c r="BE133" s="91"/>
      <c r="BF133" s="91"/>
      <c r="BG133" s="91"/>
      <c r="BH133" s="91"/>
      <c r="BI133" s="91"/>
      <c r="BJ133" s="91"/>
      <c r="BK133" s="91"/>
      <c r="BL133" s="91"/>
    </row>
    <row r="134" spans="1:64" ht="16.5" thickBot="1">
      <c r="A134" s="91"/>
      <c r="B134" s="28"/>
      <c r="C134" s="28"/>
      <c r="D134" s="28"/>
      <c r="E134" s="245"/>
      <c r="F134" s="250"/>
      <c r="G134" s="228"/>
      <c r="H134" s="245"/>
      <c r="I134" s="250"/>
      <c r="J134" s="228"/>
      <c r="K134" s="245"/>
      <c r="L134" s="250"/>
      <c r="M134" s="228"/>
      <c r="N134" s="245"/>
      <c r="O134" s="250"/>
      <c r="P134" s="228"/>
      <c r="Q134" s="245"/>
      <c r="R134" s="250"/>
      <c r="S134" s="228"/>
      <c r="T134" s="245"/>
      <c r="U134" s="250"/>
      <c r="V134" s="228"/>
      <c r="W134" s="245"/>
      <c r="X134" s="250"/>
      <c r="Y134" s="228"/>
      <c r="Z134" s="245"/>
      <c r="AA134" s="250"/>
      <c r="AB134" s="228"/>
      <c r="AC134" s="245"/>
      <c r="AD134" s="250"/>
      <c r="AE134" s="228"/>
      <c r="AF134" s="245"/>
      <c r="AG134" s="250"/>
      <c r="AH134" s="228"/>
      <c r="AI134" s="245"/>
      <c r="AJ134" s="250"/>
      <c r="AK134" s="228"/>
      <c r="AL134" s="245"/>
      <c r="AM134" s="250"/>
      <c r="AN134" s="228"/>
      <c r="AO134" s="245"/>
      <c r="AP134" s="250"/>
      <c r="AQ134" s="228"/>
      <c r="AR134" s="245"/>
      <c r="AS134" s="250"/>
      <c r="AT134" s="228"/>
      <c r="AU134" s="77"/>
      <c r="AV134" s="77"/>
      <c r="AW134" s="258"/>
      <c r="AX134" s="259"/>
      <c r="AY134" s="91"/>
      <c r="AZ134" s="91"/>
      <c r="BA134" s="91"/>
      <c r="BB134" s="91"/>
      <c r="BC134" s="91"/>
      <c r="BD134" s="91"/>
      <c r="BE134" s="91"/>
      <c r="BF134" s="91"/>
      <c r="BG134" s="91"/>
      <c r="BH134" s="91"/>
      <c r="BI134" s="91"/>
      <c r="BJ134" s="91"/>
      <c r="BK134" s="91"/>
      <c r="BL134" s="91"/>
    </row>
    <row r="135" spans="1:64">
      <c r="A135" s="91"/>
      <c r="B135" s="28"/>
      <c r="C135" s="28"/>
      <c r="D135" s="28"/>
      <c r="E135" s="263" t="str">
        <f t="shared" ref="E135:F135" si="160">E202</f>
        <v>Aumento acumulado</v>
      </c>
      <c r="F135" s="264">
        <f t="shared" si="160"/>
        <v>145943.723</v>
      </c>
      <c r="G135" s="228"/>
      <c r="H135" s="263" t="str">
        <f t="shared" ref="H135:I135" si="161">H202</f>
        <v>Aumento acumulado</v>
      </c>
      <c r="I135" s="264">
        <f t="shared" si="161"/>
        <v>121677.68999999983</v>
      </c>
      <c r="J135" s="228"/>
      <c r="K135" s="263" t="str">
        <f t="shared" ref="K135:L135" si="162">K202</f>
        <v>Aumento acumulado</v>
      </c>
      <c r="L135" s="264">
        <f t="shared" si="162"/>
        <v>103452.44999999995</v>
      </c>
      <c r="M135" s="228"/>
      <c r="N135" s="263" t="str">
        <f t="shared" ref="N135:O135" si="163">N202</f>
        <v>Aumento acumulado</v>
      </c>
      <c r="O135" s="264">
        <f t="shared" si="163"/>
        <v>95524.84999999986</v>
      </c>
      <c r="P135" s="228"/>
      <c r="Q135" s="263" t="str">
        <f t="shared" ref="Q135:R135" si="164">Q202</f>
        <v>Aumento acumulado</v>
      </c>
      <c r="R135" s="264">
        <f t="shared" si="164"/>
        <v>89887.849999999744</v>
      </c>
      <c r="S135" s="228"/>
      <c r="T135" s="263" t="str">
        <f t="shared" ref="T135:U135" si="165">T202</f>
        <v>Aumento acumulado</v>
      </c>
      <c r="U135" s="264">
        <f t="shared" si="165"/>
        <v>79551.649999999907</v>
      </c>
      <c r="V135" s="228"/>
      <c r="W135" s="263" t="str">
        <f t="shared" ref="W135:X135" si="166">W202</f>
        <v>Aumento acumulado</v>
      </c>
      <c r="X135" s="264">
        <f t="shared" si="166"/>
        <v>73251.949999999837</v>
      </c>
      <c r="Y135" s="228"/>
      <c r="Z135" s="263" t="str">
        <f t="shared" ref="Z135:AA135" si="167">Z202</f>
        <v>Aumento acumulado</v>
      </c>
      <c r="AA135" s="264">
        <f t="shared" si="167"/>
        <v>75462.949999999837</v>
      </c>
      <c r="AB135" s="228"/>
      <c r="AC135" s="263" t="str">
        <f t="shared" ref="AC135:AD135" si="168">AC202</f>
        <v>Aumento acumulado</v>
      </c>
      <c r="AD135" s="264">
        <f t="shared" si="168"/>
        <v>68120.449999999837</v>
      </c>
      <c r="AE135" s="228"/>
      <c r="AF135" s="263" t="str">
        <f t="shared" ref="AF135:AG135" si="169">AF202</f>
        <v>Aumento acumulado</v>
      </c>
      <c r="AG135" s="264">
        <f t="shared" si="169"/>
        <v>37861.849999999977</v>
      </c>
      <c r="AH135" s="228"/>
      <c r="AI135" s="263" t="str">
        <f t="shared" ref="AI135:AJ135" si="170">AI202</f>
        <v>Aumento acumulado</v>
      </c>
      <c r="AJ135" s="264">
        <f t="shared" si="170"/>
        <v>21664.84999999986</v>
      </c>
      <c r="AK135" s="228"/>
      <c r="AL135" s="263" t="str">
        <f t="shared" ref="AL135:AM135" si="171">AL202</f>
        <v>Aumento acumulado</v>
      </c>
      <c r="AM135" s="264">
        <f t="shared" si="171"/>
        <v>15458.84999999986</v>
      </c>
      <c r="AN135" s="228"/>
      <c r="AO135" s="263" t="str">
        <f t="shared" si="146"/>
        <v>Aumento acumulado</v>
      </c>
      <c r="AP135" s="264">
        <f t="shared" si="146"/>
        <v>10982.249999999884</v>
      </c>
      <c r="AQ135" s="228"/>
      <c r="AR135" s="263" t="str">
        <f t="shared" si="147"/>
        <v>Aumento acumulado</v>
      </c>
      <c r="AS135" s="264">
        <f t="shared" si="147"/>
        <v>0</v>
      </c>
      <c r="AT135" s="228"/>
      <c r="AU135" s="77"/>
      <c r="AV135" s="77"/>
      <c r="AW135" s="258"/>
      <c r="AX135" s="259"/>
      <c r="AY135" s="91"/>
      <c r="AZ135" s="91"/>
      <c r="BA135" s="91"/>
      <c r="BB135" s="91"/>
      <c r="BC135" s="91"/>
      <c r="BD135" s="91"/>
      <c r="BE135" s="91"/>
      <c r="BF135" s="91"/>
      <c r="BG135" s="91"/>
      <c r="BH135" s="91"/>
      <c r="BI135" s="91"/>
      <c r="BJ135" s="91"/>
      <c r="BK135" s="91"/>
      <c r="BL135" s="91"/>
    </row>
    <row r="136" spans="1:64" ht="16.5" thickBot="1">
      <c r="A136" s="91"/>
      <c r="B136" s="28"/>
      <c r="C136" s="28"/>
      <c r="D136" s="28"/>
      <c r="E136" s="265" t="str">
        <f t="shared" ref="E136:F136" si="172">E203</f>
        <v>Porcentaje acumulado</v>
      </c>
      <c r="F136" s="818">
        <f t="shared" si="172"/>
        <v>0.26963543149020947</v>
      </c>
      <c r="G136" s="228"/>
      <c r="H136" s="265" t="str">
        <f t="shared" ref="H136:I136" si="173">H203</f>
        <v>Porcentaje acumulado</v>
      </c>
      <c r="I136" s="818">
        <f t="shared" si="173"/>
        <v>0.22480320339561227</v>
      </c>
      <c r="J136" s="228"/>
      <c r="K136" s="265" t="str">
        <f t="shared" ref="K136:L136" si="174">K203</f>
        <v>Porcentaje acumulado</v>
      </c>
      <c r="L136" s="818">
        <f t="shared" si="174"/>
        <v>0.19113152262443864</v>
      </c>
      <c r="M136" s="228"/>
      <c r="N136" s="265" t="str">
        <f t="shared" ref="N136:O136" si="175">N203</f>
        <v>Porcentaje acumulado</v>
      </c>
      <c r="O136" s="818">
        <f t="shared" si="175"/>
        <v>0.17648504244192467</v>
      </c>
      <c r="P136" s="228"/>
      <c r="Q136" s="265" t="str">
        <f t="shared" ref="Q136:R136" si="176">Q203</f>
        <v>Porcentaje acumulado</v>
      </c>
      <c r="R136" s="818">
        <f t="shared" si="176"/>
        <v>0.16607051486878374</v>
      </c>
      <c r="S136" s="228"/>
      <c r="T136" s="265" t="str">
        <f t="shared" ref="T136:U136" si="177">T203</f>
        <v>Porcentaje acumulado</v>
      </c>
      <c r="U136" s="818">
        <f t="shared" si="177"/>
        <v>0.14697407351673561</v>
      </c>
      <c r="V136" s="228"/>
      <c r="W136" s="265" t="str">
        <f t="shared" ref="W136:X136" si="178">W203</f>
        <v>Porcentaje acumulado</v>
      </c>
      <c r="X136" s="818">
        <f t="shared" si="178"/>
        <v>0.13533518769936548</v>
      </c>
      <c r="Y136" s="228"/>
      <c r="Z136" s="265" t="str">
        <f t="shared" ref="Z136:AA136" si="179">Z203</f>
        <v>Porcentaje acumulado</v>
      </c>
      <c r="AA136" s="818">
        <f t="shared" si="179"/>
        <v>0.13942007690713809</v>
      </c>
      <c r="AB136" s="228"/>
      <c r="AC136" s="265" t="str">
        <f t="shared" ref="AC136:AD136" si="180">AC203</f>
        <v>Porcentaje acumulado</v>
      </c>
      <c r="AD136" s="818">
        <f t="shared" si="180"/>
        <v>0.12585458662759477</v>
      </c>
      <c r="AE136" s="228"/>
      <c r="AF136" s="265" t="str">
        <f t="shared" ref="AF136:AG136" si="181">AF203</f>
        <v>Porcentaje acumulado</v>
      </c>
      <c r="AG136" s="266">
        <f t="shared" si="181"/>
        <v>6.9950910199595095E-2</v>
      </c>
      <c r="AH136" s="228"/>
      <c r="AI136" s="265" t="str">
        <f t="shared" ref="AI136:AJ136" si="182">AI203</f>
        <v>Porcentaje acumulado</v>
      </c>
      <c r="AJ136" s="266">
        <f t="shared" si="182"/>
        <v>4.0026464022167141E-2</v>
      </c>
      <c r="AK136" s="228"/>
      <c r="AL136" s="265" t="str">
        <f t="shared" ref="AL136:AM136" si="183">AL203</f>
        <v>Porcentaje acumulado</v>
      </c>
      <c r="AM136" s="266">
        <f t="shared" si="183"/>
        <v>2.8560691781806792E-2</v>
      </c>
      <c r="AN136" s="228"/>
      <c r="AO136" s="265" t="str">
        <f t="shared" si="146"/>
        <v>Porcentaje acumulado</v>
      </c>
      <c r="AP136" s="266">
        <f t="shared" si="146"/>
        <v>2.029003821893266E-2</v>
      </c>
      <c r="AQ136" s="228"/>
      <c r="AR136" s="265" t="str">
        <f t="shared" si="147"/>
        <v>Porcentaje acumulado</v>
      </c>
      <c r="AS136" s="266">
        <f t="shared" si="147"/>
        <v>0</v>
      </c>
      <c r="AT136" s="228"/>
      <c r="AU136" s="77"/>
      <c r="AV136" s="77"/>
      <c r="AW136" s="258"/>
      <c r="AX136" s="259"/>
      <c r="AY136" s="91"/>
      <c r="AZ136" s="91"/>
      <c r="BA136" s="91"/>
      <c r="BB136" s="91"/>
      <c r="BC136" s="91"/>
      <c r="BD136" s="91"/>
      <c r="BE136" s="91"/>
      <c r="BF136" s="91"/>
      <c r="BG136" s="91"/>
      <c r="BH136" s="91"/>
      <c r="BI136" s="91"/>
      <c r="BJ136" s="91"/>
      <c r="BK136" s="91"/>
      <c r="BL136" s="91"/>
    </row>
    <row r="137" spans="1:64" ht="16.5" thickBot="1">
      <c r="A137" s="91"/>
      <c r="B137" s="28"/>
      <c r="C137" s="28"/>
      <c r="D137" s="28"/>
      <c r="E137" s="245"/>
      <c r="F137" s="246"/>
      <c r="G137" s="228"/>
      <c r="H137" s="245"/>
      <c r="I137" s="246"/>
      <c r="J137" s="228"/>
      <c r="K137" s="245"/>
      <c r="L137" s="246"/>
      <c r="M137" s="228"/>
      <c r="N137" s="245"/>
      <c r="O137" s="246"/>
      <c r="P137" s="228"/>
      <c r="Q137" s="245"/>
      <c r="R137" s="246"/>
      <c r="S137" s="228"/>
      <c r="T137" s="245"/>
      <c r="U137" s="246"/>
      <c r="V137" s="228"/>
      <c r="W137" s="245"/>
      <c r="X137" s="246"/>
      <c r="Y137" s="228"/>
      <c r="Z137" s="245"/>
      <c r="AA137" s="246"/>
      <c r="AB137" s="228"/>
      <c r="AC137" s="245"/>
      <c r="AD137" s="246"/>
      <c r="AE137" s="228"/>
      <c r="AF137" s="245"/>
      <c r="AG137" s="246"/>
      <c r="AH137" s="228"/>
      <c r="AI137" s="245"/>
      <c r="AJ137" s="246"/>
      <c r="AK137" s="228"/>
      <c r="AL137" s="245"/>
      <c r="AM137" s="246"/>
      <c r="AN137" s="228"/>
      <c r="AO137" s="245"/>
      <c r="AP137" s="246"/>
      <c r="AQ137" s="228"/>
      <c r="AR137" s="245"/>
      <c r="AS137" s="246"/>
      <c r="AT137" s="228"/>
      <c r="AU137" s="77"/>
      <c r="AV137" s="77"/>
      <c r="AW137" s="258"/>
      <c r="AX137" s="259"/>
      <c r="AY137" s="91"/>
      <c r="AZ137" s="91"/>
      <c r="BA137" s="91"/>
      <c r="BB137" s="91"/>
      <c r="BC137" s="91"/>
      <c r="BD137" s="91"/>
      <c r="BE137" s="91"/>
      <c r="BF137" s="91"/>
      <c r="BG137" s="91"/>
      <c r="BH137" s="91"/>
      <c r="BI137" s="91"/>
      <c r="BJ137" s="91"/>
      <c r="BK137" s="91"/>
      <c r="BL137" s="91"/>
    </row>
    <row r="138" spans="1:64">
      <c r="A138" s="91"/>
      <c r="B138" s="28"/>
      <c r="C138" s="28"/>
      <c r="D138" s="28"/>
      <c r="E138" s="267" t="s">
        <v>123</v>
      </c>
      <c r="F138" s="268">
        <f>F205</f>
        <v>139737.723</v>
      </c>
      <c r="G138" s="228"/>
      <c r="H138" s="267" t="s">
        <v>123</v>
      </c>
      <c r="I138" s="268">
        <f>I205</f>
        <v>115471.68999999983</v>
      </c>
      <c r="J138" s="228"/>
      <c r="K138" s="267" t="s">
        <v>123</v>
      </c>
      <c r="L138" s="268">
        <f>L205</f>
        <v>97246.449999999953</v>
      </c>
      <c r="M138" s="228"/>
      <c r="N138" s="267" t="s">
        <v>123</v>
      </c>
      <c r="O138" s="268">
        <f>O205</f>
        <v>89318.84999999986</v>
      </c>
      <c r="P138" s="228"/>
      <c r="Q138" s="267" t="s">
        <v>123</v>
      </c>
      <c r="R138" s="268">
        <f>R205</f>
        <v>83681.849999999744</v>
      </c>
      <c r="S138" s="228"/>
      <c r="T138" s="267" t="s">
        <v>123</v>
      </c>
      <c r="U138" s="268">
        <f>U205</f>
        <v>73345.649999999907</v>
      </c>
      <c r="V138" s="228"/>
      <c r="W138" s="267" t="s">
        <v>123</v>
      </c>
      <c r="X138" s="268">
        <f>X205</f>
        <v>67045.949999999837</v>
      </c>
      <c r="Y138" s="228"/>
      <c r="Z138" s="267" t="s">
        <v>123</v>
      </c>
      <c r="AA138" s="268">
        <f>AA205</f>
        <v>69256.949999999837</v>
      </c>
      <c r="AB138" s="228"/>
      <c r="AC138" s="267" t="s">
        <v>123</v>
      </c>
      <c r="AD138" s="268">
        <f>AD205</f>
        <v>61914.449999999837</v>
      </c>
      <c r="AE138" s="228"/>
      <c r="AF138" s="267" t="s">
        <v>123</v>
      </c>
      <c r="AG138" s="268">
        <f t="shared" ref="AG138:AG144" si="184">AG205</f>
        <v>31655.849999999977</v>
      </c>
      <c r="AH138" s="228"/>
      <c r="AI138" s="267" t="s">
        <v>123</v>
      </c>
      <c r="AJ138" s="268">
        <f t="shared" ref="AJ138:AJ144" si="185">AJ205</f>
        <v>15458.84999999986</v>
      </c>
      <c r="AK138" s="228"/>
      <c r="AL138" s="267" t="s">
        <v>123</v>
      </c>
      <c r="AM138" s="268">
        <f t="shared" ref="AM138:AM144" si="186">AM205</f>
        <v>15458.84999999986</v>
      </c>
      <c r="AN138" s="228"/>
      <c r="AO138" s="267" t="s">
        <v>123</v>
      </c>
      <c r="AP138" s="268">
        <f t="shared" ref="AP138:AP144" si="187">AP205</f>
        <v>10982.249999999884</v>
      </c>
      <c r="AQ138" s="228"/>
      <c r="AR138" s="267" t="s">
        <v>116</v>
      </c>
      <c r="AS138" s="268">
        <f t="shared" ref="AS138:AS144" si="188">AS205</f>
        <v>0</v>
      </c>
      <c r="AT138" s="228"/>
      <c r="AU138" s="77"/>
      <c r="AV138" s="77"/>
      <c r="AW138" s="258"/>
      <c r="AX138" s="259"/>
      <c r="AY138" s="91"/>
      <c r="AZ138" s="91"/>
      <c r="BA138" s="91"/>
      <c r="BB138" s="91"/>
      <c r="BC138" s="91"/>
      <c r="BD138" s="91"/>
      <c r="BE138" s="91"/>
      <c r="BF138" s="91"/>
      <c r="BG138" s="91"/>
      <c r="BH138" s="91"/>
      <c r="BI138" s="91"/>
      <c r="BJ138" s="91"/>
      <c r="BK138" s="91"/>
      <c r="BL138" s="91"/>
    </row>
    <row r="139" spans="1:64" ht="16.5" thickBot="1">
      <c r="A139" s="91"/>
      <c r="B139" s="28"/>
      <c r="C139" s="28"/>
      <c r="D139" s="28"/>
      <c r="E139" s="269" t="s">
        <v>185</v>
      </c>
      <c r="F139" s="505">
        <f>F206</f>
        <v>0.28915451757494848</v>
      </c>
      <c r="G139" s="228"/>
      <c r="H139" s="269" t="s">
        <v>185</v>
      </c>
      <c r="I139" s="505">
        <f>I206</f>
        <v>0.23894164080170358</v>
      </c>
      <c r="J139" s="228"/>
      <c r="K139" s="269" t="s">
        <v>185</v>
      </c>
      <c r="L139" s="505">
        <f>L206</f>
        <v>0.20122877152954849</v>
      </c>
      <c r="M139" s="228"/>
      <c r="N139" s="269" t="s">
        <v>185</v>
      </c>
      <c r="O139" s="505">
        <f>O206</f>
        <v>0.18482445847567694</v>
      </c>
      <c r="P139" s="228"/>
      <c r="Q139" s="269" t="s">
        <v>185</v>
      </c>
      <c r="R139" s="505">
        <f>R206</f>
        <v>0.17316000609605703</v>
      </c>
      <c r="S139" s="228"/>
      <c r="T139" s="269" t="s">
        <v>185</v>
      </c>
      <c r="U139" s="505">
        <f>U206</f>
        <v>0.15177165898124012</v>
      </c>
      <c r="V139" s="228"/>
      <c r="W139" s="269" t="s">
        <v>185</v>
      </c>
      <c r="X139" s="505">
        <f>X206</f>
        <v>0.13873590403075389</v>
      </c>
      <c r="Y139" s="228"/>
      <c r="Z139" s="269" t="s">
        <v>185</v>
      </c>
      <c r="AA139" s="505">
        <f>AA206</f>
        <v>0.14331105113228645</v>
      </c>
      <c r="AB139" s="228"/>
      <c r="AC139" s="269" t="s">
        <v>185</v>
      </c>
      <c r="AD139" s="505">
        <f>AD206</f>
        <v>0.12811746560854023</v>
      </c>
      <c r="AE139" s="228"/>
      <c r="AF139" s="269" t="s">
        <v>185</v>
      </c>
      <c r="AG139" s="760">
        <f t="shared" si="184"/>
        <v>6.5504373755789089E-2</v>
      </c>
      <c r="AH139" s="228"/>
      <c r="AI139" s="269" t="s">
        <v>185</v>
      </c>
      <c r="AJ139" s="760">
        <f t="shared" si="185"/>
        <v>3.1988472533028549E-2</v>
      </c>
      <c r="AK139" s="228"/>
      <c r="AL139" s="269" t="s">
        <v>185</v>
      </c>
      <c r="AM139" s="760">
        <f t="shared" si="186"/>
        <v>3.1988472533028549E-2</v>
      </c>
      <c r="AN139" s="228"/>
      <c r="AO139" s="269" t="s">
        <v>185</v>
      </c>
      <c r="AP139" s="270">
        <f t="shared" si="187"/>
        <v>2.2725196406967674E-2</v>
      </c>
      <c r="AQ139" s="228"/>
      <c r="AR139" s="269" t="s">
        <v>117</v>
      </c>
      <c r="AS139" s="270">
        <f t="shared" si="188"/>
        <v>0</v>
      </c>
      <c r="AT139" s="228"/>
      <c r="AU139" s="77"/>
      <c r="AV139" s="77"/>
      <c r="AW139" s="258"/>
      <c r="AX139" s="259"/>
      <c r="AY139" s="91"/>
      <c r="AZ139" s="91"/>
      <c r="BA139" s="91"/>
      <c r="BB139" s="91"/>
      <c r="BC139" s="91"/>
      <c r="BD139" s="91"/>
      <c r="BE139" s="91"/>
      <c r="BF139" s="91"/>
      <c r="BG139" s="91"/>
      <c r="BH139" s="91"/>
      <c r="BI139" s="91"/>
      <c r="BJ139" s="91"/>
      <c r="BK139" s="91"/>
      <c r="BL139" s="91"/>
    </row>
    <row r="140" spans="1:64" ht="16.5" thickBot="1">
      <c r="A140" s="91"/>
      <c r="B140" s="28"/>
      <c r="C140" s="28"/>
      <c r="D140" s="28"/>
      <c r="E140" s="8"/>
      <c r="F140" s="8"/>
      <c r="G140" s="228"/>
      <c r="H140" s="8"/>
      <c r="I140" s="8"/>
      <c r="J140" s="228"/>
      <c r="K140" s="8"/>
      <c r="L140" s="8"/>
      <c r="M140" s="228"/>
      <c r="N140" s="8"/>
      <c r="O140" s="8"/>
      <c r="P140" s="228"/>
      <c r="Q140" s="8"/>
      <c r="R140" s="8"/>
      <c r="S140" s="228"/>
      <c r="T140" s="8"/>
      <c r="U140" s="8"/>
      <c r="V140" s="228"/>
      <c r="W140" s="8"/>
      <c r="X140" s="8"/>
      <c r="Y140" s="228"/>
      <c r="Z140" s="8"/>
      <c r="AA140" s="8"/>
      <c r="AB140" s="228"/>
      <c r="AC140" s="8"/>
      <c r="AD140" s="8"/>
      <c r="AE140" s="228"/>
      <c r="AF140" s="8"/>
      <c r="AG140" s="8"/>
      <c r="AH140" s="228"/>
      <c r="AI140" s="8"/>
      <c r="AJ140" s="8"/>
      <c r="AK140" s="228"/>
      <c r="AL140" s="8"/>
      <c r="AM140" s="8"/>
      <c r="AN140" s="228"/>
      <c r="AO140" s="8"/>
      <c r="AP140" s="8"/>
      <c r="AQ140" s="228"/>
      <c r="AR140" s="8"/>
      <c r="AS140" s="8"/>
      <c r="AT140" s="228"/>
      <c r="AU140" s="77"/>
      <c r="AV140" s="77"/>
      <c r="AW140" s="258"/>
      <c r="AX140" s="259"/>
      <c r="AY140" s="91"/>
      <c r="AZ140" s="91"/>
      <c r="BA140" s="91"/>
      <c r="BB140" s="91"/>
      <c r="BC140" s="91"/>
      <c r="BD140" s="91"/>
      <c r="BE140" s="91"/>
      <c r="BF140" s="91"/>
      <c r="BG140" s="91"/>
      <c r="BH140" s="91"/>
      <c r="BI140" s="91"/>
      <c r="BJ140" s="91"/>
      <c r="BK140" s="91"/>
      <c r="BL140" s="91"/>
    </row>
    <row r="141" spans="1:64" ht="16.5" thickTop="1">
      <c r="A141" s="91"/>
      <c r="B141" s="91"/>
      <c r="C141" s="91"/>
      <c r="D141" s="91"/>
      <c r="E141" s="271" t="str">
        <f t="shared" ref="E141:F141" si="189">E208</f>
        <v>Medio Aguinaldo</v>
      </c>
      <c r="F141" s="272">
        <f t="shared" si="189"/>
        <v>0</v>
      </c>
      <c r="G141" s="228"/>
      <c r="H141" s="271" t="str">
        <f t="shared" ref="H141:I141" si="190">H208</f>
        <v>Medio Aguinaldo</v>
      </c>
      <c r="I141" s="272">
        <f t="shared" si="190"/>
        <v>0</v>
      </c>
      <c r="J141" s="228"/>
      <c r="K141" s="271" t="str">
        <f t="shared" ref="K141:L141" si="191">K208</f>
        <v>Medio Aguinaldo</v>
      </c>
      <c r="L141" s="272">
        <f t="shared" si="191"/>
        <v>0</v>
      </c>
      <c r="M141" s="228"/>
      <c r="N141" s="271" t="str">
        <f t="shared" ref="N141:O141" si="192">N208</f>
        <v>Medio Aguinaldo</v>
      </c>
      <c r="O141" s="272">
        <f t="shared" si="192"/>
        <v>0</v>
      </c>
      <c r="P141" s="228"/>
      <c r="Q141" s="271" t="str">
        <f t="shared" ref="Q141:R141" si="193">Q208</f>
        <v>Medio Aguinaldo</v>
      </c>
      <c r="R141" s="272">
        <f t="shared" si="193"/>
        <v>0</v>
      </c>
      <c r="S141" s="228"/>
      <c r="T141" s="271" t="str">
        <f t="shared" ref="T141:U141" si="194">T208</f>
        <v>Medio Aguinaldo</v>
      </c>
      <c r="U141" s="272">
        <f t="shared" si="194"/>
        <v>0</v>
      </c>
      <c r="V141" s="228"/>
      <c r="W141" s="271" t="str">
        <f t="shared" ref="W141:X141" si="195">W208</f>
        <v>Medio Aguinaldo</v>
      </c>
      <c r="X141" s="272">
        <f t="shared" si="195"/>
        <v>0</v>
      </c>
      <c r="Y141" s="228"/>
      <c r="Z141" s="271" t="str">
        <f t="shared" ref="Z141:AA144" si="196">Z208</f>
        <v>Medio Aguinaldo</v>
      </c>
      <c r="AA141" s="272">
        <f t="shared" si="196"/>
        <v>0</v>
      </c>
      <c r="AB141" s="228"/>
      <c r="AC141" s="271" t="str">
        <f t="shared" ref="AC141:AD144" si="197">AC208</f>
        <v>Medio Aguinaldo</v>
      </c>
      <c r="AD141" s="272">
        <f t="shared" si="197"/>
        <v>0</v>
      </c>
      <c r="AE141" s="228"/>
      <c r="AF141" s="271" t="str">
        <f t="shared" ref="AF141:AF145" si="198">AF208</f>
        <v>Medio Aguinaldo</v>
      </c>
      <c r="AG141" s="272">
        <f t="shared" si="184"/>
        <v>0</v>
      </c>
      <c r="AH141" s="228"/>
      <c r="AI141" s="271" t="str">
        <f t="shared" ref="AI141:AI145" si="199">AI208</f>
        <v>Medio Aguinaldo</v>
      </c>
      <c r="AJ141" s="272">
        <f t="shared" si="185"/>
        <v>0</v>
      </c>
      <c r="AK141" s="228"/>
      <c r="AL141" s="271" t="str">
        <f t="shared" ref="AL141" si="200">AL208</f>
        <v>Medio Aguinaldo</v>
      </c>
      <c r="AM141" s="272">
        <f t="shared" si="186"/>
        <v>0</v>
      </c>
      <c r="AN141" s="228"/>
      <c r="AO141" s="271" t="str">
        <f t="shared" ref="AO141:AP150" si="201">AO208</f>
        <v>Medio Aguinaldo</v>
      </c>
      <c r="AP141" s="272">
        <f t="shared" si="187"/>
        <v>0</v>
      </c>
      <c r="AQ141" s="228"/>
      <c r="AR141" s="271" t="str">
        <f t="shared" ref="AR141:AS150" si="202">AR208</f>
        <v>Medio Aguinaldo</v>
      </c>
      <c r="AS141" s="272">
        <f t="shared" si="188"/>
        <v>0</v>
      </c>
      <c r="AT141" s="228"/>
      <c r="AU141" s="77"/>
      <c r="AV141" s="77"/>
      <c r="AW141" s="258"/>
      <c r="AX141" s="259"/>
      <c r="AY141" s="91"/>
      <c r="AZ141" s="91"/>
      <c r="BA141" s="91"/>
      <c r="BB141" s="91"/>
      <c r="BC141" s="91"/>
      <c r="BD141" s="91"/>
      <c r="BE141" s="91"/>
      <c r="BF141" s="91"/>
      <c r="BG141" s="91"/>
      <c r="BH141" s="91"/>
      <c r="BI141" s="91"/>
      <c r="BJ141" s="91"/>
      <c r="BK141" s="91"/>
      <c r="BL141" s="91"/>
    </row>
    <row r="142" spans="1:64">
      <c r="A142" s="91"/>
      <c r="B142" s="91"/>
      <c r="C142" s="91"/>
      <c r="D142" s="91"/>
      <c r="E142" s="273" t="str">
        <f t="shared" ref="E142:F142" si="203">E209</f>
        <v>código 100</v>
      </c>
      <c r="F142" s="274">
        <f t="shared" si="203"/>
        <v>399359.53397435904</v>
      </c>
      <c r="G142" s="228"/>
      <c r="H142" s="273" t="str">
        <f t="shared" ref="H142:I142" si="204">H209</f>
        <v>código 100</v>
      </c>
      <c r="I142" s="274">
        <f t="shared" si="204"/>
        <v>383804.38461538462</v>
      </c>
      <c r="J142" s="228"/>
      <c r="K142" s="273" t="str">
        <f t="shared" ref="K142:L142" si="205">K209</f>
        <v>código 100</v>
      </c>
      <c r="L142" s="274">
        <f t="shared" si="205"/>
        <v>372121.5384615385</v>
      </c>
      <c r="M142" s="228"/>
      <c r="N142" s="273" t="str">
        <f t="shared" ref="N142:O142" si="206">N209</f>
        <v>código 100</v>
      </c>
      <c r="O142" s="274">
        <f t="shared" si="206"/>
        <v>367039.74358974356</v>
      </c>
      <c r="P142" s="228"/>
      <c r="Q142" s="273" t="str">
        <f t="shared" ref="Q142:R142" si="207">Q209</f>
        <v>código 100</v>
      </c>
      <c r="R142" s="274">
        <f t="shared" si="207"/>
        <v>363426.282051282</v>
      </c>
      <c r="S142" s="228"/>
      <c r="T142" s="273" t="str">
        <f t="shared" ref="T142:U142" si="208">T209</f>
        <v>código 100</v>
      </c>
      <c r="U142" s="274">
        <f t="shared" si="208"/>
        <v>356800.51282051287</v>
      </c>
      <c r="V142" s="228"/>
      <c r="W142" s="273" t="str">
        <f t="shared" ref="W142:X142" si="209">W209</f>
        <v>código 100</v>
      </c>
      <c r="X142" s="274">
        <f t="shared" si="209"/>
        <v>352762.24358974356</v>
      </c>
      <c r="Y142" s="228"/>
      <c r="Z142" s="273" t="str">
        <f t="shared" si="196"/>
        <v>código 100</v>
      </c>
      <c r="AA142" s="274">
        <f t="shared" si="196"/>
        <v>354179.55128205125</v>
      </c>
      <c r="AB142" s="228"/>
      <c r="AC142" s="273" t="str">
        <f t="shared" si="197"/>
        <v>código 100</v>
      </c>
      <c r="AD142" s="274">
        <f t="shared" si="197"/>
        <v>349472.8205128205</v>
      </c>
      <c r="AE142" s="228"/>
      <c r="AF142" s="273" t="str">
        <f t="shared" si="198"/>
        <v>código 100</v>
      </c>
      <c r="AG142" s="274">
        <f t="shared" si="184"/>
        <v>330076.28205128212</v>
      </c>
      <c r="AH142" s="228"/>
      <c r="AI142" s="273" t="str">
        <f t="shared" si="199"/>
        <v>código 100</v>
      </c>
      <c r="AJ142" s="274">
        <f t="shared" si="185"/>
        <v>319693.58974358975</v>
      </c>
      <c r="AK142" s="228"/>
      <c r="AL142" s="273" t="str">
        <f t="shared" ref="AL142" si="210">AL209</f>
        <v>código 100</v>
      </c>
      <c r="AM142" s="274">
        <f t="shared" si="186"/>
        <v>319693.58974358975</v>
      </c>
      <c r="AN142" s="228"/>
      <c r="AO142" s="273" t="str">
        <f t="shared" si="201"/>
        <v>código 100</v>
      </c>
      <c r="AP142" s="274">
        <f t="shared" si="187"/>
        <v>316823.97435897437</v>
      </c>
      <c r="AQ142" s="228"/>
      <c r="AR142" s="273" t="str">
        <f t="shared" si="202"/>
        <v>código 100</v>
      </c>
      <c r="AS142" s="274">
        <f t="shared" si="188"/>
        <v>309784.07051282056</v>
      </c>
      <c r="AT142" s="228"/>
      <c r="AU142" s="77"/>
      <c r="AV142" s="77"/>
      <c r="AW142" s="258"/>
      <c r="AX142" s="259"/>
      <c r="AY142" s="91"/>
      <c r="AZ142" s="91"/>
      <c r="BA142" s="91"/>
      <c r="BB142" s="91"/>
      <c r="BC142" s="91"/>
      <c r="BD142" s="91"/>
      <c r="BE142" s="91"/>
      <c r="BF142" s="91"/>
      <c r="BG142" s="91"/>
      <c r="BH142" s="91"/>
      <c r="BI142" s="91"/>
      <c r="BJ142" s="91"/>
      <c r="BK142" s="91"/>
      <c r="BL142" s="91"/>
    </row>
    <row r="143" spans="1:64">
      <c r="A143" s="91"/>
      <c r="B143" s="91"/>
      <c r="C143" s="91"/>
      <c r="D143" s="91"/>
      <c r="E143" s="273" t="str">
        <f t="shared" ref="E143:F143" si="211">E210</f>
        <v>código 186 (No remun)</v>
      </c>
      <c r="F143" s="275">
        <f t="shared" si="211"/>
        <v>0</v>
      </c>
      <c r="G143" s="228"/>
      <c r="H143" s="273" t="str">
        <f t="shared" ref="H143:I143" si="212">H210</f>
        <v>código 186 (No remun)</v>
      </c>
      <c r="I143" s="275">
        <f t="shared" si="212"/>
        <v>0</v>
      </c>
      <c r="J143" s="228"/>
      <c r="K143" s="273" t="str">
        <f t="shared" ref="K143:L143" si="213">K210</f>
        <v>código 186 (No remun)</v>
      </c>
      <c r="L143" s="275">
        <f t="shared" si="213"/>
        <v>0</v>
      </c>
      <c r="M143" s="228"/>
      <c r="N143" s="273" t="str">
        <f t="shared" ref="N143:O143" si="214">N210</f>
        <v>código 186 (No remun)</v>
      </c>
      <c r="O143" s="275">
        <f t="shared" si="214"/>
        <v>0</v>
      </c>
      <c r="P143" s="228"/>
      <c r="Q143" s="273" t="str">
        <f t="shared" ref="Q143:R143" si="215">Q210</f>
        <v>código 186 (No remun)</v>
      </c>
      <c r="R143" s="275">
        <f t="shared" si="215"/>
        <v>0</v>
      </c>
      <c r="S143" s="228"/>
      <c r="T143" s="273" t="str">
        <f t="shared" ref="T143:U143" si="216">T210</f>
        <v>código 186 (No remun)</v>
      </c>
      <c r="U143" s="275">
        <f t="shared" si="216"/>
        <v>0</v>
      </c>
      <c r="V143" s="228"/>
      <c r="W143" s="273" t="str">
        <f t="shared" ref="W143:X143" si="217">W210</f>
        <v>código 186 (No remun)</v>
      </c>
      <c r="X143" s="275">
        <f t="shared" si="217"/>
        <v>0</v>
      </c>
      <c r="Y143" s="228"/>
      <c r="Z143" s="273" t="str">
        <f t="shared" si="196"/>
        <v>código 186 (No remun)</v>
      </c>
      <c r="AA143" s="275">
        <f t="shared" si="196"/>
        <v>0</v>
      </c>
      <c r="AB143" s="228"/>
      <c r="AC143" s="273" t="str">
        <f t="shared" si="197"/>
        <v>código 186 (No remun)</v>
      </c>
      <c r="AD143" s="275">
        <f t="shared" si="197"/>
        <v>0</v>
      </c>
      <c r="AE143" s="228"/>
      <c r="AF143" s="273" t="str">
        <f t="shared" si="198"/>
        <v>código 186 (No remun)</v>
      </c>
      <c r="AG143" s="275">
        <f t="shared" si="184"/>
        <v>0</v>
      </c>
      <c r="AH143" s="228"/>
      <c r="AI143" s="273" t="str">
        <f t="shared" si="199"/>
        <v>código 186 (No remun)</v>
      </c>
      <c r="AJ143" s="275">
        <f t="shared" si="185"/>
        <v>0</v>
      </c>
      <c r="AK143" s="228"/>
      <c r="AL143" s="273" t="str">
        <f t="shared" ref="AL143" si="218">AL210</f>
        <v>código 186 (No remun)</v>
      </c>
      <c r="AM143" s="275">
        <f t="shared" si="186"/>
        <v>0</v>
      </c>
      <c r="AN143" s="228"/>
      <c r="AO143" s="273" t="str">
        <f t="shared" si="201"/>
        <v>código 186 (No remun)</v>
      </c>
      <c r="AP143" s="275">
        <f t="shared" si="187"/>
        <v>0</v>
      </c>
      <c r="AQ143" s="228"/>
      <c r="AR143" s="273" t="str">
        <f t="shared" si="202"/>
        <v>código 186 (No remun)</v>
      </c>
      <c r="AS143" s="275">
        <f t="shared" si="188"/>
        <v>0</v>
      </c>
      <c r="AT143" s="228"/>
      <c r="AU143" s="77"/>
      <c r="AV143" s="77"/>
      <c r="AW143" s="258"/>
      <c r="AX143" s="259"/>
      <c r="AY143" s="91"/>
      <c r="AZ143" s="91"/>
      <c r="BA143" s="91"/>
      <c r="BB143" s="91"/>
      <c r="BC143" s="91"/>
      <c r="BD143" s="91"/>
      <c r="BE143" s="91"/>
      <c r="BF143" s="91"/>
      <c r="BG143" s="91"/>
      <c r="BH143" s="91"/>
      <c r="BI143" s="91"/>
      <c r="BJ143" s="91"/>
      <c r="BK143" s="91"/>
      <c r="BL143" s="91"/>
    </row>
    <row r="144" spans="1:64">
      <c r="A144" s="91"/>
      <c r="B144" s="91"/>
      <c r="C144" s="91"/>
      <c r="D144" s="91"/>
      <c r="E144" s="273" t="str">
        <f t="shared" ref="E144:F144" si="219">E211</f>
        <v>Líquido</v>
      </c>
      <c r="F144" s="275">
        <f t="shared" si="219"/>
        <v>311500.43650000007</v>
      </c>
      <c r="G144" s="228"/>
      <c r="H144" s="273" t="str">
        <f t="shared" ref="H144:I144" si="220">H211</f>
        <v>Líquido</v>
      </c>
      <c r="I144" s="275">
        <f t="shared" si="220"/>
        <v>299367.42000000004</v>
      </c>
      <c r="J144" s="228"/>
      <c r="K144" s="273" t="str">
        <f t="shared" ref="K144:L144" si="221">K211</f>
        <v>Líquido</v>
      </c>
      <c r="L144" s="275">
        <f t="shared" si="221"/>
        <v>290254.80000000005</v>
      </c>
      <c r="M144" s="228"/>
      <c r="N144" s="273" t="str">
        <f t="shared" ref="N144:O144" si="222">N211</f>
        <v>Líquido</v>
      </c>
      <c r="O144" s="275">
        <f t="shared" si="222"/>
        <v>286291</v>
      </c>
      <c r="P144" s="228"/>
      <c r="Q144" s="273" t="str">
        <f t="shared" ref="Q144:R144" si="223">Q211</f>
        <v>Líquido</v>
      </c>
      <c r="R144" s="275">
        <f t="shared" si="223"/>
        <v>283472.5</v>
      </c>
      <c r="S144" s="228"/>
      <c r="T144" s="273" t="str">
        <f t="shared" ref="T144:U144" si="224">T211</f>
        <v>Líquido</v>
      </c>
      <c r="U144" s="275">
        <f t="shared" si="224"/>
        <v>278304.40000000002</v>
      </c>
      <c r="V144" s="228"/>
      <c r="W144" s="273" t="str">
        <f t="shared" ref="W144:X144" si="225">W211</f>
        <v>Líquido</v>
      </c>
      <c r="X144" s="275">
        <f t="shared" si="225"/>
        <v>275154.55</v>
      </c>
      <c r="Y144" s="228"/>
      <c r="Z144" s="273" t="str">
        <f t="shared" si="196"/>
        <v>Líquido</v>
      </c>
      <c r="AA144" s="275">
        <f t="shared" si="196"/>
        <v>276260.05</v>
      </c>
      <c r="AB144" s="228"/>
      <c r="AC144" s="273" t="str">
        <f t="shared" si="197"/>
        <v>Líquido</v>
      </c>
      <c r="AD144" s="275">
        <f t="shared" si="197"/>
        <v>272588.79999999999</v>
      </c>
      <c r="AE144" s="228"/>
      <c r="AF144" s="273" t="str">
        <f t="shared" si="198"/>
        <v>Líquido</v>
      </c>
      <c r="AG144" s="275">
        <f t="shared" si="184"/>
        <v>257459.50000000006</v>
      </c>
      <c r="AH144" s="228"/>
      <c r="AI144" s="273" t="str">
        <f t="shared" si="199"/>
        <v>Líquido</v>
      </c>
      <c r="AJ144" s="275">
        <f t="shared" si="185"/>
        <v>249361</v>
      </c>
      <c r="AK144" s="228"/>
      <c r="AL144" s="273" t="str">
        <f t="shared" ref="AL144" si="226">AL211</f>
        <v>Líquido</v>
      </c>
      <c r="AM144" s="275">
        <f t="shared" si="186"/>
        <v>249361</v>
      </c>
      <c r="AN144" s="228"/>
      <c r="AO144" s="273" t="str">
        <f t="shared" si="201"/>
        <v>Líquido</v>
      </c>
      <c r="AP144" s="275">
        <f t="shared" si="187"/>
        <v>247122.7</v>
      </c>
      <c r="AQ144" s="228"/>
      <c r="AR144" s="273" t="str">
        <f t="shared" si="202"/>
        <v>Líquido</v>
      </c>
      <c r="AS144" s="275">
        <f t="shared" si="188"/>
        <v>241631.57500000004</v>
      </c>
      <c r="AT144" s="228"/>
      <c r="AU144" s="77"/>
      <c r="AV144" s="77"/>
      <c r="AW144" s="258"/>
      <c r="AX144" s="259"/>
      <c r="AY144" s="91"/>
      <c r="AZ144" s="91"/>
      <c r="BA144" s="91"/>
      <c r="BB144" s="91"/>
      <c r="BC144" s="91"/>
      <c r="BD144" s="91"/>
      <c r="BE144" s="91"/>
      <c r="BF144" s="91"/>
      <c r="BG144" s="91"/>
      <c r="BH144" s="91"/>
      <c r="BI144" s="91"/>
      <c r="BJ144" s="91"/>
      <c r="BK144" s="91"/>
      <c r="BL144" s="91"/>
    </row>
    <row r="145" spans="1:64">
      <c r="A145" s="91"/>
      <c r="B145" s="91"/>
      <c r="C145" s="91"/>
      <c r="D145" s="91"/>
      <c r="E145" s="273" t="str">
        <f>E212</f>
        <v>Descuentos con aguinaldo</v>
      </c>
      <c r="F145" s="275"/>
      <c r="G145" s="228"/>
      <c r="H145" s="273" t="str">
        <f>H212</f>
        <v>Descuentos con aguinaldo</v>
      </c>
      <c r="I145" s="275"/>
      <c r="J145" s="228"/>
      <c r="K145" s="273" t="str">
        <f>K212</f>
        <v>Descuentos con aguinaldo</v>
      </c>
      <c r="L145" s="275"/>
      <c r="M145" s="228"/>
      <c r="N145" s="273" t="str">
        <f>N212</f>
        <v>Descuentos con aguinaldo</v>
      </c>
      <c r="O145" s="275"/>
      <c r="P145" s="228"/>
      <c r="Q145" s="273" t="str">
        <f>Q212</f>
        <v>Descuentos con aguinaldo</v>
      </c>
      <c r="R145" s="275"/>
      <c r="S145" s="228"/>
      <c r="T145" s="273" t="str">
        <f>T212</f>
        <v>Descuentos con aguinaldo</v>
      </c>
      <c r="U145" s="275"/>
      <c r="V145" s="228"/>
      <c r="W145" s="273" t="str">
        <f>W212</f>
        <v>Descuentos con aguinaldo</v>
      </c>
      <c r="X145" s="275"/>
      <c r="Y145" s="228"/>
      <c r="Z145" s="273" t="str">
        <f>Z212</f>
        <v>Descuentos con aguinaldo</v>
      </c>
      <c r="AA145" s="275"/>
      <c r="AB145" s="228"/>
      <c r="AC145" s="273" t="str">
        <f>AC212</f>
        <v>Descuentos con aguinaldo</v>
      </c>
      <c r="AD145" s="275"/>
      <c r="AE145" s="228"/>
      <c r="AF145" s="273" t="str">
        <f t="shared" si="198"/>
        <v>Descuentos con aguinaldo</v>
      </c>
      <c r="AG145" s="275"/>
      <c r="AH145" s="228"/>
      <c r="AI145" s="273" t="str">
        <f t="shared" si="199"/>
        <v>Descuentos con aguinaldo</v>
      </c>
      <c r="AJ145" s="275"/>
      <c r="AK145" s="228"/>
      <c r="AL145" s="273" t="str">
        <f t="shared" ref="AL145" si="227">AL212</f>
        <v>Descuentos con aguinaldo</v>
      </c>
      <c r="AM145" s="275"/>
      <c r="AN145" s="228"/>
      <c r="AO145" s="273" t="str">
        <f t="shared" si="201"/>
        <v>Descuentos con aguinaldo</v>
      </c>
      <c r="AP145" s="275"/>
      <c r="AQ145" s="228"/>
      <c r="AR145" s="273" t="str">
        <f t="shared" si="202"/>
        <v>Descuentos con aguinaldo</v>
      </c>
      <c r="AS145" s="275"/>
      <c r="AT145" s="228"/>
      <c r="AU145" s="77"/>
      <c r="AV145" s="77"/>
      <c r="AW145" s="258"/>
      <c r="AX145" s="259"/>
      <c r="AY145" s="91"/>
      <c r="AZ145" s="91"/>
      <c r="BA145" s="91"/>
      <c r="BB145" s="91"/>
      <c r="BC145" s="91"/>
      <c r="BD145" s="91"/>
      <c r="BE145" s="91"/>
      <c r="BF145" s="91"/>
      <c r="BG145" s="91"/>
      <c r="BH145" s="91"/>
      <c r="BI145" s="91"/>
      <c r="BJ145" s="91"/>
      <c r="BK145" s="91"/>
      <c r="BL145" s="91"/>
    </row>
    <row r="146" spans="1:64">
      <c r="A146" s="91"/>
      <c r="B146" s="91"/>
      <c r="C146" s="91"/>
      <c r="D146" s="91"/>
      <c r="E146" s="276">
        <f t="shared" ref="E146:F146" si="228">E213</f>
        <v>502</v>
      </c>
      <c r="F146" s="275">
        <f t="shared" si="228"/>
        <v>-206255.90536034471</v>
      </c>
      <c r="G146" s="228"/>
      <c r="H146" s="276">
        <f t="shared" ref="H146:I146" si="229">H213</f>
        <v>502</v>
      </c>
      <c r="I146" s="275">
        <f t="shared" si="229"/>
        <v>-200337.60265952852</v>
      </c>
      <c r="J146" s="228"/>
      <c r="K146" s="276">
        <f t="shared" ref="K146:L146" si="230">K213</f>
        <v>502</v>
      </c>
      <c r="L146" s="275">
        <f t="shared" si="230"/>
        <v>-196229.91547798415</v>
      </c>
      <c r="M146" s="228"/>
      <c r="N146" s="276">
        <f t="shared" ref="N146:O146" si="231">N213</f>
        <v>502</v>
      </c>
      <c r="O146" s="275">
        <f t="shared" si="231"/>
        <v>-195662.95490754396</v>
      </c>
      <c r="P146" s="228"/>
      <c r="Q146" s="276">
        <f t="shared" ref="Q146:R146" si="232">Q213</f>
        <v>502</v>
      </c>
      <c r="R146" s="275">
        <f t="shared" si="232"/>
        <v>-195711.07171743875</v>
      </c>
      <c r="S146" s="228"/>
      <c r="T146" s="276">
        <f t="shared" ref="T146:U146" si="233">T213</f>
        <v>502</v>
      </c>
      <c r="U146" s="275">
        <f t="shared" si="233"/>
        <v>-193824.82983274246</v>
      </c>
      <c r="V146" s="228"/>
      <c r="W146" s="276">
        <f t="shared" ref="W146:X146" si="234">W213</f>
        <v>502</v>
      </c>
      <c r="X146" s="275">
        <f t="shared" si="234"/>
        <v>-193114.92678369561</v>
      </c>
      <c r="Y146" s="228"/>
      <c r="Z146" s="276">
        <f t="shared" ref="Z146:AA146" si="235">Z213</f>
        <v>502</v>
      </c>
      <c r="AA146" s="275">
        <f t="shared" si="235"/>
        <v>-195415.20029206324</v>
      </c>
      <c r="AB146" s="228"/>
      <c r="AC146" s="276">
        <f t="shared" ref="AC146:AD146" si="236">AC213</f>
        <v>502</v>
      </c>
      <c r="AD146" s="275">
        <f t="shared" si="236"/>
        <v>-195518.20517250008</v>
      </c>
      <c r="AE146" s="228"/>
      <c r="AF146" s="276">
        <f t="shared" ref="AF146:AG146" si="237">AF213</f>
        <v>502</v>
      </c>
      <c r="AG146" s="275">
        <f t="shared" si="237"/>
        <v>-188143.48076923078</v>
      </c>
      <c r="AH146" s="228"/>
      <c r="AI146" s="276">
        <f t="shared" ref="AI146:AJ146" si="238">AI213</f>
        <v>502</v>
      </c>
      <c r="AJ146" s="275">
        <f t="shared" si="238"/>
        <v>-182225.34615384616</v>
      </c>
      <c r="AK146" s="228"/>
      <c r="AL146" s="276">
        <f t="shared" ref="AL146:AM146" si="239">AL213</f>
        <v>502</v>
      </c>
      <c r="AM146" s="275">
        <f t="shared" si="239"/>
        <v>-182225.34615384616</v>
      </c>
      <c r="AN146" s="228"/>
      <c r="AO146" s="276">
        <f t="shared" si="201"/>
        <v>502</v>
      </c>
      <c r="AP146" s="275">
        <f t="shared" si="201"/>
        <v>-180589.66538461536</v>
      </c>
      <c r="AQ146" s="228"/>
      <c r="AR146" s="276">
        <f t="shared" si="202"/>
        <v>502</v>
      </c>
      <c r="AS146" s="275">
        <f t="shared" si="202"/>
        <v>-176576.92019230771</v>
      </c>
      <c r="AT146" s="228"/>
      <c r="AU146" s="77"/>
      <c r="AV146" s="77"/>
      <c r="AW146" s="258"/>
      <c r="AX146" s="259"/>
      <c r="AY146" s="91"/>
      <c r="AZ146" s="91"/>
      <c r="BA146" s="91"/>
      <c r="BB146" s="91"/>
      <c r="BC146" s="91"/>
      <c r="BD146" s="91"/>
      <c r="BE146" s="91"/>
      <c r="BF146" s="91"/>
      <c r="BG146" s="91"/>
      <c r="BH146" s="91"/>
      <c r="BI146" s="91"/>
      <c r="BJ146" s="91"/>
      <c r="BK146" s="91"/>
      <c r="BL146" s="91"/>
    </row>
    <row r="147" spans="1:64">
      <c r="A147" s="91"/>
      <c r="B147" s="91"/>
      <c r="C147" s="91"/>
      <c r="D147" s="91"/>
      <c r="E147" s="276">
        <f t="shared" ref="E147:F147" si="240">E214</f>
        <v>505</v>
      </c>
      <c r="F147" s="275">
        <f t="shared" si="240"/>
        <v>-32566.721899001794</v>
      </c>
      <c r="G147" s="228"/>
      <c r="H147" s="276">
        <f t="shared" ref="H147:I147" si="241">H214</f>
        <v>505</v>
      </c>
      <c r="I147" s="275">
        <f t="shared" si="241"/>
        <v>-31632.253051504504</v>
      </c>
      <c r="J147" s="228"/>
      <c r="K147" s="276">
        <f t="shared" ref="K147:L147" si="242">K214</f>
        <v>505</v>
      </c>
      <c r="L147" s="275">
        <f t="shared" si="242"/>
        <v>-30983.670864944866</v>
      </c>
      <c r="M147" s="228"/>
      <c r="N147" s="276">
        <f t="shared" ref="N147:O147" si="243">N214</f>
        <v>505</v>
      </c>
      <c r="O147" s="275">
        <f t="shared" si="243"/>
        <v>-30894.150774875361</v>
      </c>
      <c r="P147" s="228"/>
      <c r="Q147" s="276">
        <f t="shared" ref="Q147:R147" si="244">Q214</f>
        <v>505</v>
      </c>
      <c r="R147" s="275">
        <f t="shared" si="244"/>
        <v>-30901.74816591138</v>
      </c>
      <c r="S147" s="228"/>
      <c r="T147" s="276">
        <f t="shared" ref="T147:U147" si="245">T214</f>
        <v>505</v>
      </c>
      <c r="U147" s="275">
        <f t="shared" si="245"/>
        <v>-30603.920499906701</v>
      </c>
      <c r="V147" s="228"/>
      <c r="W147" s="276">
        <f t="shared" ref="W147:X147" si="246">W214</f>
        <v>505</v>
      </c>
      <c r="X147" s="275">
        <f t="shared" si="246"/>
        <v>-30491.83054479404</v>
      </c>
      <c r="Y147" s="228"/>
      <c r="Z147" s="276">
        <f t="shared" ref="Z147:AA147" si="247">Z214</f>
        <v>505</v>
      </c>
      <c r="AA147" s="275">
        <f t="shared" si="247"/>
        <v>-30855.031625062613</v>
      </c>
      <c r="AB147" s="228"/>
      <c r="AC147" s="276">
        <f t="shared" ref="AC147:AD147" si="248">AC214</f>
        <v>505</v>
      </c>
      <c r="AD147" s="275">
        <f t="shared" si="248"/>
        <v>-30871.295553552642</v>
      </c>
      <c r="AE147" s="228"/>
      <c r="AF147" s="276">
        <f t="shared" ref="AF147:AG147" si="249">AF214</f>
        <v>505</v>
      </c>
      <c r="AG147" s="275">
        <f t="shared" si="249"/>
        <v>-29706.865384615383</v>
      </c>
      <c r="AH147" s="228"/>
      <c r="AI147" s="276">
        <f t="shared" ref="AI147:AJ147" si="250">AI214</f>
        <v>505</v>
      </c>
      <c r="AJ147" s="275">
        <f t="shared" si="250"/>
        <v>-28772.423076923078</v>
      </c>
      <c r="AK147" s="228"/>
      <c r="AL147" s="276">
        <f t="shared" ref="AL147:AM147" si="251">AL214</f>
        <v>505</v>
      </c>
      <c r="AM147" s="275">
        <f t="shared" si="251"/>
        <v>-28772.423076923078</v>
      </c>
      <c r="AN147" s="228"/>
      <c r="AO147" s="276">
        <f t="shared" si="201"/>
        <v>505</v>
      </c>
      <c r="AP147" s="275">
        <f t="shared" si="201"/>
        <v>-28514.15769230769</v>
      </c>
      <c r="AQ147" s="228"/>
      <c r="AR147" s="276">
        <f t="shared" si="202"/>
        <v>505</v>
      </c>
      <c r="AS147" s="275">
        <f t="shared" si="202"/>
        <v>-27880.566346153846</v>
      </c>
      <c r="AT147" s="228"/>
      <c r="AU147" s="77"/>
      <c r="AV147" s="77"/>
      <c r="AW147" s="258"/>
      <c r="AX147" s="259"/>
      <c r="AY147" s="91"/>
      <c r="AZ147" s="91"/>
      <c r="BA147" s="91"/>
      <c r="BB147" s="91"/>
      <c r="BC147" s="91"/>
      <c r="BD147" s="91"/>
      <c r="BE147" s="91"/>
      <c r="BF147" s="91"/>
      <c r="BG147" s="91"/>
      <c r="BH147" s="91"/>
      <c r="BI147" s="91"/>
      <c r="BJ147" s="91"/>
      <c r="BK147" s="91"/>
      <c r="BL147" s="91"/>
    </row>
    <row r="148" spans="1:64">
      <c r="A148" s="91"/>
      <c r="B148" s="91"/>
      <c r="C148" s="91"/>
      <c r="D148" s="91"/>
      <c r="E148" s="273"/>
      <c r="F148" s="275"/>
      <c r="G148" s="228"/>
      <c r="H148" s="273"/>
      <c r="I148" s="275"/>
      <c r="J148" s="228"/>
      <c r="K148" s="273"/>
      <c r="L148" s="275"/>
      <c r="M148" s="228"/>
      <c r="N148" s="273"/>
      <c r="O148" s="275"/>
      <c r="P148" s="228"/>
      <c r="Q148" s="273"/>
      <c r="R148" s="275"/>
      <c r="S148" s="228"/>
      <c r="T148" s="273"/>
      <c r="U148" s="275"/>
      <c r="V148" s="228"/>
      <c r="W148" s="273"/>
      <c r="X148" s="275"/>
      <c r="Y148" s="228"/>
      <c r="Z148" s="273"/>
      <c r="AA148" s="275"/>
      <c r="AB148" s="228"/>
      <c r="AC148" s="273"/>
      <c r="AD148" s="275"/>
      <c r="AE148" s="228"/>
      <c r="AF148" s="273"/>
      <c r="AG148" s="275"/>
      <c r="AH148" s="228"/>
      <c r="AI148" s="273"/>
      <c r="AJ148" s="275"/>
      <c r="AK148" s="228"/>
      <c r="AL148" s="273"/>
      <c r="AM148" s="275"/>
      <c r="AN148" s="228"/>
      <c r="AO148" s="273"/>
      <c r="AP148" s="275"/>
      <c r="AQ148" s="228"/>
      <c r="AR148" s="273"/>
      <c r="AS148" s="275"/>
      <c r="AT148" s="228"/>
      <c r="AU148" s="77"/>
      <c r="AV148" s="77"/>
      <c r="AW148" s="258"/>
      <c r="AX148" s="259"/>
      <c r="AY148" s="91"/>
      <c r="AZ148" s="91"/>
      <c r="BA148" s="91"/>
      <c r="BB148" s="91"/>
      <c r="BC148" s="91"/>
      <c r="BD148" s="91"/>
      <c r="BE148" s="91"/>
      <c r="BF148" s="91"/>
      <c r="BG148" s="91"/>
      <c r="BH148" s="91"/>
      <c r="BI148" s="91"/>
      <c r="BJ148" s="91"/>
      <c r="BK148" s="91"/>
      <c r="BL148" s="91"/>
    </row>
    <row r="149" spans="1:64">
      <c r="A149" s="91"/>
      <c r="B149" s="91"/>
      <c r="C149" s="91"/>
      <c r="D149" s="91"/>
      <c r="E149" s="273" t="str">
        <f>E216</f>
        <v>Sueldo líquido incluyendo aguinaldo</v>
      </c>
      <c r="F149" s="275"/>
      <c r="G149" s="228"/>
      <c r="H149" s="273" t="str">
        <f>H216</f>
        <v>Sueldo líquido incluyendo aguinaldo</v>
      </c>
      <c r="I149" s="275"/>
      <c r="J149" s="228"/>
      <c r="K149" s="273" t="str">
        <f>K216</f>
        <v>Sueldo líquido incluyendo aguinaldo</v>
      </c>
      <c r="L149" s="275"/>
      <c r="M149" s="228"/>
      <c r="N149" s="273" t="str">
        <f>N216</f>
        <v>Sueldo líquido incluyendo aguinaldo</v>
      </c>
      <c r="O149" s="275"/>
      <c r="P149" s="228"/>
      <c r="Q149" s="273" t="str">
        <f>Q216</f>
        <v>Sueldo líquido incluyendo aguinaldo</v>
      </c>
      <c r="R149" s="275"/>
      <c r="S149" s="228"/>
      <c r="T149" s="273" t="str">
        <f>T216</f>
        <v>Sueldo líquido incluyendo aguinaldo</v>
      </c>
      <c r="U149" s="275"/>
      <c r="V149" s="228"/>
      <c r="W149" s="273" t="str">
        <f>W216</f>
        <v>Sueldo líquido incluyendo aguinaldo</v>
      </c>
      <c r="X149" s="275"/>
      <c r="Y149" s="228"/>
      <c r="Z149" s="273" t="str">
        <f>Z216</f>
        <v>Sueldo líquido incluyendo aguinaldo</v>
      </c>
      <c r="AA149" s="275"/>
      <c r="AB149" s="228"/>
      <c r="AC149" s="273" t="str">
        <f>AC216</f>
        <v>Sueldo líquido incluyendo aguinaldo</v>
      </c>
      <c r="AD149" s="275"/>
      <c r="AE149" s="228"/>
      <c r="AF149" s="273" t="str">
        <f>AF216</f>
        <v>Sueldo líquido incluyendo aguinaldo</v>
      </c>
      <c r="AG149" s="275"/>
      <c r="AH149" s="228"/>
      <c r="AI149" s="273" t="str">
        <f>AI216</f>
        <v>Sueldo líquido incluyendo aguinaldo</v>
      </c>
      <c r="AJ149" s="275"/>
      <c r="AK149" s="228"/>
      <c r="AL149" s="273" t="str">
        <f>AL216</f>
        <v>Sueldo líquido incluyendo aguinaldo</v>
      </c>
      <c r="AM149" s="275"/>
      <c r="AN149" s="228"/>
      <c r="AO149" s="273" t="str">
        <f>AO216</f>
        <v>Sueldo líquido incluyendo aguinaldo</v>
      </c>
      <c r="AP149" s="275"/>
      <c r="AQ149" s="228"/>
      <c r="AR149" s="273" t="str">
        <f>AR216</f>
        <v>Sueldo líquido incluyendo aguinaldo</v>
      </c>
      <c r="AS149" s="275"/>
      <c r="AT149" s="228"/>
      <c r="AU149" s="77"/>
      <c r="AV149" s="77"/>
      <c r="AW149" s="258"/>
      <c r="AX149" s="259"/>
      <c r="AY149" s="91"/>
      <c r="AZ149" s="91"/>
      <c r="BA149" s="91"/>
      <c r="BB149" s="91"/>
      <c r="BC149" s="91"/>
      <c r="BD149" s="91"/>
      <c r="BE149" s="91"/>
      <c r="BF149" s="91"/>
      <c r="BG149" s="91"/>
      <c r="BH149" s="91"/>
      <c r="BI149" s="91"/>
      <c r="BJ149" s="91"/>
      <c r="BK149" s="91"/>
      <c r="BL149" s="91"/>
    </row>
    <row r="150" spans="1:64">
      <c r="A150" s="91"/>
      <c r="B150" s="91"/>
      <c r="C150" s="91"/>
      <c r="D150" s="91"/>
      <c r="E150" s="273"/>
      <c r="F150" s="274">
        <f>F217</f>
        <v>1023461.9746637306</v>
      </c>
      <c r="G150" s="228"/>
      <c r="H150" s="273"/>
      <c r="I150" s="274">
        <f>I217</f>
        <v>983649.298135121</v>
      </c>
      <c r="J150" s="228"/>
      <c r="K150" s="273"/>
      <c r="L150" s="274">
        <f>L217</f>
        <v>953357.02904168656</v>
      </c>
      <c r="M150" s="228"/>
      <c r="N150" s="273"/>
      <c r="O150" s="274">
        <f>O217</f>
        <v>938768.12508681149</v>
      </c>
      <c r="P150" s="228"/>
      <c r="Q150" s="273"/>
      <c r="R150" s="274">
        <f>R217</f>
        <v>927872.02627049584</v>
      </c>
      <c r="S150" s="228"/>
      <c r="T150" s="273"/>
      <c r="U150" s="274">
        <f>U217</f>
        <v>910178.7881288894</v>
      </c>
      <c r="V150" s="228"/>
      <c r="W150" s="273"/>
      <c r="X150" s="274">
        <f>X217</f>
        <v>898885.97344074107</v>
      </c>
      <c r="Y150" s="228"/>
      <c r="Z150" s="273"/>
      <c r="AA150" s="274">
        <f>AA217</f>
        <v>900474.421929028</v>
      </c>
      <c r="AB150" s="228"/>
      <c r="AC150" s="273"/>
      <c r="AD150" s="274">
        <f>AD217</f>
        <v>886234.96081240871</v>
      </c>
      <c r="AE150" s="228"/>
      <c r="AF150" s="273"/>
      <c r="AG150" s="274">
        <f t="shared" ref="AG150" si="252">AG217</f>
        <v>836584.50000000035</v>
      </c>
      <c r="AH150" s="228"/>
      <c r="AI150" s="273"/>
      <c r="AJ150" s="274">
        <f t="shared" ref="AJ150" si="253">AJ217</f>
        <v>812289</v>
      </c>
      <c r="AK150" s="228"/>
      <c r="AL150" s="273"/>
      <c r="AM150" s="274">
        <f t="shared" ref="AM150" si="254">AM217</f>
        <v>806083</v>
      </c>
      <c r="AN150" s="228"/>
      <c r="AO150" s="273"/>
      <c r="AP150" s="274">
        <f t="shared" si="201"/>
        <v>799368.1</v>
      </c>
      <c r="AQ150" s="228"/>
      <c r="AR150" s="273"/>
      <c r="AS150" s="274">
        <f t="shared" si="202"/>
        <v>782894.72500000021</v>
      </c>
      <c r="AT150" s="228"/>
      <c r="AU150" s="77"/>
      <c r="AV150" s="77"/>
      <c r="AW150" s="258"/>
      <c r="AX150" s="259"/>
      <c r="AY150" s="91"/>
      <c r="AZ150" s="91"/>
      <c r="BA150" s="91"/>
      <c r="BB150" s="91"/>
      <c r="BC150" s="91"/>
      <c r="BD150" s="91"/>
      <c r="BE150" s="91"/>
      <c r="BF150" s="91"/>
      <c r="BG150" s="91"/>
      <c r="BH150" s="91"/>
      <c r="BI150" s="91"/>
      <c r="BJ150" s="91"/>
      <c r="BK150" s="91"/>
      <c r="BL150" s="91"/>
    </row>
    <row r="151" spans="1:64">
      <c r="A151" s="91"/>
      <c r="B151" s="91"/>
      <c r="C151" s="91"/>
      <c r="D151" s="91"/>
      <c r="E151" s="277" t="str">
        <f>E218</f>
        <v>Aguinaldo de bolsillo</v>
      </c>
      <c r="F151" s="278"/>
      <c r="G151" s="279"/>
      <c r="H151" s="277" t="str">
        <f>H218</f>
        <v>Aguinaldo de bolsillo</v>
      </c>
      <c r="I151" s="278"/>
      <c r="J151" s="279"/>
      <c r="K151" s="277" t="str">
        <f>K218</f>
        <v>Aguinaldo de bolsillo</v>
      </c>
      <c r="L151" s="278"/>
      <c r="M151" s="279"/>
      <c r="N151" s="277" t="str">
        <f>N218</f>
        <v>Aguinaldo de bolsillo</v>
      </c>
      <c r="O151" s="278"/>
      <c r="P151" s="279"/>
      <c r="Q151" s="277" t="str">
        <f>Q218</f>
        <v>Aguinaldo de bolsillo</v>
      </c>
      <c r="R151" s="278"/>
      <c r="S151" s="279"/>
      <c r="T151" s="277" t="str">
        <f>T218</f>
        <v>Aguinaldo de bolsillo</v>
      </c>
      <c r="U151" s="278"/>
      <c r="V151" s="279"/>
      <c r="W151" s="277" t="str">
        <f>W218</f>
        <v>Aguinaldo de bolsillo</v>
      </c>
      <c r="X151" s="278"/>
      <c r="Y151" s="279"/>
      <c r="Z151" s="277" t="str">
        <f>Z218</f>
        <v>Aguinaldo de bolsillo</v>
      </c>
      <c r="AA151" s="278"/>
      <c r="AB151" s="279"/>
      <c r="AC151" s="277" t="str">
        <f>AC218</f>
        <v>Aguinaldo de bolsillo</v>
      </c>
      <c r="AD151" s="278"/>
      <c r="AE151" s="279"/>
      <c r="AF151" s="277" t="str">
        <f>AF218</f>
        <v>Aguinaldo de bolsillo</v>
      </c>
      <c r="AG151" s="278"/>
      <c r="AH151" s="279"/>
      <c r="AI151" s="277" t="str">
        <f>AI218</f>
        <v>Aguinaldo de bolsillo</v>
      </c>
      <c r="AJ151" s="278"/>
      <c r="AK151" s="279"/>
      <c r="AL151" s="277" t="str">
        <f>AL218</f>
        <v>Aguinaldo de bolsillo</v>
      </c>
      <c r="AM151" s="278"/>
      <c r="AN151" s="279"/>
      <c r="AO151" s="277" t="str">
        <f>AO218</f>
        <v>Aguinaldo de bolsillo</v>
      </c>
      <c r="AP151" s="278"/>
      <c r="AQ151" s="279"/>
      <c r="AR151" s="277" t="str">
        <f>AR218</f>
        <v>Aguinaldo de bolsillo</v>
      </c>
      <c r="AS151" s="278"/>
      <c r="AT151" s="279"/>
      <c r="AU151" s="77"/>
      <c r="AV151" s="77"/>
      <c r="AW151" s="258"/>
      <c r="AX151" s="259"/>
      <c r="AY151" s="91"/>
      <c r="AZ151" s="91"/>
      <c r="BA151" s="91"/>
      <c r="BB151" s="91"/>
      <c r="BC151" s="91"/>
      <c r="BD151" s="91"/>
      <c r="BE151" s="91"/>
      <c r="BF151" s="91"/>
      <c r="BG151" s="91"/>
      <c r="BH151" s="91"/>
      <c r="BI151" s="91"/>
      <c r="BJ151" s="91"/>
      <c r="BK151" s="91"/>
      <c r="BL151" s="91"/>
    </row>
    <row r="152" spans="1:64" ht="16.5" thickBot="1">
      <c r="A152" s="91"/>
      <c r="B152" s="91"/>
      <c r="C152" s="91"/>
      <c r="D152" s="91"/>
      <c r="E152" s="280"/>
      <c r="F152" s="281">
        <f>F219</f>
        <v>336255.10166373046</v>
      </c>
      <c r="G152" s="228"/>
      <c r="H152" s="280"/>
      <c r="I152" s="281">
        <f>I219</f>
        <v>320708.45813512104</v>
      </c>
      <c r="J152" s="228"/>
      <c r="K152" s="280"/>
      <c r="L152" s="281">
        <f>L219</f>
        <v>308641.42904168647</v>
      </c>
      <c r="M152" s="228"/>
      <c r="N152" s="280"/>
      <c r="O152" s="281">
        <f>O219</f>
        <v>301980.12508681149</v>
      </c>
      <c r="P152" s="228"/>
      <c r="Q152" s="280"/>
      <c r="R152" s="281">
        <f>R219</f>
        <v>296721.02627049596</v>
      </c>
      <c r="S152" s="228"/>
      <c r="T152" s="280"/>
      <c r="U152" s="281">
        <f>U219</f>
        <v>289363.98812888935</v>
      </c>
      <c r="V152" s="228"/>
      <c r="W152" s="280"/>
      <c r="X152" s="281">
        <f>X219</f>
        <v>284370.8734407411</v>
      </c>
      <c r="Y152" s="228"/>
      <c r="Z152" s="280"/>
      <c r="AA152" s="281">
        <f>AA219</f>
        <v>283748.32192902802</v>
      </c>
      <c r="AB152" s="228"/>
      <c r="AC152" s="280"/>
      <c r="AD152" s="281">
        <f>AD219</f>
        <v>276851.36081240873</v>
      </c>
      <c r="AE152" s="228"/>
      <c r="AF152" s="280"/>
      <c r="AG152" s="281">
        <f>AG219</f>
        <v>257459.50000000023</v>
      </c>
      <c r="AH152" s="228"/>
      <c r="AI152" s="280"/>
      <c r="AJ152" s="281">
        <f>AJ219</f>
        <v>249361</v>
      </c>
      <c r="AK152" s="228"/>
      <c r="AL152" s="280"/>
      <c r="AM152" s="281">
        <f>AM219</f>
        <v>249361</v>
      </c>
      <c r="AN152" s="228"/>
      <c r="AO152" s="280"/>
      <c r="AP152" s="281">
        <f>AP219</f>
        <v>247122.69999999995</v>
      </c>
      <c r="AQ152" s="228"/>
      <c r="AR152" s="280"/>
      <c r="AS152" s="281">
        <f>AS219</f>
        <v>241631.57500000007</v>
      </c>
      <c r="AT152" s="228"/>
      <c r="AU152" s="77"/>
      <c r="AV152" s="77"/>
      <c r="AW152" s="258"/>
      <c r="AX152" s="259"/>
      <c r="AY152" s="91"/>
      <c r="AZ152" s="91"/>
      <c r="BA152" s="91"/>
      <c r="BB152" s="91"/>
      <c r="BC152" s="91"/>
      <c r="BD152" s="91"/>
      <c r="BE152" s="91"/>
      <c r="BF152" s="91"/>
      <c r="BG152" s="91"/>
      <c r="BH152" s="91"/>
      <c r="BI152" s="91"/>
      <c r="BJ152" s="91"/>
      <c r="BK152" s="91"/>
      <c r="BL152" s="91"/>
    </row>
    <row r="153" spans="1:64" ht="18" customHeight="1" thickTop="1">
      <c r="A153" s="91"/>
      <c r="B153" s="28"/>
      <c r="C153" s="28"/>
      <c r="D153" s="28"/>
      <c r="E153" s="28"/>
      <c r="F153" s="28"/>
      <c r="G153" s="228"/>
      <c r="H153" s="28"/>
      <c r="I153" s="28"/>
      <c r="J153" s="228"/>
      <c r="K153" s="28"/>
      <c r="L153" s="28"/>
      <c r="M153" s="228"/>
      <c r="N153" s="28"/>
      <c r="O153" s="28"/>
      <c r="P153" s="228"/>
      <c r="Q153" s="28"/>
      <c r="R153" s="28"/>
      <c r="S153" s="228"/>
      <c r="T153" s="28"/>
      <c r="U153" s="28"/>
      <c r="V153" s="228"/>
      <c r="W153" s="28"/>
      <c r="X153" s="28"/>
      <c r="Y153" s="228"/>
      <c r="Z153" s="28"/>
      <c r="AA153" s="28"/>
      <c r="AB153" s="228"/>
      <c r="AC153" s="28"/>
      <c r="AD153" s="28"/>
      <c r="AE153" s="228"/>
      <c r="AF153" s="28"/>
      <c r="AG153" s="28"/>
      <c r="AH153" s="228"/>
      <c r="AI153" s="28"/>
      <c r="AJ153" s="28"/>
      <c r="AK153" s="228"/>
      <c r="AL153" s="28"/>
      <c r="AM153" s="28"/>
      <c r="AN153" s="228"/>
      <c r="AO153" s="28"/>
      <c r="AP153" s="28"/>
      <c r="AQ153" s="228"/>
      <c r="AR153" s="28"/>
      <c r="AS153" s="28"/>
      <c r="AT153" s="228"/>
      <c r="AU153" s="77"/>
      <c r="AV153" s="77"/>
      <c r="AW153" s="258"/>
      <c r="AX153" s="259"/>
      <c r="AY153" s="91"/>
      <c r="AZ153" s="91"/>
      <c r="BA153" s="91"/>
      <c r="BB153" s="91"/>
      <c r="BC153" s="91"/>
      <c r="BD153" s="91"/>
      <c r="BE153" s="91"/>
      <c r="BF153" s="91"/>
      <c r="BG153" s="91"/>
      <c r="BH153" s="91"/>
      <c r="BI153" s="91"/>
      <c r="BJ153" s="91"/>
      <c r="BK153" s="91"/>
      <c r="BL153" s="91"/>
    </row>
    <row r="154" spans="1:64" hidden="1">
      <c r="A154" s="91"/>
      <c r="B154" s="91"/>
      <c r="C154" s="91"/>
      <c r="D154" s="91"/>
      <c r="E154" s="91"/>
      <c r="F154" s="91"/>
      <c r="G154" s="282"/>
      <c r="H154" s="91"/>
      <c r="I154" s="91"/>
      <c r="J154" s="282"/>
      <c r="K154" s="91"/>
      <c r="L154" s="91"/>
      <c r="M154" s="282"/>
      <c r="N154" s="91"/>
      <c r="O154" s="91"/>
      <c r="P154" s="282"/>
      <c r="Q154" s="91"/>
      <c r="R154" s="91"/>
      <c r="S154" s="282"/>
      <c r="T154" s="91"/>
      <c r="U154" s="91"/>
      <c r="V154" s="282"/>
      <c r="W154" s="91"/>
      <c r="X154" s="91"/>
      <c r="Y154" s="282"/>
      <c r="Z154" s="91"/>
      <c r="AA154" s="91"/>
      <c r="AB154" s="282"/>
      <c r="AC154" s="91"/>
      <c r="AD154" s="91"/>
      <c r="AE154" s="282"/>
      <c r="AF154" s="91"/>
      <c r="AG154" s="91"/>
      <c r="AH154" s="282"/>
      <c r="AI154" s="91"/>
      <c r="AJ154" s="91"/>
      <c r="AK154" s="282"/>
      <c r="AL154" s="91"/>
      <c r="AM154" s="91"/>
      <c r="AN154" s="282"/>
      <c r="AO154" s="91"/>
      <c r="AP154" s="91"/>
      <c r="AQ154" s="282"/>
      <c r="AR154" s="91"/>
      <c r="AS154" s="91"/>
      <c r="AT154" s="282"/>
      <c r="AU154" s="77"/>
      <c r="AV154" s="77"/>
      <c r="AW154" s="258"/>
      <c r="AX154" s="259"/>
      <c r="AY154" s="91"/>
      <c r="AZ154" s="91"/>
      <c r="BA154" s="91"/>
      <c r="BB154" s="91"/>
      <c r="BC154" s="91"/>
      <c r="BD154" s="91"/>
      <c r="BE154" s="91"/>
      <c r="BF154" s="91"/>
      <c r="BG154" s="91"/>
      <c r="BH154" s="91"/>
      <c r="BI154" s="91"/>
      <c r="BJ154" s="91"/>
      <c r="BK154" s="91"/>
      <c r="BL154" s="91"/>
    </row>
    <row r="155" spans="1:64" hidden="1">
      <c r="A155" s="91"/>
      <c r="B155" s="91"/>
      <c r="C155" s="91"/>
      <c r="D155" s="91"/>
      <c r="E155" s="91"/>
      <c r="F155" s="91"/>
      <c r="G155" s="282"/>
      <c r="H155" s="91"/>
      <c r="I155" s="91"/>
      <c r="J155" s="282"/>
      <c r="K155" s="91"/>
      <c r="L155" s="91"/>
      <c r="M155" s="282"/>
      <c r="N155" s="91"/>
      <c r="O155" s="91"/>
      <c r="P155" s="282"/>
      <c r="Q155" s="91"/>
      <c r="R155" s="91"/>
      <c r="S155" s="282"/>
      <c r="T155" s="91"/>
      <c r="U155" s="91"/>
      <c r="V155" s="282"/>
      <c r="W155" s="91"/>
      <c r="X155" s="91"/>
      <c r="Y155" s="282"/>
      <c r="Z155" s="91"/>
      <c r="AA155" s="91"/>
      <c r="AB155" s="282"/>
      <c r="AC155" s="91"/>
      <c r="AD155" s="91"/>
      <c r="AE155" s="282"/>
      <c r="AF155" s="91"/>
      <c r="AG155" s="91"/>
      <c r="AH155" s="282"/>
      <c r="AI155" s="91"/>
      <c r="AJ155" s="91"/>
      <c r="AK155" s="282"/>
      <c r="AL155" s="91"/>
      <c r="AM155" s="91"/>
      <c r="AN155" s="282"/>
      <c r="AO155" s="91"/>
      <c r="AP155" s="91"/>
      <c r="AQ155" s="282"/>
      <c r="AR155" s="91">
        <f>449314*1.1</f>
        <v>494245.4</v>
      </c>
      <c r="AS155" s="91"/>
      <c r="AT155" s="282"/>
      <c r="AU155" s="77"/>
      <c r="AV155" s="77"/>
      <c r="AW155" s="258"/>
      <c r="AX155" s="259"/>
      <c r="AY155" s="91"/>
      <c r="AZ155" s="91"/>
      <c r="BA155" s="91"/>
      <c r="BB155" s="91"/>
      <c r="BC155" s="91"/>
      <c r="BD155" s="91"/>
      <c r="BE155" s="91"/>
      <c r="BF155" s="91"/>
      <c r="BG155" s="91"/>
      <c r="BH155" s="91"/>
      <c r="BI155" s="91"/>
      <c r="BJ155" s="91"/>
      <c r="BK155" s="91"/>
      <c r="BL155" s="91"/>
    </row>
    <row r="156" spans="1:64" hidden="1">
      <c r="A156" s="91"/>
      <c r="B156" s="91"/>
      <c r="C156" s="91"/>
      <c r="D156" s="91"/>
      <c r="E156" s="91"/>
      <c r="F156" s="91"/>
      <c r="G156" s="282"/>
      <c r="H156" s="91"/>
      <c r="I156" s="91"/>
      <c r="J156" s="282"/>
      <c r="K156" s="91"/>
      <c r="L156" s="91"/>
      <c r="M156" s="282"/>
      <c r="N156" s="91"/>
      <c r="O156" s="91"/>
      <c r="P156" s="282"/>
      <c r="Q156" s="91"/>
      <c r="R156" s="91"/>
      <c r="S156" s="282"/>
      <c r="T156" s="91"/>
      <c r="U156" s="91"/>
      <c r="V156" s="282"/>
      <c r="W156" s="91"/>
      <c r="X156" s="91"/>
      <c r="Y156" s="282"/>
      <c r="Z156" s="91"/>
      <c r="AA156" s="91"/>
      <c r="AB156" s="282"/>
      <c r="AC156" s="91"/>
      <c r="AD156" s="91"/>
      <c r="AE156" s="282"/>
      <c r="AF156" s="91"/>
      <c r="AG156" s="91"/>
      <c r="AH156" s="282"/>
      <c r="AI156" s="91"/>
      <c r="AJ156" s="91"/>
      <c r="AK156" s="282"/>
      <c r="AL156" s="91"/>
      <c r="AM156" s="91"/>
      <c r="AN156" s="282"/>
      <c r="AO156" s="91"/>
      <c r="AP156" s="91"/>
      <c r="AQ156" s="282"/>
      <c r="AR156" s="91"/>
      <c r="AS156" s="91"/>
      <c r="AT156" s="282"/>
      <c r="AU156" s="77"/>
      <c r="AV156" s="77"/>
      <c r="AW156" s="258"/>
      <c r="AX156" s="259"/>
      <c r="AY156" s="91"/>
      <c r="AZ156" s="91"/>
      <c r="BA156" s="91"/>
      <c r="BB156" s="91"/>
      <c r="BC156" s="91"/>
      <c r="BD156" s="91"/>
      <c r="BE156" s="91"/>
      <c r="BF156" s="91"/>
      <c r="BG156" s="91"/>
      <c r="BH156" s="91"/>
      <c r="BI156" s="91"/>
      <c r="BJ156" s="91"/>
      <c r="BK156" s="91"/>
      <c r="BL156" s="91"/>
    </row>
    <row r="157" spans="1:64" hidden="1">
      <c r="A157" s="91"/>
      <c r="B157" s="91"/>
      <c r="C157" s="91"/>
      <c r="D157" s="91"/>
      <c r="E157" s="91"/>
      <c r="F157" s="91"/>
      <c r="G157" s="282"/>
      <c r="H157" s="91"/>
      <c r="I157" s="91"/>
      <c r="J157" s="282"/>
      <c r="K157" s="91"/>
      <c r="L157" s="91"/>
      <c r="M157" s="282"/>
      <c r="N157" s="91"/>
      <c r="O157" s="91"/>
      <c r="P157" s="282"/>
      <c r="Q157" s="91"/>
      <c r="R157" s="91"/>
      <c r="S157" s="282"/>
      <c r="T157" s="91"/>
      <c r="U157" s="91"/>
      <c r="V157" s="282"/>
      <c r="W157" s="91"/>
      <c r="X157" s="91"/>
      <c r="Y157" s="282"/>
      <c r="Z157" s="91"/>
      <c r="AA157" s="91"/>
      <c r="AB157" s="282"/>
      <c r="AC157" s="91"/>
      <c r="AD157" s="91"/>
      <c r="AE157" s="282"/>
      <c r="AF157" s="91"/>
      <c r="AG157" s="91"/>
      <c r="AH157" s="282"/>
      <c r="AI157" s="91"/>
      <c r="AJ157" s="91"/>
      <c r="AK157" s="282"/>
      <c r="AL157" s="91"/>
      <c r="AM157" s="91"/>
      <c r="AN157" s="282"/>
      <c r="AO157" s="91"/>
      <c r="AP157" s="91"/>
      <c r="AQ157" s="282"/>
      <c r="AR157" s="91"/>
      <c r="AS157" s="91"/>
      <c r="AT157" s="282"/>
      <c r="AU157" s="77"/>
      <c r="AV157" s="77"/>
      <c r="AW157" s="258"/>
      <c r="AX157" s="259"/>
      <c r="AY157" s="91"/>
      <c r="AZ157" s="91"/>
      <c r="BA157" s="91"/>
      <c r="BB157" s="91"/>
      <c r="BC157" s="91"/>
      <c r="BD157" s="91"/>
      <c r="BE157" s="91"/>
      <c r="BF157" s="91"/>
      <c r="BG157" s="91"/>
      <c r="BH157" s="91"/>
      <c r="BI157" s="91"/>
      <c r="BJ157" s="91"/>
      <c r="BK157" s="91"/>
      <c r="BL157" s="91"/>
    </row>
    <row r="158" spans="1:64" ht="18.75" hidden="1" thickBot="1">
      <c r="A158" s="91"/>
      <c r="B158" s="91"/>
      <c r="C158" s="283"/>
      <c r="D158" s="91"/>
      <c r="E158" s="21">
        <v>45992</v>
      </c>
      <c r="F158" s="22">
        <f>(1+Aumentodic25respene25)*(1+Aumentoene25respdic24)-1</f>
        <v>0.29963870703408513</v>
      </c>
      <c r="G158" s="20"/>
      <c r="H158" s="21">
        <v>45962</v>
      </c>
      <c r="I158" s="22">
        <f>(1+Aumentonov25respene25)*(1+Aumentoene25respdic24)-1</f>
        <v>0.26794020198447344</v>
      </c>
      <c r="J158" s="20"/>
      <c r="K158" s="21">
        <v>45931</v>
      </c>
      <c r="L158" s="22" cm="1">
        <f t="array" ref="L158">(1+Aumentooct25respene25)*(1+Aumentoene25respdic24)-1</f>
        <v>0.24050593609017179</v>
      </c>
      <c r="M158" s="20"/>
      <c r="N158" s="21">
        <v>45901</v>
      </c>
      <c r="O158" s="22" cm="1">
        <f t="array" ref="O158">(1+Aumentosep25respene25)*(1+Aumentoene25respdic24)-1</f>
        <v>0.21545725853450493</v>
      </c>
      <c r="P158" s="20"/>
      <c r="Q158" s="21">
        <v>45870</v>
      </c>
      <c r="R158" s="22" cm="1">
        <f t="array" ref="R158">(1+Aumentoago25respene25)*(1+Aumentoene25respdic24)-1</f>
        <v>0.19279416931747306</v>
      </c>
      <c r="S158" s="20"/>
      <c r="T158" s="21">
        <v>45839</v>
      </c>
      <c r="U158" s="22">
        <f>(1+Aumentojul25respene25)*(1+Aumentoene25respdic24)-1</f>
        <v>0.17246852876408125</v>
      </c>
      <c r="V158" s="20"/>
      <c r="W158" s="21">
        <v>45809</v>
      </c>
      <c r="X158" s="22">
        <f>(1+Aumentojun25respene25)*(1+Aumentoene25respdic24)-1</f>
        <v>0.15535219987701421</v>
      </c>
      <c r="Y158" s="20"/>
      <c r="Z158" s="21">
        <v>45778</v>
      </c>
      <c r="AA158" s="22" cm="1">
        <f t="array" ref="AA158">(1+Aumentomay25respene25)*(1+Aumentoene25respdic24)-1</f>
        <v>0.13930564154538927</v>
      </c>
      <c r="AB158" s="20"/>
      <c r="AC158" s="21">
        <v>45748</v>
      </c>
      <c r="AD158" s="22">
        <f>(1+Aumentoabr25respene25)*(1+Aumentoene25respdic24)-1</f>
        <v>0.10935206599302227</v>
      </c>
      <c r="AE158" s="20"/>
      <c r="AF158" s="21">
        <v>45717</v>
      </c>
      <c r="AG158" s="22">
        <f>(1+Aumentomar25respene25)*(1+Aumentoene25respdic24)-1</f>
        <v>6.9770555441680093E-2</v>
      </c>
      <c r="AH158" s="20"/>
      <c r="AI158" s="787" t="s">
        <v>201</v>
      </c>
      <c r="AJ158" s="20"/>
      <c r="AK158" s="20"/>
      <c r="AL158" s="21" t="s">
        <v>200</v>
      </c>
      <c r="AM158" s="22">
        <f>(1+Aumentofeb25respene25)*(1+Aumentoene25respdic24)-1</f>
        <v>4.522515072791311E-2</v>
      </c>
      <c r="AN158" s="20"/>
      <c r="AO158" s="21">
        <v>45658</v>
      </c>
      <c r="AP158" s="22">
        <v>2.2725196406967674E-2</v>
      </c>
      <c r="AQ158" s="20"/>
      <c r="AR158" s="728">
        <v>45627</v>
      </c>
      <c r="AS158" s="729">
        <f>Aumentodic24</f>
        <v>1.1820279278367574</v>
      </c>
      <c r="AT158" s="20"/>
      <c r="AU158" s="77"/>
      <c r="AV158" s="77"/>
      <c r="AW158" s="258"/>
      <c r="AX158" s="259"/>
      <c r="AY158" s="91"/>
      <c r="AZ158" s="91"/>
      <c r="BA158" s="91"/>
      <c r="BB158" s="91"/>
      <c r="BC158" s="91"/>
      <c r="BD158" s="91"/>
      <c r="BE158" s="91"/>
      <c r="BF158" s="91"/>
      <c r="BG158" s="91"/>
      <c r="BH158" s="91"/>
      <c r="BI158" s="91"/>
      <c r="BJ158" s="91"/>
      <c r="BK158" s="91"/>
      <c r="BL158" s="91"/>
    </row>
    <row r="159" spans="1:64" ht="13.5" hidden="1" thickBot="1">
      <c r="A159" s="28"/>
      <c r="B159" s="284" t="s">
        <v>82</v>
      </c>
      <c r="C159" s="284" t="s">
        <v>83</v>
      </c>
      <c r="D159" s="284" t="s">
        <v>84</v>
      </c>
      <c r="E159" s="284"/>
      <c r="F159" s="284"/>
      <c r="G159" s="284"/>
      <c r="H159" s="284"/>
      <c r="I159" s="284"/>
      <c r="J159" s="284"/>
      <c r="K159" s="284"/>
      <c r="L159" s="284"/>
      <c r="M159" s="284"/>
      <c r="N159" s="284"/>
      <c r="O159" s="284"/>
      <c r="P159" s="284"/>
      <c r="Q159" s="284"/>
      <c r="R159" s="284"/>
      <c r="S159" s="284"/>
      <c r="T159" s="284"/>
      <c r="U159" s="284"/>
      <c r="V159" s="284"/>
      <c r="W159" s="284"/>
      <c r="X159" s="284"/>
      <c r="Y159" s="284"/>
      <c r="Z159" s="284"/>
      <c r="AA159" s="284"/>
      <c r="AB159" s="284"/>
      <c r="AC159" s="284"/>
      <c r="AD159" s="284"/>
      <c r="AE159" s="284"/>
      <c r="AF159" s="284"/>
      <c r="AG159" s="284"/>
      <c r="AH159" s="284"/>
      <c r="AI159" s="284"/>
      <c r="AJ159" s="284"/>
      <c r="AK159" s="284"/>
      <c r="AL159" s="284"/>
      <c r="AM159" s="284"/>
      <c r="AN159" s="284"/>
      <c r="AO159" s="284"/>
      <c r="AP159" s="284"/>
      <c r="AQ159" s="284"/>
      <c r="AR159" s="284"/>
      <c r="AS159" s="284"/>
      <c r="AT159" s="284"/>
      <c r="AU159" s="33"/>
      <c r="AV159" s="28"/>
      <c r="AW159" s="33"/>
      <c r="AX159" s="33"/>
      <c r="AY159" s="28"/>
      <c r="AZ159" s="28"/>
      <c r="BA159" s="28"/>
      <c r="BB159" s="28"/>
      <c r="BC159" s="28"/>
      <c r="BD159" s="28"/>
      <c r="BE159" s="28"/>
      <c r="BF159" s="28"/>
      <c r="BG159" s="28"/>
      <c r="BH159" s="28"/>
      <c r="BI159" s="28"/>
      <c r="BJ159" s="28"/>
      <c r="BK159" s="28"/>
    </row>
    <row r="160" spans="1:64" ht="13.5" hidden="1" thickBot="1">
      <c r="A160" s="28"/>
      <c r="B160" s="285">
        <v>1</v>
      </c>
      <c r="C160" s="286"/>
      <c r="D160" s="287" t="s">
        <v>87</v>
      </c>
      <c r="E160" s="288">
        <f>punbascar*indicedic25</f>
        <v>256370.96975318494</v>
      </c>
      <c r="F160" s="288"/>
      <c r="G160" s="289"/>
      <c r="H160" s="288">
        <f>punbascar*indicenov25</f>
        <v>250118.01927139994</v>
      </c>
      <c r="I160" s="288"/>
      <c r="J160" s="289"/>
      <c r="K160" s="288">
        <f>punbascar*indiceoct25</f>
        <v>244706.24651199995</v>
      </c>
      <c r="L160" s="288"/>
      <c r="M160" s="289"/>
      <c r="N160" s="288">
        <f>punbascar*indicesep25</f>
        <v>239765.06268819998</v>
      </c>
      <c r="O160" s="288"/>
      <c r="P160" s="289"/>
      <c r="Q160" s="288">
        <f>punbascar*indiceago25</f>
        <v>235294.46779999998</v>
      </c>
      <c r="R160" s="288"/>
      <c r="S160" s="289"/>
      <c r="T160" s="288">
        <f>punbascar*indicejul25</f>
        <v>231284.78622079999</v>
      </c>
      <c r="U160" s="288"/>
      <c r="V160" s="289"/>
      <c r="W160" s="288">
        <f>punbascar*indicejun25</f>
        <v>227908.36598399997</v>
      </c>
      <c r="X160" s="288"/>
      <c r="Y160" s="289"/>
      <c r="Z160" s="288">
        <f>punbascar*indicemay25</f>
        <v>224742.99919999999</v>
      </c>
      <c r="AA160" s="288"/>
      <c r="AB160" s="289"/>
      <c r="AC160" s="288">
        <f>punbascar*indiceabr25</f>
        <v>218834.27000000002</v>
      </c>
      <c r="AD160" s="288"/>
      <c r="AE160" s="289"/>
      <c r="AF160" s="288">
        <f>punbascar*indicemar25</f>
        <v>211026.2648</v>
      </c>
      <c r="AG160" s="288"/>
      <c r="AH160" s="289"/>
      <c r="AI160" s="288">
        <f>punbascar*indicefeb25</f>
        <v>206184.34281060001</v>
      </c>
      <c r="AJ160" s="288"/>
      <c r="AK160" s="289"/>
      <c r="AL160" s="288">
        <f>punbascar*indicefeb25</f>
        <v>206184.34281060001</v>
      </c>
      <c r="AM160" s="288"/>
      <c r="AN160" s="289"/>
      <c r="AO160" s="288">
        <f>punbascar*indiceene25</f>
        <v>201745.93229999999</v>
      </c>
      <c r="AP160" s="288"/>
      <c r="AQ160" s="289"/>
      <c r="AR160" s="288">
        <f>punbascar*indicedic24</f>
        <v>196859.37479999999</v>
      </c>
      <c r="AS160" s="288"/>
      <c r="AT160" s="289"/>
      <c r="AU160" s="342"/>
      <c r="AV160" s="28"/>
      <c r="AW160" s="342"/>
      <c r="AX160" s="342"/>
      <c r="AY160" s="28"/>
      <c r="AZ160" s="28"/>
      <c r="BA160" s="28"/>
      <c r="BB160" s="28"/>
      <c r="BC160" s="28"/>
      <c r="BD160" s="28"/>
      <c r="BE160" s="28"/>
      <c r="BF160" s="28"/>
      <c r="BG160" s="28"/>
      <c r="BH160" s="28"/>
      <c r="BI160" s="28"/>
      <c r="BJ160" s="28"/>
      <c r="BK160" s="28"/>
    </row>
    <row r="161" spans="1:64" ht="13.5" hidden="1" thickBot="1">
      <c r="A161" s="28"/>
      <c r="B161" s="290">
        <v>2</v>
      </c>
      <c r="C161" s="291"/>
      <c r="D161" s="292" t="s">
        <v>88</v>
      </c>
      <c r="E161" s="293">
        <f>compbas2016*indicedic25</f>
        <v>109492.31838995447</v>
      </c>
      <c r="F161" s="288"/>
      <c r="G161" s="294"/>
      <c r="H161" s="293">
        <f>compbas2016*indicenov25</f>
        <v>106821.77403897997</v>
      </c>
      <c r="I161" s="288"/>
      <c r="J161" s="294"/>
      <c r="K161" s="293">
        <f>compbas2016*indiceoct25</f>
        <v>104510.48447839999</v>
      </c>
      <c r="L161" s="288"/>
      <c r="M161" s="294"/>
      <c r="N161" s="293">
        <f>compbas2016*indicesep25</f>
        <v>102400.17661873998</v>
      </c>
      <c r="O161" s="288"/>
      <c r="P161" s="294"/>
      <c r="Q161" s="293">
        <f>compbas2016*indiceago25</f>
        <v>100490.85046</v>
      </c>
      <c r="R161" s="288"/>
      <c r="S161" s="294"/>
      <c r="T161" s="293">
        <f>compbas2016*indicejul25</f>
        <v>98778.373682559992</v>
      </c>
      <c r="U161" s="288"/>
      <c r="V161" s="294"/>
      <c r="W161" s="293">
        <f>compbas2016*indicejun25</f>
        <v>97336.353628799989</v>
      </c>
      <c r="X161" s="288"/>
      <c r="Y161" s="294"/>
      <c r="Z161" s="293">
        <f>compbas2016*indicemay25</f>
        <v>95984.471439999994</v>
      </c>
      <c r="AA161" s="288"/>
      <c r="AB161" s="294"/>
      <c r="AC161" s="293">
        <f>compbas2016*indiceabr25</f>
        <v>93460.938999999998</v>
      </c>
      <c r="AD161" s="288"/>
      <c r="AE161" s="294"/>
      <c r="AF161" s="293">
        <f>compbas2016*indicemar25</f>
        <v>90126.253360000002</v>
      </c>
      <c r="AG161" s="288"/>
      <c r="AH161" s="294"/>
      <c r="AI161" s="293">
        <f>compbas2016*indicefeb25</f>
        <v>88058.338788420006</v>
      </c>
      <c r="AJ161" s="288"/>
      <c r="AK161" s="294"/>
      <c r="AL161" s="293">
        <f>compbas2016*indicefeb25</f>
        <v>88058.338788420006</v>
      </c>
      <c r="AM161" s="288"/>
      <c r="AN161" s="294"/>
      <c r="AO161" s="293">
        <f>compbas2016*indiceene25</f>
        <v>86162.758109999995</v>
      </c>
      <c r="AP161" s="288"/>
      <c r="AQ161" s="294"/>
      <c r="AR161" s="293">
        <f>compbas2016*indicedic24</f>
        <v>84075.78035999999</v>
      </c>
      <c r="AS161" s="288"/>
      <c r="AT161" s="294"/>
      <c r="AU161" s="342"/>
      <c r="AV161" s="28"/>
      <c r="AW161" s="342"/>
      <c r="AX161" s="342"/>
      <c r="AY161" s="343"/>
      <c r="AZ161" s="28"/>
      <c r="BA161" s="28"/>
      <c r="BB161" s="28"/>
      <c r="BC161" s="28"/>
      <c r="BD161" s="28"/>
      <c r="BE161" s="28"/>
      <c r="BF161" s="28"/>
      <c r="BG161" s="28"/>
      <c r="BH161" s="28"/>
      <c r="BI161" s="28"/>
      <c r="BJ161" s="28"/>
      <c r="BK161" s="28"/>
    </row>
    <row r="162" spans="1:64" ht="13.5" hidden="1" thickBot="1">
      <c r="A162" s="28"/>
      <c r="B162" s="290" t="s">
        <v>118</v>
      </c>
      <c r="C162" s="291"/>
      <c r="D162" s="295" t="s">
        <v>81</v>
      </c>
      <c r="E162" s="296">
        <f>puntosexten*indicedic25</f>
        <v>0</v>
      </c>
      <c r="F162" s="288"/>
      <c r="G162" s="297"/>
      <c r="H162" s="296">
        <f>puntosexten*indicenov25</f>
        <v>0</v>
      </c>
      <c r="I162" s="288"/>
      <c r="J162" s="297"/>
      <c r="K162" s="296">
        <f>puntosexten*indiceoct25</f>
        <v>0</v>
      </c>
      <c r="L162" s="288"/>
      <c r="M162" s="297"/>
      <c r="N162" s="296">
        <f>puntosexten*indicesep25</f>
        <v>0</v>
      </c>
      <c r="O162" s="288"/>
      <c r="P162" s="297"/>
      <c r="Q162" s="296">
        <f>puntosexten*indiceago25</f>
        <v>0</v>
      </c>
      <c r="R162" s="288"/>
      <c r="S162" s="297"/>
      <c r="T162" s="296">
        <f>puntosexten*indicejul25</f>
        <v>0</v>
      </c>
      <c r="U162" s="288"/>
      <c r="V162" s="297"/>
      <c r="W162" s="296">
        <f>puntosexten*indicejun25</f>
        <v>0</v>
      </c>
      <c r="X162" s="288"/>
      <c r="Y162" s="297"/>
      <c r="Z162" s="296">
        <f>puntosexten*indicemay25</f>
        <v>0</v>
      </c>
      <c r="AA162" s="288"/>
      <c r="AB162" s="297"/>
      <c r="AC162" s="296">
        <f>puntosexten*indiceabr25</f>
        <v>0</v>
      </c>
      <c r="AD162" s="288"/>
      <c r="AE162" s="297"/>
      <c r="AF162" s="296">
        <f>puntosexten*indicemar25</f>
        <v>0</v>
      </c>
      <c r="AG162" s="288"/>
      <c r="AH162" s="297"/>
      <c r="AI162" s="296">
        <f>puntosexten*indicefeb25</f>
        <v>0</v>
      </c>
      <c r="AJ162" s="288"/>
      <c r="AK162" s="297"/>
      <c r="AL162" s="296">
        <f>puntosexten*indicefeb25</f>
        <v>0</v>
      </c>
      <c r="AM162" s="288"/>
      <c r="AN162" s="297"/>
      <c r="AO162" s="296">
        <f>puntosexten*indiceene25</f>
        <v>0</v>
      </c>
      <c r="AP162" s="288"/>
      <c r="AQ162" s="297"/>
      <c r="AR162" s="296">
        <f>puntosexten*indicedic24</f>
        <v>0</v>
      </c>
      <c r="AS162" s="288"/>
      <c r="AT162" s="297"/>
      <c r="AU162" s="342"/>
      <c r="AV162" s="28"/>
      <c r="AW162" s="342"/>
      <c r="AX162" s="342"/>
      <c r="AY162" s="343"/>
      <c r="AZ162" s="28"/>
      <c r="BA162" s="28"/>
      <c r="BB162" s="28"/>
      <c r="BC162" s="28"/>
      <c r="BD162" s="28"/>
      <c r="BE162" s="28"/>
      <c r="BF162" s="28"/>
      <c r="BG162" s="28"/>
      <c r="BH162" s="28"/>
      <c r="BI162" s="28"/>
      <c r="BJ162" s="28"/>
      <c r="BK162" s="28"/>
    </row>
    <row r="163" spans="1:64" ht="13.5" hidden="1" thickBot="1">
      <c r="A163" s="28"/>
      <c r="B163" s="298" t="s">
        <v>90</v>
      </c>
      <c r="C163" s="299"/>
      <c r="D163" s="300" t="s">
        <v>91</v>
      </c>
      <c r="E163" s="301">
        <f>IF(nina=0,compdir22*indicedic25,compdir16*indicedic25)</f>
        <v>0</v>
      </c>
      <c r="F163" s="288"/>
      <c r="G163" s="289"/>
      <c r="H163" s="301">
        <f>IF(nina=0,compdir22*indicenov25,compdir16*indicenov25)</f>
        <v>0</v>
      </c>
      <c r="I163" s="288"/>
      <c r="J163" s="289"/>
      <c r="K163" s="301">
        <f>IF(nina=0,compdir22*indiceoct25,compdir16*indiceoct25)</f>
        <v>0</v>
      </c>
      <c r="L163" s="288"/>
      <c r="M163" s="289"/>
      <c r="N163" s="301">
        <f>IF(nina=0,compdir22*indicesep25,compdir16*indicesep25)</f>
        <v>0</v>
      </c>
      <c r="O163" s="288"/>
      <c r="P163" s="289"/>
      <c r="Q163" s="301">
        <f>IF(nina=0,compdir22*indiceago25,compdir16*indiceago25)</f>
        <v>0</v>
      </c>
      <c r="R163" s="288"/>
      <c r="S163" s="289"/>
      <c r="T163" s="301">
        <f>IF(nina=0,compdir22*indicejul25,compdir16*indicejul25)</f>
        <v>0</v>
      </c>
      <c r="U163" s="288"/>
      <c r="V163" s="289"/>
      <c r="W163" s="301">
        <f>IF(nina=0,compdir22*indicejun25,compdir16*indicejun25)</f>
        <v>0</v>
      </c>
      <c r="X163" s="288"/>
      <c r="Y163" s="289"/>
      <c r="Z163" s="301">
        <f>IF(nina=0,compdir22*indicemay25,compdir16*indicemay25)</f>
        <v>0</v>
      </c>
      <c r="AA163" s="288"/>
      <c r="AB163" s="289"/>
      <c r="AC163" s="301">
        <f>IF(nina=0,compdir22*indiceabr25,compdir16*indiceabr25)</f>
        <v>0</v>
      </c>
      <c r="AD163" s="288"/>
      <c r="AE163" s="289"/>
      <c r="AF163" s="301">
        <f>IF(nina=0,compdir22*indicemar25,compdir16*indicemar25)</f>
        <v>0</v>
      </c>
      <c r="AG163" s="288"/>
      <c r="AH163" s="289"/>
      <c r="AI163" s="301">
        <f>IF(nina=0,compdir22*indicefeb25,compdir16*indicefeb25)</f>
        <v>0</v>
      </c>
      <c r="AJ163" s="288"/>
      <c r="AK163" s="289"/>
      <c r="AL163" s="301">
        <f>IF(nina=0,compdir22*indicefeb25,compdir16*indicefeb25)</f>
        <v>0</v>
      </c>
      <c r="AM163" s="288"/>
      <c r="AN163" s="289"/>
      <c r="AO163" s="301">
        <f>IF(nina=0,compdir22*indiceene25,compdir16*indiceene25)</f>
        <v>0</v>
      </c>
      <c r="AP163" s="288"/>
      <c r="AQ163" s="289"/>
      <c r="AR163" s="301">
        <f>IF(nina=0,compdir22*indicedic24,compdir16*indicedic24)</f>
        <v>0</v>
      </c>
      <c r="AS163" s="288"/>
      <c r="AT163" s="289"/>
      <c r="AU163" s="342"/>
      <c r="AV163" s="343"/>
      <c r="AW163" s="344"/>
      <c r="AX163" s="342"/>
      <c r="AY163" s="343"/>
      <c r="AZ163" s="28"/>
      <c r="BA163" s="28"/>
      <c r="BB163" s="28"/>
      <c r="BC163" s="28"/>
      <c r="BD163" s="28"/>
      <c r="BE163" s="28"/>
      <c r="BF163" s="28"/>
      <c r="BG163" s="28"/>
      <c r="BH163" s="28"/>
      <c r="BI163" s="28"/>
      <c r="BJ163" s="28"/>
      <c r="BK163" s="28"/>
    </row>
    <row r="164" spans="1:64" ht="13.5" hidden="1" thickBot="1">
      <c r="A164" s="28"/>
      <c r="B164" s="290">
        <v>5</v>
      </c>
      <c r="C164" s="291"/>
      <c r="D164" s="292" t="s">
        <v>92</v>
      </c>
      <c r="E164" s="293">
        <f>puntosadicnina*Indiceproljordic25</f>
        <v>0</v>
      </c>
      <c r="F164" s="288"/>
      <c r="G164" s="289"/>
      <c r="H164" s="293">
        <f>puntosadicnina*Indiceproljornov25</f>
        <v>0</v>
      </c>
      <c r="I164" s="288"/>
      <c r="J164" s="289"/>
      <c r="K164" s="293">
        <f>puntosadicnina*Indiceproljoroct25</f>
        <v>0</v>
      </c>
      <c r="L164" s="288"/>
      <c r="M164" s="289"/>
      <c r="N164" s="293">
        <f>puntosadicnina*Indiceproljorsep25</f>
        <v>0</v>
      </c>
      <c r="O164" s="288"/>
      <c r="P164" s="289"/>
      <c r="Q164" s="293">
        <f>puntosadicnina*Indiceproljorago25</f>
        <v>0</v>
      </c>
      <c r="R164" s="288"/>
      <c r="S164" s="289"/>
      <c r="T164" s="293">
        <f>puntosadicnina*Indiceproljorjul25</f>
        <v>0</v>
      </c>
      <c r="U164" s="288"/>
      <c r="V164" s="289"/>
      <c r="W164" s="293">
        <f>puntosadicnina*Indiceproljorjun25</f>
        <v>0</v>
      </c>
      <c r="X164" s="288"/>
      <c r="Y164" s="289"/>
      <c r="Z164" s="293">
        <f>puntosadicnina*Indiceproljormay25</f>
        <v>0</v>
      </c>
      <c r="AA164" s="288"/>
      <c r="AB164" s="289"/>
      <c r="AC164" s="293">
        <f>puntosadicnina*Indiceproljorabr25</f>
        <v>0</v>
      </c>
      <c r="AD164" s="288"/>
      <c r="AE164" s="289"/>
      <c r="AF164" s="293">
        <f>puntosadicnina*Indiceproljormar25</f>
        <v>0</v>
      </c>
      <c r="AG164" s="288"/>
      <c r="AH164" s="289"/>
      <c r="AI164" s="293">
        <f>puntosadicnina*Indiceproljorfeb25</f>
        <v>0</v>
      </c>
      <c r="AJ164" s="288"/>
      <c r="AK164" s="289"/>
      <c r="AL164" s="293">
        <f>puntosadicnina*Indiceproljorfeb25</f>
        <v>0</v>
      </c>
      <c r="AM164" s="288"/>
      <c r="AN164" s="289"/>
      <c r="AO164" s="293">
        <f>puntosadicnina*Indiceproljorene25</f>
        <v>0</v>
      </c>
      <c r="AP164" s="288"/>
      <c r="AQ164" s="289"/>
      <c r="AR164" s="293">
        <f>puntosadicnina*Indiceproljordic24</f>
        <v>0</v>
      </c>
      <c r="AS164" s="288"/>
      <c r="AT164" s="289"/>
      <c r="AU164" s="345"/>
      <c r="AV164" s="346"/>
      <c r="AW164" s="345"/>
      <c r="AX164" s="342"/>
      <c r="AY164" s="343"/>
      <c r="AZ164" s="28"/>
      <c r="BA164" s="28"/>
      <c r="BB164" s="28"/>
      <c r="BC164" s="28"/>
      <c r="BD164" s="28"/>
      <c r="BE164" s="28"/>
      <c r="BF164" s="28"/>
      <c r="BG164" s="28"/>
      <c r="BH164" s="28"/>
      <c r="BI164" s="28"/>
      <c r="BJ164" s="28"/>
      <c r="BK164" s="28"/>
    </row>
    <row r="165" spans="1:64" ht="13.5" hidden="1" thickBot="1">
      <c r="A165" s="28"/>
      <c r="B165" s="302">
        <v>6</v>
      </c>
      <c r="C165" s="303"/>
      <c r="D165" s="303" t="s">
        <v>93</v>
      </c>
      <c r="E165" s="304">
        <f>LOOKUP(porantigcargo,porant,codigo06cargosene25)*(1+Aumentodic25respene25)</f>
        <v>207070.41153891236</v>
      </c>
      <c r="F165" s="288"/>
      <c r="G165" s="305"/>
      <c r="H165" s="304">
        <f>LOOKUP(porantigcargo,porant,codigo06cargosene25)*(1+Aumentonov25respene25)</f>
        <v>202019.91369649989</v>
      </c>
      <c r="I165" s="288"/>
      <c r="J165" s="305"/>
      <c r="K165" s="304" cm="1">
        <f t="array" ref="K165">LOOKUP(porantigcargo,porant,codigo06cargosene25)*(1+Aumentooct25respene25)</f>
        <v>197648.83371999991</v>
      </c>
      <c r="L165" s="288"/>
      <c r="M165" s="305"/>
      <c r="N165" s="304">
        <f>LOOKUP(porantigcargo,porant,codigo06cargosene25)*(1+Aumentosep25respene25)</f>
        <v>193657.84765449996</v>
      </c>
      <c r="O165" s="288"/>
      <c r="P165" s="305"/>
      <c r="Q165" s="304">
        <f>LOOKUP(porantigcargo,porant,codigo06cargosene25)*(1+Aumentoago25respene25)</f>
        <v>190046.95549999998</v>
      </c>
      <c r="R165" s="288"/>
      <c r="S165" s="305"/>
      <c r="T165" s="304">
        <f>LOOKUP(porantigcargo,porant,codigo06cargosene25)*(1+Aumentojul25respene25)</f>
        <v>186808.48719999997</v>
      </c>
      <c r="U165" s="288"/>
      <c r="V165" s="305"/>
      <c r="W165" s="304">
        <f>LOOKUP(porantigcargo,porant,codigo06cargosene25)*(1+Aumentojun25respene25)</f>
        <v>184081.35599999997</v>
      </c>
      <c r="X165" s="288"/>
      <c r="Y165" s="305"/>
      <c r="Z165" s="304">
        <f>LOOKUP(porantigcargo,porant,codigo06cargosene25)*(1+Aumentomay25respene25)</f>
        <v>181524.67050000001</v>
      </c>
      <c r="AA165" s="288"/>
      <c r="AB165" s="305"/>
      <c r="AC165" s="304">
        <f>LOOKUP(porantigcargo,porant,codigo06cargosene25)*(1+Aumentoabr25respene25)</f>
        <v>176752.19090000002</v>
      </c>
      <c r="AD165" s="288"/>
      <c r="AE165" s="305"/>
      <c r="AF165" s="304">
        <f>LOOKUP(porantigcargo,porant,codigo06cargosene25)*(1+Aumentomar25respene25)</f>
        <v>170445.7</v>
      </c>
      <c r="AG165" s="288"/>
      <c r="AH165" s="305"/>
      <c r="AI165" s="304">
        <f>LOOKUP(porantigcargo,porant,codigo06cargosene25)*(1+Aumentofeb25respene25)</f>
        <v>166534.9</v>
      </c>
      <c r="AJ165" s="288"/>
      <c r="AK165" s="305"/>
      <c r="AL165" s="304">
        <f>LOOKUP(porantigcargo,porant,codigo06cargosene25)*(1+Aumentofeb25respene25)</f>
        <v>166534.9</v>
      </c>
      <c r="AM165" s="288"/>
      <c r="AN165" s="305"/>
      <c r="AO165" s="304">
        <f>LOOKUP(porantigcargo,porant,codigo06cargosene25)</f>
        <v>162950</v>
      </c>
      <c r="AP165" s="288"/>
      <c r="AQ165" s="305"/>
      <c r="AR165" s="304">
        <f>LOOKUP(porantigcargo,porant,codigo06cargossep24)*(1+Aumentodic24)/(1+Aumentosep24)</f>
        <v>159002.46897269256</v>
      </c>
      <c r="AS165" s="288"/>
      <c r="AT165" s="305"/>
      <c r="AU165" s="347"/>
      <c r="AV165" s="347"/>
      <c r="AW165" s="347"/>
      <c r="AX165" s="342"/>
      <c r="AY165" s="28"/>
      <c r="AZ165" s="28"/>
      <c r="BA165" s="28"/>
      <c r="BB165" s="28"/>
      <c r="BC165" s="28"/>
      <c r="BD165" s="28"/>
      <c r="BE165" s="28"/>
      <c r="BF165" s="28"/>
      <c r="BG165" s="28"/>
      <c r="BH165" s="28"/>
      <c r="BI165" s="28"/>
      <c r="BJ165" s="28"/>
      <c r="BK165" s="28"/>
    </row>
    <row r="166" spans="1:64" ht="14.25" hidden="1" customHeight="1" thickBot="1">
      <c r="A166" s="28"/>
      <c r="B166" s="290">
        <v>10</v>
      </c>
      <c r="C166" s="306">
        <f>D85</f>
        <v>0</v>
      </c>
      <c r="D166" s="291" t="s">
        <v>94</v>
      </c>
      <c r="E166" s="293">
        <f>(E160+E161+E162+E163+E164+E169+E170+E174)*porantigcargo</f>
        <v>0</v>
      </c>
      <c r="F166" s="288">
        <f>495616*1.1</f>
        <v>545177.60000000009</v>
      </c>
      <c r="G166" s="305"/>
      <c r="H166" s="293">
        <f>(H160+H161+H162+H163+H164+H169+H170+H174)*porantigcargo</f>
        <v>0</v>
      </c>
      <c r="I166" s="288">
        <f>495616*1.1</f>
        <v>545177.60000000009</v>
      </c>
      <c r="J166" s="305"/>
      <c r="K166" s="293">
        <f>(K160+K161+K162+K163+K164+K169+K170+K174)*porantigcargo</f>
        <v>0</v>
      </c>
      <c r="L166" s="288">
        <f>495616*1.1</f>
        <v>545177.60000000009</v>
      </c>
      <c r="M166" s="305"/>
      <c r="N166" s="293">
        <f>(N160+N161+N162+N163+N164+N169+N170+N174)*porantigcargo</f>
        <v>0</v>
      </c>
      <c r="O166" s="288">
        <f>495616*1.1</f>
        <v>545177.60000000009</v>
      </c>
      <c r="P166" s="305"/>
      <c r="Q166" s="293">
        <f>(Q160+Q161+Q162+Q163+Q164+Q169+Q170+Q174)*porantigcargo</f>
        <v>0</v>
      </c>
      <c r="R166" s="288">
        <f>495616*1.1</f>
        <v>545177.60000000009</v>
      </c>
      <c r="S166" s="305"/>
      <c r="T166" s="293">
        <f>(T160+T161+T162+T163+T164+T169+T170+T174)*porantigcargo</f>
        <v>0</v>
      </c>
      <c r="U166" s="288">
        <f>495616*1.1</f>
        <v>545177.60000000009</v>
      </c>
      <c r="V166" s="305"/>
      <c r="W166" s="293">
        <f>(W160+W161+W162+W163+W164+W169+W170+W174)*porantigcargo</f>
        <v>0</v>
      </c>
      <c r="X166" s="288">
        <f>495616*1.1</f>
        <v>545177.60000000009</v>
      </c>
      <c r="Y166" s="305"/>
      <c r="Z166" s="293">
        <f>(Z160+Z161+Z162+Z163+Z164+Z169+Z170+Z174)*porantigcargo</f>
        <v>0</v>
      </c>
      <c r="AA166" s="288">
        <f>495616*1.1</f>
        <v>545177.60000000009</v>
      </c>
      <c r="AB166" s="305"/>
      <c r="AC166" s="293">
        <f>(AC160+AC161+AC162+AC163+AC164+AC169+AC170+AC174)*porantigcargo</f>
        <v>0</v>
      </c>
      <c r="AD166" s="288">
        <f>495616*1.1</f>
        <v>545177.60000000009</v>
      </c>
      <c r="AE166" s="305"/>
      <c r="AF166" s="293">
        <f>(AF160+AF161+AF162+AF163+AF164+AF169+AF170+AF174)*porantigcargo</f>
        <v>0</v>
      </c>
      <c r="AG166" s="288"/>
      <c r="AH166" s="305"/>
      <c r="AI166" s="293">
        <f>(AI160+AI161+AI162+AI163+AI164+AI169+AI170+AI174)*porantigcargo</f>
        <v>0</v>
      </c>
      <c r="AJ166" s="288"/>
      <c r="AK166" s="305"/>
      <c r="AL166" s="293">
        <f>(AL160+AL161+AL162+AL163+AL164+AL169+AL170)*porantigcargo</f>
        <v>0</v>
      </c>
      <c r="AM166" s="288"/>
      <c r="AN166" s="305"/>
      <c r="AO166" s="293">
        <f>(AO160+AO161+AO162+AO163+AO164+AO169+AO170)*porantigcargo</f>
        <v>0</v>
      </c>
      <c r="AP166" s="288"/>
      <c r="AQ166" s="305"/>
      <c r="AR166" s="293">
        <f>(AR160+AR161+AR162+AR163+AR164+AR169+AR170)*porantigcargo</f>
        <v>0</v>
      </c>
      <c r="AS166" s="288"/>
      <c r="AT166" s="305"/>
      <c r="AU166" s="347"/>
      <c r="AV166" s="347"/>
      <c r="AW166" s="347"/>
      <c r="AX166" s="342"/>
      <c r="AY166" s="28"/>
      <c r="AZ166" s="28"/>
      <c r="BA166" s="28"/>
      <c r="BB166" s="28"/>
      <c r="BC166" s="28"/>
      <c r="BD166" s="28"/>
      <c r="BE166" s="28"/>
      <c r="BF166" s="28"/>
      <c r="BG166" s="28"/>
      <c r="BH166" s="28"/>
      <c r="BI166" s="28"/>
      <c r="BJ166" s="28"/>
      <c r="BK166" s="28"/>
    </row>
    <row r="167" spans="1:64" ht="13.5" hidden="1" thickBot="1">
      <c r="A167" s="28"/>
      <c r="B167" s="285">
        <v>14</v>
      </c>
      <c r="C167" s="286"/>
      <c r="D167" s="286" t="s">
        <v>95</v>
      </c>
      <c r="E167" s="288">
        <f>E165*0.07</f>
        <v>14494.928807723867</v>
      </c>
      <c r="F167" s="288"/>
      <c r="G167" s="307">
        <f>IF(puntosproljor&gt;600,G176,G172)</f>
        <v>151909.45954003194</v>
      </c>
      <c r="H167" s="288">
        <f>H165*0.07</f>
        <v>14141.393958754994</v>
      </c>
      <c r="I167" s="288"/>
      <c r="J167" s="307">
        <f>IF(puntosproljor&gt;600,J176,J172)</f>
        <v>137335.80325566875</v>
      </c>
      <c r="K167" s="288">
        <f>K165*0.07</f>
        <v>13835.418360399995</v>
      </c>
      <c r="L167" s="288"/>
      <c r="M167" s="307">
        <f>IF(puntosproljor&gt;600,M176,M172)</f>
        <v>128049.29852220284</v>
      </c>
      <c r="N167" s="288">
        <f>N165*0.07</f>
        <v>13556.049335814998</v>
      </c>
      <c r="O167" s="288"/>
      <c r="P167" s="307">
        <f>IF(puntosproljor&gt;600,P176,P172)</f>
        <v>130009.85167124789</v>
      </c>
      <c r="Q167" s="288">
        <f>Q165*0.07</f>
        <v>13303.286885</v>
      </c>
      <c r="R167" s="288"/>
      <c r="S167" s="307">
        <f>IF(puntosproljor&gt;600,S176,S172)</f>
        <v>133623.59737809727</v>
      </c>
      <c r="T167" s="288">
        <f>T165*0.07</f>
        <v>13076.594104</v>
      </c>
      <c r="U167" s="288"/>
      <c r="V167" s="307">
        <f>IF(puntosproljor&gt;600,V176,V172)</f>
        <v>130537.78463412204</v>
      </c>
      <c r="W167" s="288">
        <f>W165*0.07</f>
        <v>12885.69492</v>
      </c>
      <c r="X167" s="288"/>
      <c r="Y167" s="307">
        <f>IF(puntosproljor&gt;600,Y176,Y172)</f>
        <v>130819.9691141974</v>
      </c>
      <c r="Z167" s="288">
        <f>Z165*0.07</f>
        <v>12706.726935000002</v>
      </c>
      <c r="AA167" s="288"/>
      <c r="AB167" s="307">
        <f>IF(puntosproljor&gt;600,AB176,AB172)</f>
        <v>140810.05788364721</v>
      </c>
      <c r="AC167" s="288">
        <f>AC165*0.07</f>
        <v>12372.653363000003</v>
      </c>
      <c r="AD167" s="288"/>
      <c r="AE167" s="307">
        <f>IF(puntosproljor&gt;600,AE176,AE172)</f>
        <v>145715.53612560828</v>
      </c>
      <c r="AF167" s="288">
        <f>AF165*0.07</f>
        <v>11931.199000000002</v>
      </c>
      <c r="AG167" s="288"/>
      <c r="AH167" s="307">
        <f>IF(puntosproljor&gt;600,AH176,AH172)</f>
        <v>127568.05901996647</v>
      </c>
      <c r="AI167" s="288">
        <f>AI165*0.07</f>
        <v>11657.443000000001</v>
      </c>
      <c r="AJ167" s="288"/>
      <c r="AK167" s="307">
        <f>IF(puntosproljor&gt;600,AK176,AK172)</f>
        <v>119390.17807124114</v>
      </c>
      <c r="AL167" s="288">
        <f>AL165*0.07</f>
        <v>11657.443000000001</v>
      </c>
      <c r="AM167" s="288"/>
      <c r="AN167" s="307">
        <f>IF(puntosproljor&gt;600,AN176,AN172)</f>
        <v>119390.17807124114</v>
      </c>
      <c r="AO167" s="288">
        <f>AO165*0.07</f>
        <v>11406.500000000002</v>
      </c>
      <c r="AP167" s="288"/>
      <c r="AQ167" s="307">
        <f>IF(puntosproljor&gt;600,AQ176,AQ172)</f>
        <v>124319.65418621374</v>
      </c>
      <c r="AR167" s="288">
        <f>AR165*0.07</f>
        <v>11130.17282808848</v>
      </c>
      <c r="AS167" s="288"/>
      <c r="AT167" s="307">
        <f>IF(puntosproljor&gt;600,AT176,AT172)</f>
        <v>122494.09262094568</v>
      </c>
      <c r="AU167" s="347"/>
      <c r="AV167" s="347"/>
      <c r="AW167" s="347"/>
      <c r="AX167" s="342"/>
      <c r="AY167" s="343"/>
      <c r="AZ167" s="28"/>
      <c r="BA167" s="28"/>
      <c r="BB167" s="28"/>
      <c r="BC167" s="28"/>
      <c r="BD167" s="28"/>
      <c r="BE167" s="28"/>
      <c r="BF167" s="28"/>
      <c r="BG167" s="28"/>
      <c r="BH167" s="28"/>
      <c r="BI167" s="28"/>
      <c r="BJ167" s="28"/>
      <c r="BK167" s="28"/>
    </row>
    <row r="168" spans="1:64" ht="13.5" hidden="1" thickBot="1">
      <c r="A168" s="28"/>
      <c r="B168" s="290">
        <v>188</v>
      </c>
      <c r="C168" s="306">
        <v>7.0000000000000007E-2</v>
      </c>
      <c r="D168" s="291" t="s">
        <v>96</v>
      </c>
      <c r="E168" s="308">
        <f>(E160+E161+E162+E163+E164+E166+E169+E170+E171+E172+E173+E174)*0.07</f>
        <v>37757.720497332455</v>
      </c>
      <c r="F168" s="288"/>
      <c r="G168" s="305"/>
      <c r="H168" s="308">
        <f>(H160+H161+H162+H163+H164+H166+H169+H170+H171+H172+H173+H174)*0.07</f>
        <v>36076.002159145813</v>
      </c>
      <c r="I168" s="288"/>
      <c r="J168" s="305"/>
      <c r="K168" s="308">
        <f>(K160+K161+K162+K163+K164+K166+K169+K170+K171+K172+K173+K174)*0.07</f>
        <v>34853.381064474197</v>
      </c>
      <c r="L168" s="288"/>
      <c r="M168" s="305"/>
      <c r="N168" s="308">
        <f>(N160+N161+N162+N163+N164+N166+N169+N170+N171+N172+N173+N174)*0.07</f>
        <v>34467.842348824357</v>
      </c>
      <c r="O168" s="288"/>
      <c r="P168" s="305"/>
      <c r="Q168" s="308">
        <f>(Q160+Q161+Q162+Q163+Q164+Q166+Q169+Q170+Q171+Q172+Q173+Q174)*0.07</f>
        <v>34247.815439466809</v>
      </c>
      <c r="R168" s="288"/>
      <c r="S168" s="305"/>
      <c r="T168" s="308">
        <f>(T160+T161+T162+T163+T164+T166+T169+T170+T171+T172+T173+T174)*0.07</f>
        <v>33607.585143543743</v>
      </c>
      <c r="U168" s="288"/>
      <c r="V168" s="305"/>
      <c r="W168" s="308">
        <f>(W160+W161+W162+W163+W164+W166+W169+W170+W171+W172+W173+W174)*0.07</f>
        <v>33270.112652489821</v>
      </c>
      <c r="X168" s="288"/>
      <c r="Y168" s="305"/>
      <c r="Z168" s="308">
        <f>(Z160+Z161+Z162+Z163+Z164+Z166+Z169+Z170+Z171+Z172+Z173+Z174)*0.07</f>
        <v>33634.522765455302</v>
      </c>
      <c r="AA168" s="288"/>
      <c r="AB168" s="305"/>
      <c r="AC168" s="308">
        <f>(AC160+AC161+AC162+AC163+AC164+AC166+AC169+AC170+AC171+AC172+AC173+AC174)*0.07</f>
        <v>33352.762405032583</v>
      </c>
      <c r="AD168" s="288"/>
      <c r="AE168" s="305"/>
      <c r="AF168" s="308">
        <f>(AF160+AF161+AF162+AF163+AF164+AF166+AF169+AF170+AF171+AF172+AF173+AF174)*0.07</f>
        <v>31256.351922597652</v>
      </c>
      <c r="AG168" s="288"/>
      <c r="AH168" s="305"/>
      <c r="AI168" s="308">
        <f>(AI160+AI161+AI162+AI163+AI164+AI166+AI169+AI170+AI171+AI172+AI173+AI174)*0.07</f>
        <v>30171.624816918284</v>
      </c>
      <c r="AJ168" s="288"/>
      <c r="AK168" s="305"/>
      <c r="AL168" s="308">
        <f>(AL160+AL161+AL162+AL163+AL164+AL166+AL169+AL170+AL171+AL172+AL173)*0.07</f>
        <v>30171.624816918284</v>
      </c>
      <c r="AM168" s="288"/>
      <c r="AN168" s="305"/>
      <c r="AO168" s="308">
        <f>(AO160+AO161+AO162+AO163+AO164+AO166+AO169+AO170+AO171+AO172+AO173)*0.07</f>
        <v>30047.104121734963</v>
      </c>
      <c r="AP168" s="288"/>
      <c r="AQ168" s="305"/>
      <c r="AR168" s="308">
        <f>(AR160+AR161+AR162+AR163+AR164+AR166+AR169+AR170+AR171+AR172+AR173)*0.07</f>
        <v>29402.322379196448</v>
      </c>
      <c r="AS168" s="288"/>
      <c r="AT168" s="305"/>
      <c r="AU168" s="345"/>
      <c r="AV168" s="346"/>
      <c r="AW168" s="250"/>
      <c r="AX168" s="342"/>
      <c r="AY168" s="343"/>
      <c r="AZ168" s="28"/>
      <c r="BA168" s="28"/>
      <c r="BB168" s="28"/>
      <c r="BC168" s="28"/>
      <c r="BD168" s="28"/>
      <c r="BE168" s="28"/>
      <c r="BF168" s="28"/>
      <c r="BG168" s="28"/>
      <c r="BH168" s="28"/>
      <c r="BI168" s="28"/>
      <c r="BJ168" s="28"/>
      <c r="BK168" s="28"/>
    </row>
    <row r="169" spans="1:64" ht="16.5" hidden="1" thickBot="1">
      <c r="A169" s="28"/>
      <c r="B169" s="285">
        <v>52</v>
      </c>
      <c r="C169" s="286"/>
      <c r="D169" s="286" t="s">
        <v>97</v>
      </c>
      <c r="E169" s="288">
        <f>puntosproljor*Indiceproljordic25</f>
        <v>0</v>
      </c>
      <c r="F169" s="309">
        <f>G171/J171*J169</f>
        <v>538114.06671491987</v>
      </c>
      <c r="G169" s="816">
        <v>538114.06671491987</v>
      </c>
      <c r="H169" s="288">
        <f>puntosproljor*Indiceproljornov25</f>
        <v>0</v>
      </c>
      <c r="I169" s="309">
        <f>J171/M171*M169</f>
        <v>517154.3951212198</v>
      </c>
      <c r="J169" s="816">
        <v>517154.3951212198</v>
      </c>
      <c r="K169" s="288">
        <f>puntosproljor*Indiceproljoroct25</f>
        <v>0</v>
      </c>
      <c r="L169" s="309">
        <f>M171/P171*P169</f>
        <v>501412.42708293302</v>
      </c>
      <c r="M169" s="816">
        <v>501412.43</v>
      </c>
      <c r="N169" s="288">
        <f>puntosproljor*Indiceproljorsep25</f>
        <v>0</v>
      </c>
      <c r="O169" s="309">
        <f>P171/S171*S169</f>
        <v>494564.93146954291</v>
      </c>
      <c r="P169" s="816">
        <v>494565</v>
      </c>
      <c r="Q169" s="288">
        <f>puntosproljor*Indiceproljorago25</f>
        <v>0</v>
      </c>
      <c r="R169" s="309">
        <f>S171/V171*V169</f>
        <v>489696.22686364281</v>
      </c>
      <c r="S169" s="816">
        <v>489696</v>
      </c>
      <c r="T169" s="288">
        <f>puntosproljor*Indiceproljorjul25</f>
        <v>0</v>
      </c>
      <c r="U169" s="309">
        <f>V171/Y171*Y169</f>
        <v>480768.37788426905</v>
      </c>
      <c r="V169" s="816">
        <v>480768.38</v>
      </c>
      <c r="W169" s="288">
        <f>puntosproljor*Indiceproljorjun25</f>
        <v>0</v>
      </c>
      <c r="X169" s="309">
        <f>Y171/AB171*AB169</f>
        <v>475327.03857958835</v>
      </c>
      <c r="Y169" s="816">
        <v>475327.04</v>
      </c>
      <c r="Z169" s="288">
        <f>puntosproljor*Indiceproljormay25</f>
        <v>0</v>
      </c>
      <c r="AA169" s="309">
        <f>AB171/AE171*AE169</f>
        <v>477236.7817552904</v>
      </c>
      <c r="AB169" s="816">
        <v>477236.78</v>
      </c>
      <c r="AC169" s="288">
        <f>puntosproljor*Indiceproljorabr25</f>
        <v>0</v>
      </c>
      <c r="AD169" s="309">
        <f>AE171/AH171*AH169</f>
        <v>470894.73140124948</v>
      </c>
      <c r="AE169" s="816">
        <v>470894.73</v>
      </c>
      <c r="AF169" s="288">
        <f>puntosproljor*Indiceproljormar25</f>
        <v>0</v>
      </c>
      <c r="AG169" s="309">
        <f>AK169*AH171/AK171</f>
        <v>444759.08965515858</v>
      </c>
      <c r="AH169" s="310">
        <v>444759</v>
      </c>
      <c r="AI169" s="288">
        <f>puntosproljor*Indiceproljorfeb25</f>
        <v>0</v>
      </c>
      <c r="AJ169" s="309">
        <f>AN169*AK171/AN171</f>
        <v>430769</v>
      </c>
      <c r="AK169" s="310">
        <v>430769</v>
      </c>
      <c r="AL169" s="288">
        <f>puntosproljor*Indiceproljorfeb25</f>
        <v>0</v>
      </c>
      <c r="AM169" s="309">
        <f>AQ169*AN171/AQ171</f>
        <v>440857.19725464314</v>
      </c>
      <c r="AN169" s="310">
        <v>430769</v>
      </c>
      <c r="AO169" s="288">
        <f>puntosproljor*Indiceproljorene25</f>
        <v>0</v>
      </c>
      <c r="AP169" s="309">
        <f>AT169*AQ171/AT171</f>
        <v>426901.74808363931</v>
      </c>
      <c r="AQ169" s="310">
        <v>436900</v>
      </c>
      <c r="AR169" s="288">
        <f>puntosproljor*Indiceproljordic24</f>
        <v>0</v>
      </c>
      <c r="AS169" s="309"/>
      <c r="AT169" s="310">
        <v>417415.89</v>
      </c>
      <c r="AU169" s="345"/>
      <c r="AV169" s="348">
        <f>(102731-12100)*1.35+12100</f>
        <v>134451.85</v>
      </c>
      <c r="AW169" s="345"/>
      <c r="AX169" s="342"/>
      <c r="AY169" s="349"/>
      <c r="AZ169" s="28"/>
      <c r="BA169" s="28"/>
      <c r="BB169" s="28"/>
      <c r="BC169" s="28"/>
      <c r="BD169" s="28"/>
      <c r="BE169" s="28"/>
      <c r="BF169" s="28"/>
      <c r="BG169" s="28"/>
      <c r="BH169" s="28"/>
      <c r="BI169" s="28"/>
      <c r="BJ169" s="28"/>
      <c r="BK169" s="28"/>
    </row>
    <row r="170" spans="1:64" ht="18" hidden="1" thickBot="1">
      <c r="A170" s="28"/>
      <c r="B170" s="290">
        <v>16</v>
      </c>
      <c r="C170" s="291"/>
      <c r="D170" s="291" t="s">
        <v>98</v>
      </c>
      <c r="E170" s="293">
        <f>puntostardif*indicedic25</f>
        <v>0</v>
      </c>
      <c r="F170" s="288"/>
      <c r="G170" s="311">
        <f>IF((totalremdic25-E171*1.07)*0.78&lt;G169,(G169-(totalremdic25-E171*1.07)*0.78)/0.78,0)/1.07</f>
        <v>50199.890542811401</v>
      </c>
      <c r="H170" s="293">
        <f>puntostardif*indicenov25</f>
        <v>0</v>
      </c>
      <c r="I170" s="288"/>
      <c r="J170" s="311">
        <f>IF((totalremnov25-H171*1.07)*0.78&lt;J169,(J169-(totalremnov25-H171*1.07)*0.78)/0.78,0)/1.07</f>
        <v>39587.846295711555</v>
      </c>
      <c r="K170" s="293">
        <f>puntostardif*indiceoct25</f>
        <v>0</v>
      </c>
      <c r="L170" s="288"/>
      <c r="M170" s="311">
        <f>IF((totalremoct25-K171*1.07)*0.78&lt;M169,(M169-(totalremoct25-K171*1.07)*0.78)/0.78,0)/1.07</f>
        <v>33276.74879778397</v>
      </c>
      <c r="N170" s="293">
        <f>puntostardif*indicesep25</f>
        <v>0</v>
      </c>
      <c r="O170" s="288"/>
      <c r="P170" s="311">
        <f>IF((totalremsep25-N171*1.07)*0.78&lt;P169,(P169-(totalremsep25-N171*1.07)*0.78)/0.78,0)/1.07</f>
        <v>36531.538706953645</v>
      </c>
      <c r="Q170" s="293">
        <f>puntostardif*indiceago25</f>
        <v>0</v>
      </c>
      <c r="R170" s="288"/>
      <c r="S170" s="311">
        <f>IF((totalremago25-Q171*1.07)*0.78&lt;S169,(S169-(totalremago25-Q171*1.07)*0.78)/0.78,0)/1.07</f>
        <v>41065.485707836095</v>
      </c>
      <c r="T170" s="293">
        <f>puntostardif*indicejul25</f>
        <v>0</v>
      </c>
      <c r="U170" s="288"/>
      <c r="V170" s="311">
        <f>IF((totalremjul25-T171*1.07)*0.78&lt;V169,(V169-(totalremjul25-T171*1.07)*0.78)/0.78,0)/1.07</f>
        <v>39667.403613273709</v>
      </c>
      <c r="W170" s="293">
        <f>puntostardif*indicejun25</f>
        <v>0</v>
      </c>
      <c r="X170" s="288"/>
      <c r="Y170" s="311">
        <f>IF((totalremjun25-W171*1.07)*0.78&lt;Y169,(Y169-(totalremjun25-W171*1.07)*0.78)/0.78,0)/1.07</f>
        <v>40978.056820883256</v>
      </c>
      <c r="Z170" s="293">
        <f>puntostardif*indicemay25</f>
        <v>0</v>
      </c>
      <c r="AA170" s="288"/>
      <c r="AB170" s="311">
        <f>IF((totalremmayo25-Z171*1.07)*0.78&lt;AB169,(AB169-(totalremmayo25-Z171*1.07)*0.78)/0.78,0)/1.07</f>
        <v>50607.182254603409</v>
      </c>
      <c r="AC170" s="293">
        <f>puntostardif*indiceabr25</f>
        <v>0</v>
      </c>
      <c r="AD170" s="288"/>
      <c r="AE170" s="311">
        <f>IF((totalremabr25-AC171*1.07)*0.78&lt;AE169,(AE169-(totalremabr25-AC171*1.07)*0.78)/0.78,0)/1.07</f>
        <v>56711.378445282404</v>
      </c>
      <c r="AF170" s="293">
        <f>puntostardif*indicemar25</f>
        <v>0</v>
      </c>
      <c r="AG170" s="288"/>
      <c r="AH170" s="311">
        <f>IF((totalremmar25-AF171*1.07)*0.78&lt;AH169,(AH169-(totalremmar25-AF171*1.07)*0.78)/0.78,0)/1.07</f>
        <v>43503.836637987093</v>
      </c>
      <c r="AI170" s="293">
        <f>puntostardif*indicefeb25</f>
        <v>0</v>
      </c>
      <c r="AJ170" s="288"/>
      <c r="AK170" s="311">
        <f>IF((totalremfebparit25-AI171*1.07)*0.78&lt;AK169,(AK169-(totalremfebparit25-AI171*1.07)*0.78)/0.78,0)/1.07</f>
        <v>37970.336230838562</v>
      </c>
      <c r="AL170" s="293">
        <f>puntostardif*indicefeb25</f>
        <v>0</v>
      </c>
      <c r="AM170" s="288"/>
      <c r="AN170" s="311">
        <f>IF((totalremfeb25-AL171*1.07)*0.78&lt;AN169,(AN169-(totalremfeb25-AL171*1.07)*0.78)/0.78,0)/1.07</f>
        <v>37970.336230838562</v>
      </c>
      <c r="AO170" s="293">
        <f>puntostardif*indiceene25</f>
        <v>0</v>
      </c>
      <c r="AP170" s="288"/>
      <c r="AQ170" s="311">
        <f>IF((totalremene25-AO171*1.07)*0.78&lt;AQ169,(AQ169-(totalremene25-AO171*1.07)*0.78)/0.78,0)/1.07</f>
        <v>55609.613448135606</v>
      </c>
      <c r="AR170" s="293">
        <f>puntostardif*indicedic24</f>
        <v>0</v>
      </c>
      <c r="AS170" s="288"/>
      <c r="AT170" s="311">
        <f>IF((totalremdic24-AR171*1.07)*0.78&lt;AT169,(AT169-(totalremdic24-AR171*1.07)*0.78)/0.78,0)/1.07</f>
        <v>43597.303740044641</v>
      </c>
      <c r="AU170" s="345"/>
      <c r="AV170" s="346"/>
      <c r="AW170" s="345"/>
      <c r="AX170" s="342"/>
      <c r="AY170" s="343"/>
      <c r="AZ170" s="28"/>
      <c r="BA170" s="28"/>
      <c r="BB170" s="28"/>
      <c r="BC170" s="28"/>
      <c r="BD170" s="28"/>
      <c r="BE170" s="28"/>
      <c r="BF170" s="28"/>
      <c r="BG170" s="28"/>
      <c r="BH170" s="28"/>
      <c r="BI170" s="28"/>
      <c r="BJ170" s="28"/>
      <c r="BK170" s="28"/>
    </row>
    <row r="171" spans="1:64" ht="16.5" hidden="1" thickBot="1">
      <c r="A171" s="28"/>
      <c r="B171" s="285">
        <v>78</v>
      </c>
      <c r="C171" s="312">
        <f>C104</f>
        <v>0</v>
      </c>
      <c r="D171" s="286" t="s">
        <v>99</v>
      </c>
      <c r="E171" s="313">
        <f>(E160+E161+E162+E163+E164+E169+E170+E174)*porzonacargo</f>
        <v>0</v>
      </c>
      <c r="F171" s="309">
        <f>566364.43*1.1</f>
        <v>623000.87300000014</v>
      </c>
      <c r="G171" s="816">
        <v>623000.87300000014</v>
      </c>
      <c r="H171" s="313">
        <f>(H160+H161+H162+H163+H164+H169+H170+H174)*porzonacargo</f>
        <v>0</v>
      </c>
      <c r="I171" s="309">
        <f>544304.4*1.1</f>
        <v>598734.84000000008</v>
      </c>
      <c r="J171" s="816">
        <v>598734.84000000008</v>
      </c>
      <c r="K171" s="313">
        <f>(K160+K161+K162+K163+K164+K169+K170+K174)*porzonacargo</f>
        <v>0</v>
      </c>
      <c r="L171" s="309">
        <f>527736*1.1</f>
        <v>580509.60000000009</v>
      </c>
      <c r="M171" s="816">
        <v>580509.6</v>
      </c>
      <c r="N171" s="313">
        <f>(N160+N161+N162+N163+N164+N169+N170+N174)*porzonacargo</f>
        <v>0</v>
      </c>
      <c r="O171" s="309">
        <f>520529*1.1</f>
        <v>572581.9</v>
      </c>
      <c r="P171" s="816">
        <v>572582</v>
      </c>
      <c r="Q171" s="313">
        <f>(Q160+Q161+Q162+Q163+Q164+Q169+Q170+Q174)*porzonacargo</f>
        <v>0</v>
      </c>
      <c r="R171" s="309">
        <f>515405*1.1</f>
        <v>566945.5</v>
      </c>
      <c r="S171" s="816">
        <v>566945</v>
      </c>
      <c r="T171" s="313">
        <f>(T160+T161+T162+T163+T164+T169+T170+T174)*porzonacargo</f>
        <v>0</v>
      </c>
      <c r="U171" s="309">
        <f>506008*1.1</f>
        <v>556608.80000000005</v>
      </c>
      <c r="V171" s="816">
        <v>556608.80000000005</v>
      </c>
      <c r="W171" s="313">
        <f>(W160+W161+W162+W163+W164+W169+W170+W174)*porzonacargo</f>
        <v>0</v>
      </c>
      <c r="X171" s="309">
        <f>500281*1.1</f>
        <v>550309.10000000009</v>
      </c>
      <c r="Y171" s="816">
        <v>550309.1</v>
      </c>
      <c r="Z171" s="313">
        <f>(Z160+Z161+Z162+Z163+Z164+Z169+Z170+Z174)*porzonacargo</f>
        <v>0</v>
      </c>
      <c r="AA171" s="309">
        <f>502291*1.1</f>
        <v>552520.10000000009</v>
      </c>
      <c r="AB171" s="816">
        <v>552520.1</v>
      </c>
      <c r="AC171" s="313">
        <f>(AC160+AC161+AC162+AC163+AC164+AC169+AC170+AC174)*porzonacargo</f>
        <v>0</v>
      </c>
      <c r="AD171" s="309">
        <f>AH171*1.021</f>
        <v>525732.299</v>
      </c>
      <c r="AE171" s="816">
        <v>545177.59999999998</v>
      </c>
      <c r="AF171" s="313">
        <f>(AF160+AF161+AF162+AF163+AF164+AF169+AF170+AF174)*porzonacargo</f>
        <v>0</v>
      </c>
      <c r="AG171" s="309">
        <f>AN171*1.021</f>
        <v>509195.16199999995</v>
      </c>
      <c r="AH171" s="310">
        <v>514919</v>
      </c>
      <c r="AI171" s="313">
        <f>(AI160+AI161+AI162+AI163+AI164+AI169+AI170+AI174)*porzonacargo</f>
        <v>0</v>
      </c>
      <c r="AJ171" s="309">
        <f>AN171*1.021</f>
        <v>509195.16199999995</v>
      </c>
      <c r="AK171" s="310">
        <v>498722</v>
      </c>
      <c r="AL171" s="313">
        <f>(AL160+AL161+AL162+AL163+AL164+AL169+AL170)*porzonacargo</f>
        <v>0</v>
      </c>
      <c r="AM171" s="309">
        <f>AQ171*1.021</f>
        <v>504624.55339999998</v>
      </c>
      <c r="AN171" s="310">
        <v>498722</v>
      </c>
      <c r="AO171" s="313">
        <f>(AO160+AO161+AO162+AO163+AO164+AO169+AO170)*porzonacargo</f>
        <v>0</v>
      </c>
      <c r="AP171" s="309">
        <f>AT171*1.021</f>
        <v>493411.67614999996</v>
      </c>
      <c r="AQ171" s="310">
        <v>494245.4</v>
      </c>
      <c r="AR171" s="313">
        <f>(AR160+AR161+AR162+AR163+AR164+AR169+AR170)*porzonacargo</f>
        <v>0</v>
      </c>
      <c r="AS171" s="309"/>
      <c r="AT171" s="310">
        <v>483263.15</v>
      </c>
      <c r="AU171" s="345"/>
      <c r="AV171" s="350" t="e">
        <f>#REF!/#REF!-1</f>
        <v>#REF!</v>
      </c>
      <c r="AW171" s="250"/>
      <c r="AX171" s="342"/>
      <c r="AY171" s="349"/>
      <c r="AZ171" s="28"/>
      <c r="BA171" s="28"/>
      <c r="BB171" s="28"/>
      <c r="BC171" s="28"/>
      <c r="BD171" s="28"/>
      <c r="BE171" s="28"/>
      <c r="BF171" s="28"/>
      <c r="BG171" s="28"/>
      <c r="BH171" s="28"/>
      <c r="BI171" s="28"/>
      <c r="BJ171" s="28"/>
      <c r="BK171" s="28"/>
    </row>
    <row r="172" spans="1:64" ht="18" hidden="1" thickBot="1">
      <c r="A172" s="28"/>
      <c r="B172" s="290">
        <v>185</v>
      </c>
      <c r="C172" s="291"/>
      <c r="D172" s="314" t="s">
        <v>100</v>
      </c>
      <c r="E172" s="315">
        <f>IF(punbascar&lt;913,G170,G167)</f>
        <v>151909.45954003194</v>
      </c>
      <c r="F172" s="288"/>
      <c r="G172" s="819">
        <f>IF((totalremdic25-E171*1.07-E162*(1+porantigcargo+porzonacargo)*1.07)*0.78&lt;G171,(G171-(totalremdic25-E171*1.07-E162*(1+porantigcargo+porzonacargo)*1.07)*0.78)/0.78,0)/1.07</f>
        <v>151909.45954003194</v>
      </c>
      <c r="H172" s="315">
        <f>IF(punbascar&lt;913,J170,J167)</f>
        <v>137335.80325566875</v>
      </c>
      <c r="I172" s="288"/>
      <c r="J172" s="819">
        <f>IF((totalremnov25-H171*1.07-H162*(1+porantigcargo+porzonacargo)*1.07)*0.78&lt;J171,(J171-(totalremnov25-H171*1.07-H162*(1+porantigcargo+porzonacargo)*1.07)*0.78)/0.78,0)/1.07</f>
        <v>137335.80325566875</v>
      </c>
      <c r="K172" s="315">
        <f>IF(punbascar&lt;913,M170,M167)</f>
        <v>128049.29852220284</v>
      </c>
      <c r="L172" s="288"/>
      <c r="M172" s="819">
        <f>IF((totalremoct25-K171*1.07-K162*(1+porantigcargo+porzonacargo)*1.07)*0.78&lt;M171,(M171-(totalremoct25-K171*1.07-K162*(1+porantigcargo+porzonacargo)*1.07)*0.78)/0.78,0)/1.07</f>
        <v>128049.29852220284</v>
      </c>
      <c r="N172" s="315">
        <f>IF(punbascar&lt;913,P170,P167)</f>
        <v>130009.85167124789</v>
      </c>
      <c r="O172" s="288"/>
      <c r="P172" s="819">
        <f>IF((totalremsep25-N171*1.07-N162*(1+porantigcargo+porzonacargo)*1.07)*0.78&lt;P171,(P171-(totalremsep25-N171*1.07-N162*(1+porantigcargo+porzonacargo)*1.07)*0.78)/0.78,0)/1.07</f>
        <v>130009.85167124789</v>
      </c>
      <c r="Q172" s="315">
        <f>IF(punbascar&lt;913,S170,S167)</f>
        <v>133623.59737809727</v>
      </c>
      <c r="R172" s="288"/>
      <c r="S172" s="819">
        <f>IF((totalremago25-Q171*1.07-Q162*(1+porantigcargo+porzonacargo)*1.07)*0.78&lt;S171,(S171-(totalremago25-Q171*1.07-Q162*(1+porantigcargo+porzonacargo)*1.07)*0.78)/0.78,0)/1.07</f>
        <v>133623.59737809727</v>
      </c>
      <c r="T172" s="315">
        <f>IF(punbascar&lt;913,V170,V167)</f>
        <v>130537.78463412204</v>
      </c>
      <c r="U172" s="288"/>
      <c r="V172" s="819">
        <f>IF((totalremjul25-T171*1.07-T162*(1+porantigcargo+porzonacargo)*1.07)*0.78&lt;V171,(V171-(totalremjul25-T171*1.07-T162*(1+porantigcargo+porzonacargo)*1.07)*0.78)/0.78,0)/1.07</f>
        <v>130537.78463412204</v>
      </c>
      <c r="W172" s="315">
        <f>IF(punbascar&lt;913,Y170,Y167)</f>
        <v>130819.9691141974</v>
      </c>
      <c r="X172" s="288"/>
      <c r="Y172" s="819">
        <f>IF((totalremjun25-W171*1.07-W162*(1+porantigcargo+porzonacargo)*1.07)*0.78&lt;Y171,(Y171-(totalremjun25-W171*1.07-W162*(1+porantigcargo+porzonacargo)*1.07)*0.78)/0.78,0)/1.07</f>
        <v>130819.9691141974</v>
      </c>
      <c r="Z172" s="315">
        <f>IF(punbascar&lt;913,AB170,AB167)</f>
        <v>140810.05788364721</v>
      </c>
      <c r="AA172" s="288"/>
      <c r="AB172" s="819">
        <f>IF((totalremmayo25-Z171*1.07-Z162*(1+porantigcargo+porzonacargo)*1.07)*0.78&lt;AB171,(AB171-(totalremmayo25-Z171*1.07-Z162*(1+porantigcargo+porzonacargo)*1.07)*0.78)/0.78,0)/1.07</f>
        <v>140810.05788364721</v>
      </c>
      <c r="AC172" s="315">
        <f>IF(punbascar&lt;913,AE170,AE167)</f>
        <v>145715.53612560828</v>
      </c>
      <c r="AD172" s="288"/>
      <c r="AE172" s="819">
        <f>IF((totalremabr25-AC171*1.07-AC162*(1+porantigcargo+porzonacargo)*1.07)*0.78&lt;AE171,(AE171-(totalremabr25-AC171*1.07-AC162*(1+porantigcargo+porzonacargo)*1.07)*0.78)/0.78,0)/1.07</f>
        <v>145715.53612560828</v>
      </c>
      <c r="AF172" s="315">
        <f>IF(punbascar&lt;913,AH170,AH167)</f>
        <v>127568.05901996647</v>
      </c>
      <c r="AG172" s="288">
        <f>AN171*1.01</f>
        <v>503709.22000000003</v>
      </c>
      <c r="AH172" s="311">
        <f>IF((totalremmar25-AF171*1.07-AF162*(1+porantigcargo+porzonacargo)*1.07)*0.78&lt;AH171,(AH171-(totalremmar25-AF171*1.07-AF162*(1+porantigcargo+porzonacargo)*1.07)*0.78)/0.78,0)/1.07</f>
        <v>127568.05901996647</v>
      </c>
      <c r="AI172" s="315">
        <f>IF(punbascar&lt;913,AK170,AK167)</f>
        <v>119390.17807124114</v>
      </c>
      <c r="AJ172" s="288"/>
      <c r="AK172" s="311">
        <f>IF((totalremfebparit25-AI171*1.07-AI162*(1+porantigcargo+porzonacargo)*1.07)*0.78&lt;AK171,(AK171-(totalremfebparit25-AI171*1.07-AI162*(1+porantigcargo+porzonacargo)*1.07)*0.78)/0.78,0)/1.07</f>
        <v>119390.17807124114</v>
      </c>
      <c r="AL172" s="315">
        <f>IF(punbascar&lt;913,AN170,AN167)</f>
        <v>119390.17807124114</v>
      </c>
      <c r="AM172" s="288"/>
      <c r="AN172" s="311">
        <f>IF((totalremfeb25-AL171*1.07-AL162*(1+porantigcargo+porzonacargo)*1.07)*0.78&lt;AN171,(AN171-(totalremfeb25-AL171*1.07-AL162*(1+porantigcargo+porzonacargo)*1.07)*0.78)/0.78,0)/1.07</f>
        <v>119390.17807124114</v>
      </c>
      <c r="AO172" s="315">
        <f>IF(punbascar&lt;913,AQ170,AQ167)</f>
        <v>124319.65418621374</v>
      </c>
      <c r="AP172" s="761"/>
      <c r="AQ172" s="311">
        <f>IF((totalremene25-AO171*1.07-AO162*(1+porantigcargo+porzonacargo)*1.07)*0.78&lt;AQ171,(AQ171-(totalremene25-AO171*1.07-AO162*(1+porantigcargo+porzonacargo)*1.07)*0.78)/0.78,0)/1.07</f>
        <v>124319.65418621374</v>
      </c>
      <c r="AR172" s="315">
        <f>IF(punbascar&lt;913,AT170,AT167)</f>
        <v>122494.09262094568</v>
      </c>
      <c r="AS172" s="288"/>
      <c r="AT172" s="311">
        <f>IF((totalremdic24-AR171*1.07-AR162*(1+porantigcargo+porzonacargo)*1.07)*0.78&lt;AT171,(AT171-(totalremdic24-AR171*1.07-AR162*(1+porantigcargo+porzonacargo)*1.07)*0.78)/0.78,0)/1.07</f>
        <v>122494.09262094568</v>
      </c>
      <c r="AU172" s="345"/>
      <c r="AV172" s="346"/>
      <c r="AW172" s="351"/>
      <c r="AX172" s="342"/>
      <c r="AY172" s="343"/>
      <c r="AZ172" s="28"/>
      <c r="BA172" s="28"/>
      <c r="BB172" s="28"/>
      <c r="BC172" s="28"/>
      <c r="BD172" s="28"/>
      <c r="BE172" s="28"/>
      <c r="BF172" s="28"/>
      <c r="BG172" s="28"/>
      <c r="BH172" s="28"/>
      <c r="BI172" s="28"/>
      <c r="BJ172" s="28"/>
      <c r="BK172" s="28"/>
    </row>
    <row r="173" spans="1:64" ht="16.5" hidden="1" thickBot="1">
      <c r="A173" s="28"/>
      <c r="B173" s="285">
        <v>117</v>
      </c>
      <c r="C173" s="316">
        <f>C106</f>
        <v>1</v>
      </c>
      <c r="D173" s="286" t="s">
        <v>101</v>
      </c>
      <c r="E173" s="301">
        <f>IF(AND(puntosproljor&lt;620,punbascar&lt;2200),17016,34032)*$C173*(1+Aumentodic25respene25)</f>
        <v>21623.259421577986</v>
      </c>
      <c r="F173" s="288"/>
      <c r="G173" s="305"/>
      <c r="H173" s="301">
        <f>IF(AND(puntosproljor&lt;620,punbascar&lt;2200),17016,34032)*$C173*(1+Aumentonov25respene25)</f>
        <v>21095.862850319991</v>
      </c>
      <c r="I173" s="288"/>
      <c r="J173" s="305"/>
      <c r="K173" s="301" cm="1">
        <f t="array" ref="K173">IF(AND(puntosproljor&lt;620,punbascar&lt;2200),17016,34032)*$C173*(1+Aumentooct25respene25)</f>
        <v>20639.414265599993</v>
      </c>
      <c r="L173" s="288"/>
      <c r="M173" s="305"/>
      <c r="N173" s="301">
        <f>IF(AND(puntosproljor&lt;620,punbascar&lt;2200),17016,34032)*$C173*(1+Aumentosep25respene25)</f>
        <v>20222.656862159994</v>
      </c>
      <c r="O173" s="288"/>
      <c r="P173" s="305"/>
      <c r="Q173" s="301">
        <f>IF(AND(puntosproljor&lt;620,punbascar&lt;2200),17016,34032)*$C173*(1+Aumentoago25respene25)</f>
        <v>19845.590639999999</v>
      </c>
      <c r="R173" s="288"/>
      <c r="S173" s="305"/>
      <c r="T173" s="301">
        <f>IF(AND(puntosproljor&lt;620,punbascar&lt;2200),17016,34032)*$C173*(1+Aumentojul25respene25)</f>
        <v>19507.414655999997</v>
      </c>
      <c r="U173" s="288"/>
      <c r="V173" s="305"/>
      <c r="W173" s="301">
        <f>IF(AND(puntosproljor&lt;620,punbascar&lt;2200),17016,34032)*$C173*(1+Aumentojun25respene25)</f>
        <v>19222.634879999998</v>
      </c>
      <c r="X173" s="288"/>
      <c r="Y173" s="305"/>
      <c r="Z173" s="301">
        <f>IF(AND(puntosproljor&lt;620,punbascar&lt;2200),17016,34032)*$C173*(1+Aumentomay25respene25)</f>
        <v>18955.653839999999</v>
      </c>
      <c r="AA173" s="288"/>
      <c r="AB173" s="305"/>
      <c r="AC173" s="301">
        <f>IF(AND(puntosproljor&lt;620,punbascar&lt;2200),17016,34032)*$C173*(1+Aumentoabr25respene25)</f>
        <v>18457.289231999999</v>
      </c>
      <c r="AD173" s="288"/>
      <c r="AE173" s="305"/>
      <c r="AF173" s="301">
        <f>IF(AND(puntosproljor&lt;620,punbascar&lt;2200),17016,34032)*$C173*(1+Aumentomar25respene25)</f>
        <v>17798.736000000001</v>
      </c>
      <c r="AG173" s="288"/>
      <c r="AH173" s="305"/>
      <c r="AI173" s="301">
        <f>IF(AND(puntosproljor&lt;620,punbascar&lt;2200),17016,34032)*$C173*(1+Aumentofeb25respene25)</f>
        <v>17390.351999999999</v>
      </c>
      <c r="AJ173" s="288"/>
      <c r="AK173" s="305"/>
      <c r="AL173" s="301">
        <f>IF(AND(puntosproljor&lt;620,punbascar&lt;2200),17016,34032)*$C173*(1+Aumentofeb25respene25)</f>
        <v>17390.351999999999</v>
      </c>
      <c r="AM173" s="288"/>
      <c r="AN173" s="305"/>
      <c r="AO173" s="301">
        <f>IF(AND(puntosproljor&lt;620,punbascar&lt;2200),17016,34032)*$C173</f>
        <v>17016</v>
      </c>
      <c r="AP173" s="288"/>
      <c r="AQ173" s="305"/>
      <c r="AR173" s="301">
        <f>IF(AND(puntosproljor&lt;620,punbascar&lt;2200),14535,29070)*$C173*(1+Aumentodic24)/(1+Aumentosep24)</f>
        <v>16603.929064717915</v>
      </c>
      <c r="AS173" s="288"/>
      <c r="AT173" s="305"/>
      <c r="AU173" s="342"/>
      <c r="AV173" s="352"/>
      <c r="AW173" s="343"/>
      <c r="AX173" s="353"/>
      <c r="AY173" s="352"/>
      <c r="AZ173" s="343"/>
      <c r="BA173" s="28"/>
      <c r="BB173" s="28"/>
      <c r="BC173" s="28"/>
      <c r="BD173" s="28"/>
      <c r="BE173" s="28"/>
      <c r="BF173" s="28"/>
      <c r="BG173" s="28"/>
      <c r="BH173" s="28"/>
      <c r="BI173" s="28"/>
      <c r="BJ173" s="28"/>
      <c r="BK173" s="28"/>
      <c r="BL173" s="28"/>
    </row>
    <row r="174" spans="1:64" s="748" customFormat="1" ht="16.5" hidden="1" thickBot="1">
      <c r="A174" s="28"/>
      <c r="B174" s="763">
        <v>25</v>
      </c>
      <c r="C174" s="764">
        <f>C107</f>
        <v>1</v>
      </c>
      <c r="D174" s="765" t="s">
        <v>197</v>
      </c>
      <c r="E174" s="766">
        <f>IF(AND(porantigcargo&gt;=0.5,$C174=1),25000,0)</f>
        <v>0</v>
      </c>
      <c r="F174" s="762"/>
      <c r="G174" s="305"/>
      <c r="H174" s="766">
        <f>IF(AND(porantigcargo&gt;=0.5,$C174=1),25000,0)</f>
        <v>0</v>
      </c>
      <c r="I174" s="762"/>
      <c r="J174" s="305"/>
      <c r="K174" s="766">
        <f>IF(AND(porantigcargo&gt;=0.5,$C174=1),25000,0)</f>
        <v>0</v>
      </c>
      <c r="L174" s="762"/>
      <c r="M174" s="305"/>
      <c r="N174" s="766">
        <f>IF(AND(porantigcargo&gt;=0.5,$C174=1),25000,0)</f>
        <v>0</v>
      </c>
      <c r="O174" s="762"/>
      <c r="P174" s="305"/>
      <c r="Q174" s="766">
        <f>IF(AND(porantigcargo&gt;=0.5,$C174=1),25000,0)</f>
        <v>0</v>
      </c>
      <c r="R174" s="762"/>
      <c r="S174" s="305"/>
      <c r="T174" s="766">
        <f>IF(AND(porantigcargo&gt;=0.5,$C174=1),25000,0)</f>
        <v>0</v>
      </c>
      <c r="U174" s="762"/>
      <c r="V174" s="305"/>
      <c r="W174" s="766">
        <f>IF(AND(porantigcargo&gt;=0.5,$C174=1),25000,0)</f>
        <v>0</v>
      </c>
      <c r="X174" s="762"/>
      <c r="Y174" s="305"/>
      <c r="Z174" s="766">
        <f>IF(AND(porantigcargo&gt;=0.5,$C174=1),25000,0)</f>
        <v>0</v>
      </c>
      <c r="AA174" s="762"/>
      <c r="AB174" s="305"/>
      <c r="AC174" s="766">
        <f>IF(AND(porantigcargo&gt;=0.5,$C174=1),25000,0)</f>
        <v>0</v>
      </c>
      <c r="AD174" s="762"/>
      <c r="AE174" s="305"/>
      <c r="AF174" s="766">
        <f>IF(AND(porantigcargo&gt;=0.5,C174=1),25000,0)</f>
        <v>0</v>
      </c>
      <c r="AG174" s="762"/>
      <c r="AH174" s="305"/>
      <c r="AI174" s="766">
        <f>IF(porantigcargo&gt;=0.5,25000,0)</f>
        <v>0</v>
      </c>
      <c r="AJ174" s="288"/>
      <c r="AK174" s="305"/>
      <c r="AL174" s="301"/>
      <c r="AM174" s="288"/>
      <c r="AN174" s="305"/>
      <c r="AO174" s="301"/>
      <c r="AP174" s="288"/>
      <c r="AQ174" s="305"/>
      <c r="AR174" s="301"/>
      <c r="AS174" s="288"/>
      <c r="AT174" s="305"/>
      <c r="AU174" s="342"/>
      <c r="AV174" s="352"/>
      <c r="AW174" s="343"/>
      <c r="AX174" s="353"/>
      <c r="AY174" s="352"/>
      <c r="AZ174" s="343"/>
      <c r="BA174" s="28"/>
      <c r="BB174" s="28"/>
      <c r="BC174" s="28"/>
      <c r="BD174" s="28"/>
      <c r="BE174" s="28"/>
      <c r="BF174" s="28"/>
      <c r="BG174" s="28"/>
      <c r="BH174" s="28"/>
      <c r="BI174" s="28"/>
      <c r="BJ174" s="28"/>
      <c r="BK174" s="28"/>
      <c r="BL174" s="28"/>
    </row>
    <row r="175" spans="1:64" ht="16.5" hidden="1" thickBot="1">
      <c r="A175" s="28"/>
      <c r="B175" s="285">
        <v>29</v>
      </c>
      <c r="C175" s="317">
        <f>cantkm</f>
        <v>0</v>
      </c>
      <c r="D175" s="286" t="s">
        <v>102</v>
      </c>
      <c r="E175" s="301">
        <f>kmsem*1543/15*4</f>
        <v>0</v>
      </c>
      <c r="F175" s="309">
        <f>G171/J171*J175</f>
        <v>804434.82997307403</v>
      </c>
      <c r="G175" s="816">
        <v>804434.82997307403</v>
      </c>
      <c r="H175" s="301">
        <f>kmsem*1543/15*4</f>
        <v>0</v>
      </c>
      <c r="I175" s="309">
        <f>J171/M171*M175</f>
        <v>773101.90095729707</v>
      </c>
      <c r="J175" s="816">
        <v>773101.90095729707</v>
      </c>
      <c r="K175" s="301">
        <f>kmsem*1513/15*4</f>
        <v>0</v>
      </c>
      <c r="L175" s="309">
        <f>M171/P171*P175</f>
        <v>749569.32648389216</v>
      </c>
      <c r="M175" s="816">
        <v>749569</v>
      </c>
      <c r="N175" s="301">
        <f>kmsem*83.46*4</f>
        <v>0</v>
      </c>
      <c r="O175" s="309">
        <f>P171/S171*S175</f>
        <v>739332.63972342992</v>
      </c>
      <c r="P175" s="816">
        <v>739333</v>
      </c>
      <c r="Q175" s="301">
        <f>kmsem*83.46*4</f>
        <v>0</v>
      </c>
      <c r="R175" s="309">
        <f>S171/V171*V175</f>
        <v>732054.06917120237</v>
      </c>
      <c r="S175" s="816">
        <v>732054</v>
      </c>
      <c r="T175" s="301">
        <f>kmsem*83.46*4</f>
        <v>0</v>
      </c>
      <c r="U175" s="309">
        <f>V171/Y171*Y175</f>
        <v>718717.69898517034</v>
      </c>
      <c r="V175" s="816">
        <v>718707.7</v>
      </c>
      <c r="W175" s="301">
        <f>kmsem*83.46*4</f>
        <v>0</v>
      </c>
      <c r="X175" s="309">
        <f>Y171/AB171*AB175</f>
        <v>710583.24981214071</v>
      </c>
      <c r="Y175" s="816">
        <v>710583.25</v>
      </c>
      <c r="Z175" s="301">
        <f>kmsem*83.46*4</f>
        <v>0</v>
      </c>
      <c r="AA175" s="309">
        <f>AB171/AE171*AE175</f>
        <v>713438.18806077691</v>
      </c>
      <c r="AB175" s="816">
        <v>713438.19</v>
      </c>
      <c r="AC175" s="301">
        <f>kmsem*83.46*4</f>
        <v>0</v>
      </c>
      <c r="AD175" s="309">
        <f>AE171/AH171*AH175</f>
        <v>703957.23162982904</v>
      </c>
      <c r="AE175" s="816">
        <v>703957.23</v>
      </c>
      <c r="AF175" s="301">
        <f>kmsem*83.46*4</f>
        <v>0</v>
      </c>
      <c r="AG175" s="309">
        <f>AK175/AK171*AH171</f>
        <v>664886.2858827163</v>
      </c>
      <c r="AH175" s="310">
        <v>664886</v>
      </c>
      <c r="AI175" s="301">
        <f>kmsem*83.46*4</f>
        <v>0</v>
      </c>
      <c r="AJ175" s="309">
        <f>AN175/AN171*AK171</f>
        <v>643971</v>
      </c>
      <c r="AK175" s="310">
        <v>643972</v>
      </c>
      <c r="AL175" s="301">
        <f>kmsem*83.46*4</f>
        <v>0</v>
      </c>
      <c r="AM175" s="309">
        <f>AQ175/AQ171*AN171</f>
        <v>643971.37920150592</v>
      </c>
      <c r="AN175" s="310">
        <v>643971</v>
      </c>
      <c r="AO175" s="301">
        <f>IF(kmsem&lt;400,kmsem*71.8*4,114880)*(1+aumentoene25)/(1+Aumentoago24)</f>
        <v>0</v>
      </c>
      <c r="AP175" s="309">
        <f>AT175/AT171*AQ171</f>
        <v>638192.08957991935</v>
      </c>
      <c r="AQ175" s="310">
        <v>638191</v>
      </c>
      <c r="AR175" s="301">
        <f>IF(kmsem&lt;400,kmsem*71.8*4,114880)*(1+Aumentodic24)/(1+Aumentoago24)</f>
        <v>0</v>
      </c>
      <c r="AS175" s="309"/>
      <c r="AT175" s="310">
        <v>624011.31000000006</v>
      </c>
      <c r="AU175" s="342"/>
      <c r="AV175" s="354"/>
      <c r="AW175" s="349"/>
      <c r="AX175" s="342"/>
      <c r="AY175" s="342"/>
      <c r="AZ175" s="349"/>
      <c r="BA175" s="28"/>
      <c r="BB175" s="28"/>
      <c r="BC175" s="28"/>
      <c r="BD175" s="28"/>
      <c r="BE175" s="28"/>
      <c r="BF175" s="28"/>
      <c r="BG175" s="28"/>
      <c r="BH175" s="28"/>
      <c r="BI175" s="28"/>
      <c r="BJ175" s="28"/>
      <c r="BK175" s="28"/>
      <c r="BL175" s="28"/>
    </row>
    <row r="176" spans="1:64" ht="18" hidden="1" thickBot="1">
      <c r="A176" s="28"/>
      <c r="B176" s="318" t="s">
        <v>103</v>
      </c>
      <c r="C176" s="291" t="s">
        <v>104</v>
      </c>
      <c r="D176" s="291"/>
      <c r="E176" s="319">
        <f>E109</f>
        <v>0</v>
      </c>
      <c r="F176" s="288"/>
      <c r="G176" s="311">
        <f>IF((totalremdic25-E171*1.07)*0.78&lt;G175,(G175-(totalremdic25-E171*1.07)*0.78)/0.78,0)/1.07</f>
        <v>369299.77462878567</v>
      </c>
      <c r="H176" s="319">
        <f>H109</f>
        <v>0</v>
      </c>
      <c r="I176" s="288"/>
      <c r="J176" s="311">
        <f>IF((totalremnov25-H171*1.07)*0.78&lt;J175,(J175-(totalremnov25-H171*1.07)*0.78)/0.78,0)/1.07</f>
        <v>346258.71358073101</v>
      </c>
      <c r="K176" s="319">
        <f>K109</f>
        <v>0</v>
      </c>
      <c r="L176" s="288"/>
      <c r="M176" s="311">
        <f>IF((totalremoct25-K171*1.07)*0.78&lt;M175,(M175-(totalremoct25-K171*1.07)*0.78)/0.78,0)/1.07</f>
        <v>330612.68217904441</v>
      </c>
      <c r="N176" s="319">
        <f>N109</f>
        <v>0</v>
      </c>
      <c r="O176" s="288"/>
      <c r="P176" s="311">
        <f>IF((totalremsep25-N171*1.07)*0.78&lt;P175,(P175-(totalremsep25-N171*1.07)*0.78)/0.78,0)/1.07</f>
        <v>329807.3594594099</v>
      </c>
      <c r="Q176" s="319">
        <f>Q109</f>
        <v>0</v>
      </c>
      <c r="R176" s="288"/>
      <c r="S176" s="311">
        <f>IF((totalremago25-Q171*1.07)*0.78&lt;S175,(S175-(totalremago25-Q171*1.07)*0.78)/0.78,0)/1.07</f>
        <v>331453.69562875631</v>
      </c>
      <c r="T176" s="319">
        <f>T109</f>
        <v>0</v>
      </c>
      <c r="U176" s="288"/>
      <c r="V176" s="311">
        <f>IF((totalremjul25-T171*1.07)*0.78&lt;V175,(V175-(totalremjul25-T171*1.07)*0.78)/0.78,0)/1.07</f>
        <v>324761.24497440469</v>
      </c>
      <c r="W176" s="319">
        <f>W109</f>
        <v>0</v>
      </c>
      <c r="X176" s="288"/>
      <c r="Y176" s="311">
        <f>IF((totalremjun25-W171*1.07)*0.78&lt;Y175,(Y175-(totalremjun25-W171*1.07)*0.78)/0.78,0)/1.07</f>
        <v>322857.05274707545</v>
      </c>
      <c r="Z176" s="319">
        <f>Z109</f>
        <v>0</v>
      </c>
      <c r="AA176" s="288"/>
      <c r="AB176" s="311">
        <f>IF((totalremmayo25-Z171*1.07)*0.78&lt;AB175,(AB175-(totalremmayo25-Z171*1.07)*0.78)/0.78,0)/1.07</f>
        <v>333618.69675256638</v>
      </c>
      <c r="AC176" s="319">
        <f>AC109</f>
        <v>0</v>
      </c>
      <c r="AD176" s="288"/>
      <c r="AE176" s="311">
        <f>IF((totalremabr25-AC171*1.07)*0.78&lt;AE175,(AE175-(totalremabr25-AC171*1.07)*0.78)/0.78,0)/1.07</f>
        <v>335961.91762572812</v>
      </c>
      <c r="AF176" s="319">
        <f>AF109</f>
        <v>0</v>
      </c>
      <c r="AG176" s="288"/>
      <c r="AH176" s="311">
        <f>IF((totalremmar25-AF171*1.07)*0.78&lt;AH175,(AH175-(totalremmar25-AF171*1.07)*0.78)/0.78,0)/1.07</f>
        <v>307255.33436144737</v>
      </c>
      <c r="AI176" s="319">
        <f>AI109</f>
        <v>0</v>
      </c>
      <c r="AJ176" s="288"/>
      <c r="AK176" s="311">
        <f>IF((totalremfebparit25-AI171*1.07)*0.78&lt;AK175,(AK175-(totalremfebparit25-AI171*1.07)*0.78)/0.78,0)/1.07</f>
        <v>293425.644162782</v>
      </c>
      <c r="AL176" s="319">
        <f>AL109</f>
        <v>0</v>
      </c>
      <c r="AM176" s="288"/>
      <c r="AN176" s="311">
        <f>IF((totalremfeb25-AL171*1.07)*0.78&lt;AN175,(AN175-(totalremfeb25-AL171*1.07)*0.78)/0.78,0)/1.07</f>
        <v>293424.44598401373</v>
      </c>
      <c r="AO176" s="319">
        <f>AO109</f>
        <v>0</v>
      </c>
      <c r="AP176" s="288"/>
      <c r="AQ176" s="311">
        <f>IF((totalremene25-AO171*1.07)*0.78&lt;AQ175,(AQ175-(totalremene25-AO171*1.07)*0.78)/0.78,0)/1.07</f>
        <v>296792.21589242027</v>
      </c>
      <c r="AR176" s="319">
        <f>AR109</f>
        <v>0</v>
      </c>
      <c r="AS176" s="288"/>
      <c r="AT176" s="311">
        <f>IF((totalremdic24-AR171*1.07)*0.78&lt;AT175,(AT175-(totalremdic24-AR171*1.07)*0.78)/0.78,0)/1.07</f>
        <v>291135.54960632796</v>
      </c>
      <c r="AU176" s="355"/>
      <c r="AV176" s="352"/>
      <c r="AW176" s="343"/>
      <c r="AX176" s="355"/>
      <c r="AY176" s="352"/>
      <c r="AZ176" s="343"/>
      <c r="BA176" s="28"/>
      <c r="BB176" s="28"/>
      <c r="BC176" s="28"/>
      <c r="BD176" s="28"/>
      <c r="BE176" s="28"/>
      <c r="BF176" s="28"/>
      <c r="BG176" s="28"/>
      <c r="BH176" s="28"/>
      <c r="BI176" s="28"/>
      <c r="BJ176" s="28"/>
      <c r="BK176" s="28"/>
      <c r="BL176" s="28"/>
    </row>
    <row r="177" spans="1:64" ht="16.5" hidden="1" thickBot="1">
      <c r="A177" s="28"/>
      <c r="B177" s="318"/>
      <c r="C177" s="291"/>
      <c r="D177" s="320" t="s">
        <v>105</v>
      </c>
      <c r="E177" s="321">
        <f>SUM(E160:E174,E175,E176)</f>
        <v>798719.06794871809</v>
      </c>
      <c r="F177" s="881"/>
      <c r="G177" s="322"/>
      <c r="H177" s="321">
        <f>SUM(H160:H174,H175,H176)</f>
        <v>767608.76923076925</v>
      </c>
      <c r="I177" s="878"/>
      <c r="J177" s="322"/>
      <c r="K177" s="321">
        <f>SUM(K160:K174,K175,K176)</f>
        <v>744243.07692307699</v>
      </c>
      <c r="L177" s="876"/>
      <c r="M177" s="322"/>
      <c r="N177" s="321">
        <f>SUM(N160:N174,N175,N176)</f>
        <v>734079.48717948713</v>
      </c>
      <c r="O177" s="865"/>
      <c r="P177" s="322"/>
      <c r="Q177" s="321">
        <f>SUM(Q160:Q174,Q175,Q176)</f>
        <v>726852.56410256401</v>
      </c>
      <c r="R177" s="863"/>
      <c r="S177" s="322"/>
      <c r="T177" s="321">
        <f>SUM(T160:T174,T175,T176)</f>
        <v>713601.02564102574</v>
      </c>
      <c r="U177" s="847"/>
      <c r="V177" s="322"/>
      <c r="W177" s="321">
        <f>SUM(W160:W174,W175,W176)</f>
        <v>705524.48717948713</v>
      </c>
      <c r="X177" s="845"/>
      <c r="Y177" s="322"/>
      <c r="Z177" s="321">
        <f>SUM(Z160:Z174,Z175,Z176)</f>
        <v>708359.1025641025</v>
      </c>
      <c r="AA177" s="814"/>
      <c r="AB177" s="322"/>
      <c r="AC177" s="321">
        <f>SUM(AC160:AC174,AC175,AC176)</f>
        <v>698945.641025641</v>
      </c>
      <c r="AD177" s="812"/>
      <c r="AE177" s="322"/>
      <c r="AF177" s="321">
        <f>SUM(AF160:AF174,AF175,AF176)</f>
        <v>660152.56410256424</v>
      </c>
      <c r="AG177" s="748"/>
      <c r="AH177" s="322"/>
      <c r="AI177" s="321">
        <f>SUM(AI160:AI174,AI175,AI176)</f>
        <v>639387.1794871795</v>
      </c>
      <c r="AJ177" s="751"/>
      <c r="AK177" s="322"/>
      <c r="AL177" s="321">
        <f>SUM(AL160:AL173,AL175,AL176)</f>
        <v>639387.1794871795</v>
      </c>
      <c r="AM177" s="748"/>
      <c r="AN177" s="322"/>
      <c r="AO177" s="321">
        <f>SUM(AO160:AO173,AO175,AO176)</f>
        <v>633647.94871794875</v>
      </c>
      <c r="AP177" s="715"/>
      <c r="AQ177" s="322"/>
      <c r="AR177" s="321">
        <f>SUM(AR160:AR173,AR175,AR176)</f>
        <v>619568.14102564112</v>
      </c>
      <c r="AS177" s="715"/>
      <c r="AT177" s="322"/>
      <c r="AU177" s="356"/>
      <c r="AV177" s="352"/>
      <c r="AW177" s="28"/>
      <c r="AX177" s="356"/>
      <c r="AY177" s="352"/>
      <c r="AZ177" s="28"/>
      <c r="BA177" s="28"/>
      <c r="BB177" s="28"/>
      <c r="BC177" s="28"/>
      <c r="BD177" s="28"/>
      <c r="BE177" s="28"/>
      <c r="BF177" s="28"/>
      <c r="BG177" s="28"/>
      <c r="BH177" s="28"/>
      <c r="BI177" s="28"/>
      <c r="BJ177" s="28"/>
      <c r="BK177" s="28"/>
      <c r="BL177" s="28"/>
    </row>
    <row r="178" spans="1:64" ht="16.5" hidden="1" thickBot="1">
      <c r="A178" s="28"/>
      <c r="B178" s="285">
        <v>184</v>
      </c>
      <c r="C178" s="316">
        <v>1</v>
      </c>
      <c r="D178" s="286" t="s">
        <v>196</v>
      </c>
      <c r="E178" s="301">
        <f>IF(AND(puntosproljor&lt;620,punbascar&lt;1943),33200,66400)*$C178*1.107</f>
        <v>36752.400000000001</v>
      </c>
      <c r="F178" s="288"/>
      <c r="G178" s="305"/>
      <c r="H178" s="301">
        <f>IF(AND(puntosproljor&lt;620,punbascar&lt;1943),33200,66400)*$C178*1.107</f>
        <v>36752.400000000001</v>
      </c>
      <c r="I178" s="288"/>
      <c r="J178" s="305"/>
      <c r="K178" s="301">
        <f>IF(AND(puntosproljor&lt;620,punbascar&lt;1943),33200,66400)*$C178*1.107</f>
        <v>36752.400000000001</v>
      </c>
      <c r="L178" s="288"/>
      <c r="M178" s="305"/>
      <c r="N178" s="301">
        <f>IF(AND(puntosproljor&lt;620,punbascar&lt;1943),33200,66400)*$C178*1.107</f>
        <v>36752.400000000001</v>
      </c>
      <c r="O178" s="288"/>
      <c r="P178" s="305"/>
      <c r="Q178" s="301">
        <f>IF(AND(puntosproljor&lt;620,punbascar&lt;1943),33200,66400)*$C178*1.107</f>
        <v>36752.400000000001</v>
      </c>
      <c r="R178" s="288"/>
      <c r="S178" s="305"/>
      <c r="T178" s="301">
        <f>IF(AND(puntosproljor&lt;620,punbascar&lt;1943),33200,66400)*$C178*1.107</f>
        <v>36752.400000000001</v>
      </c>
      <c r="U178" s="288"/>
      <c r="V178" s="305"/>
      <c r="W178" s="301">
        <f>IF(AND(puntosproljor&lt;620,punbascar&lt;1943),33200,66400)*$C178*1.107</f>
        <v>36752.400000000001</v>
      </c>
      <c r="X178" s="288"/>
      <c r="Y178" s="305"/>
      <c r="Z178" s="301">
        <f>IF(AND(puntosproljor&lt;620,punbascar&lt;1943),33200,66400)*$C178*1.107</f>
        <v>36752.400000000001</v>
      </c>
      <c r="AA178" s="288"/>
      <c r="AB178" s="305"/>
      <c r="AC178" s="301">
        <f>IF(AND(puntosproljor&lt;620,punbascar&lt;1943),33200,66400)*$C178*1.107</f>
        <v>36752.400000000001</v>
      </c>
      <c r="AD178" s="288"/>
      <c r="AE178" s="305"/>
      <c r="AF178" s="301">
        <f>IF(AND(puntosproljor&lt;620,punbascar&lt;1943),33200,66400)*$C178*1.107</f>
        <v>36752.400000000001</v>
      </c>
      <c r="AG178" s="288"/>
      <c r="AH178" s="305"/>
      <c r="AI178" s="301">
        <f>IF(AND(puntosproljor&lt;620,punbascar&lt;1943),33200,66400)*$C178*1.107</f>
        <v>36752.400000000001</v>
      </c>
      <c r="AJ178" s="288"/>
      <c r="AK178" s="305"/>
      <c r="AL178" s="301">
        <f>IF(AND(puntosproljor&lt;620,punbascar&lt;1943),33200,66400)*$C178</f>
        <v>33200</v>
      </c>
      <c r="AM178" s="288"/>
      <c r="AN178" s="305"/>
      <c r="AO178" s="301">
        <f>IF(AND(puntosproljor&lt;620,punbascar&lt;1943),33200,66400)*$C178</f>
        <v>33200</v>
      </c>
      <c r="AP178" s="288"/>
      <c r="AQ178" s="305"/>
      <c r="AR178" s="301">
        <f>IF(AND(puntosproljor&lt;620,punbascar&lt;1943),33200,66400)*$C178</f>
        <v>33200</v>
      </c>
      <c r="AS178" s="288"/>
      <c r="AT178" s="305"/>
      <c r="AU178" s="353"/>
      <c r="AV178" s="352"/>
      <c r="AW178" s="28"/>
      <c r="AX178" s="353"/>
      <c r="AY178" s="352"/>
      <c r="AZ178" s="28"/>
      <c r="BA178" s="28"/>
      <c r="BB178" s="28"/>
      <c r="BC178" s="28"/>
      <c r="BD178" s="28"/>
      <c r="BE178" s="28"/>
      <c r="BF178" s="28"/>
      <c r="BG178" s="28"/>
      <c r="BH178" s="28"/>
      <c r="BI178" s="28"/>
      <c r="BJ178" s="28"/>
      <c r="BK178" s="28"/>
      <c r="BL178" s="28"/>
    </row>
    <row r="179" spans="1:64" ht="16.5" hidden="1" thickBot="1">
      <c r="A179" s="28"/>
      <c r="B179" s="290"/>
      <c r="C179" s="323"/>
      <c r="D179" s="291" t="s">
        <v>106</v>
      </c>
      <c r="E179" s="319">
        <f>E112</f>
        <v>0</v>
      </c>
      <c r="F179" s="734"/>
      <c r="G179" s="305"/>
      <c r="H179" s="319">
        <f>H112</f>
        <v>0</v>
      </c>
      <c r="I179" s="734"/>
      <c r="J179" s="305"/>
      <c r="K179" s="319">
        <f>K112</f>
        <v>0</v>
      </c>
      <c r="L179" s="734"/>
      <c r="M179" s="305"/>
      <c r="N179" s="319">
        <f>N112</f>
        <v>0</v>
      </c>
      <c r="O179" s="734"/>
      <c r="P179" s="305"/>
      <c r="Q179" s="319">
        <f>Q112</f>
        <v>0</v>
      </c>
      <c r="R179" s="734"/>
      <c r="S179" s="305"/>
      <c r="T179" s="319">
        <f>T112</f>
        <v>0</v>
      </c>
      <c r="U179" s="734"/>
      <c r="V179" s="305"/>
      <c r="W179" s="319">
        <f>W112</f>
        <v>0</v>
      </c>
      <c r="X179" s="734"/>
      <c r="Y179" s="305"/>
      <c r="Z179" s="319">
        <f>Z112</f>
        <v>0</v>
      </c>
      <c r="AA179" s="734"/>
      <c r="AB179" s="305"/>
      <c r="AC179" s="319">
        <f>AC112</f>
        <v>0</v>
      </c>
      <c r="AD179" s="734"/>
      <c r="AE179" s="305"/>
      <c r="AF179" s="319">
        <f>AF112</f>
        <v>0</v>
      </c>
      <c r="AG179" s="734"/>
      <c r="AH179" s="305"/>
      <c r="AI179" s="319">
        <f>AI112</f>
        <v>0</v>
      </c>
      <c r="AJ179" s="734"/>
      <c r="AK179" s="305"/>
      <c r="AL179" s="319">
        <f>AL112</f>
        <v>0</v>
      </c>
      <c r="AM179" s="734"/>
      <c r="AN179" s="305"/>
      <c r="AO179" s="319">
        <f>AO112</f>
        <v>0</v>
      </c>
      <c r="AP179" s="734"/>
      <c r="AQ179" s="305"/>
      <c r="AR179" s="319">
        <f>AR112</f>
        <v>0</v>
      </c>
      <c r="AS179" s="288"/>
      <c r="AT179" s="305"/>
      <c r="AU179" s="357"/>
      <c r="AV179" s="352"/>
      <c r="AW179" s="28"/>
      <c r="AX179" s="357"/>
      <c r="AY179" s="352"/>
      <c r="AZ179" s="28"/>
      <c r="BA179" s="28"/>
      <c r="BB179" s="28"/>
      <c r="BC179" s="28"/>
      <c r="BD179" s="28"/>
      <c r="BE179" s="28"/>
      <c r="BF179" s="28"/>
      <c r="BG179" s="28"/>
      <c r="BH179" s="28"/>
      <c r="BI179" s="28"/>
      <c r="BJ179" s="28"/>
      <c r="BK179" s="28"/>
      <c r="BL179" s="28"/>
    </row>
    <row r="180" spans="1:64" ht="16.5" hidden="1" thickBot="1">
      <c r="A180" s="28"/>
      <c r="B180" s="285">
        <v>204</v>
      </c>
      <c r="C180" s="316">
        <v>1</v>
      </c>
      <c r="D180" s="286" t="s">
        <v>195</v>
      </c>
      <c r="E180" s="301">
        <f>IF(AND(puntosproljor&lt;620,punbascar&lt;1943),24800,49600)*$C180*1.107</f>
        <v>27453.599999999999</v>
      </c>
      <c r="F180" s="288"/>
      <c r="G180" s="324"/>
      <c r="H180" s="301">
        <f>IF(AND(puntosproljor&lt;620,punbascar&lt;1943),24800,49600)*$C180*1.107</f>
        <v>27453.599999999999</v>
      </c>
      <c r="I180" s="288"/>
      <c r="J180" s="324"/>
      <c r="K180" s="301">
        <f>IF(AND(puntosproljor&lt;620,punbascar&lt;1943),24800,49600)*$C180*1.107</f>
        <v>27453.599999999999</v>
      </c>
      <c r="L180" s="288"/>
      <c r="M180" s="324"/>
      <c r="N180" s="301">
        <f>IF(AND(puntosproljor&lt;620,punbascar&lt;1943),24800,49600)*$C180*1.107</f>
        <v>27453.599999999999</v>
      </c>
      <c r="O180" s="288"/>
      <c r="P180" s="324"/>
      <c r="Q180" s="301">
        <f>IF(AND(puntosproljor&lt;620,punbascar&lt;1943),24800,49600)*$C180*1.107</f>
        <v>27453.599999999999</v>
      </c>
      <c r="R180" s="288"/>
      <c r="S180" s="324"/>
      <c r="T180" s="301">
        <f>IF(AND(puntosproljor&lt;620,punbascar&lt;1943),24800,49600)*$C180*1.107</f>
        <v>27453.599999999999</v>
      </c>
      <c r="U180" s="288"/>
      <c r="V180" s="324"/>
      <c r="W180" s="301">
        <f>IF(AND(puntosproljor&lt;620,punbascar&lt;1943),24800,49600)*$C180*1.107</f>
        <v>27453.599999999999</v>
      </c>
      <c r="X180" s="288"/>
      <c r="Y180" s="324"/>
      <c r="Z180" s="301">
        <f>IF(AND(puntosproljor&lt;620,punbascar&lt;1943),24800,49600)*$C180*1.107</f>
        <v>27453.599999999999</v>
      </c>
      <c r="AA180" s="288"/>
      <c r="AB180" s="324"/>
      <c r="AC180" s="301">
        <f>IF(AND(puntosproljor&lt;620,punbascar&lt;1943),24800,49600)*$C180*1.107</f>
        <v>27453.599999999999</v>
      </c>
      <c r="AD180" s="288"/>
      <c r="AE180" s="324"/>
      <c r="AF180" s="301">
        <f>IF(AND(puntosproljor&lt;620,punbascar&lt;1943),24800,49600)*$C180*1.107</f>
        <v>27453.599999999999</v>
      </c>
      <c r="AG180" s="288"/>
      <c r="AH180" s="324"/>
      <c r="AI180" s="301">
        <f>IF(AND(puntosproljor&lt;620,punbascar&lt;1943),24800,49600)*$C180*1.107</f>
        <v>27453.599999999999</v>
      </c>
      <c r="AJ180" s="288"/>
      <c r="AK180" s="324"/>
      <c r="AL180" s="301">
        <f>IF(AND(puntosproljor&lt;620,punbascar&lt;1943),24800,49600)*$C180</f>
        <v>24800</v>
      </c>
      <c r="AM180" s="288"/>
      <c r="AN180" s="324"/>
      <c r="AO180" s="301">
        <f>IF(AND(puntosproljor&lt;620,punbascar&lt;1943),24800,49600)*$C180</f>
        <v>24800</v>
      </c>
      <c r="AP180" s="288"/>
      <c r="AQ180" s="324"/>
      <c r="AR180" s="301">
        <f>IF(AND(puntosproljor&lt;620,punbascar&lt;1943),24800,49600)*$C180</f>
        <v>24800</v>
      </c>
      <c r="AS180" s="288"/>
      <c r="AT180" s="324"/>
      <c r="AU180" s="353"/>
      <c r="AV180" s="352"/>
      <c r="AW180" s="28"/>
      <c r="AX180" s="353"/>
      <c r="AY180" s="352"/>
      <c r="AZ180" s="28"/>
      <c r="BA180" s="28"/>
      <c r="BB180" s="28"/>
      <c r="BC180" s="28"/>
      <c r="BD180" s="28"/>
      <c r="BE180" s="28"/>
      <c r="BF180" s="28"/>
      <c r="BG180" s="28"/>
      <c r="BH180" s="28"/>
      <c r="BI180" s="28"/>
      <c r="BJ180" s="28"/>
      <c r="BK180" s="28"/>
      <c r="BL180" s="28"/>
    </row>
    <row r="181" spans="1:64" ht="16.5" hidden="1" thickBot="1">
      <c r="A181" s="28"/>
      <c r="B181" s="290"/>
      <c r="C181" s="320"/>
      <c r="D181" s="325" t="s">
        <v>107</v>
      </c>
      <c r="E181" s="321">
        <f>SUM(E177:E180)</f>
        <v>862925.06794871809</v>
      </c>
      <c r="F181" s="288"/>
      <c r="G181" s="326"/>
      <c r="H181" s="321">
        <f>SUM(H177:H180)</f>
        <v>831814.76923076925</v>
      </c>
      <c r="I181" s="288"/>
      <c r="J181" s="326"/>
      <c r="K181" s="321">
        <f>SUM(K177:K180)</f>
        <v>808449.07692307699</v>
      </c>
      <c r="L181" s="288"/>
      <c r="M181" s="326"/>
      <c r="N181" s="321">
        <f>SUM(N177:N180)</f>
        <v>798285.48717948713</v>
      </c>
      <c r="O181" s="288"/>
      <c r="P181" s="326"/>
      <c r="Q181" s="321">
        <f>SUM(Q177:Q180)</f>
        <v>791058.56410256401</v>
      </c>
      <c r="R181" s="288"/>
      <c r="S181" s="326"/>
      <c r="T181" s="321">
        <f>SUM(T177:T180)</f>
        <v>777807.02564102574</v>
      </c>
      <c r="U181" s="288"/>
      <c r="V181" s="326"/>
      <c r="W181" s="321">
        <f>SUM(W177:W180)</f>
        <v>769730.48717948713</v>
      </c>
      <c r="X181" s="288"/>
      <c r="Y181" s="326"/>
      <c r="Z181" s="321">
        <f>SUM(Z177:Z180)</f>
        <v>772565.1025641025</v>
      </c>
      <c r="AA181" s="288"/>
      <c r="AB181" s="326"/>
      <c r="AC181" s="321">
        <f>SUM(AC177:AC180)</f>
        <v>763151.641025641</v>
      </c>
      <c r="AD181" s="288"/>
      <c r="AE181" s="326"/>
      <c r="AF181" s="321">
        <f>SUM(AF177:AF180)</f>
        <v>724358.56410256424</v>
      </c>
      <c r="AG181" s="288"/>
      <c r="AH181" s="326"/>
      <c r="AI181" s="321">
        <f>SUM(AI177:AI180)</f>
        <v>703593.1794871795</v>
      </c>
      <c r="AJ181" s="288"/>
      <c r="AK181" s="326"/>
      <c r="AL181" s="321">
        <f>SUM(AL177:AL180)</f>
        <v>697387.1794871795</v>
      </c>
      <c r="AM181" s="288"/>
      <c r="AN181" s="326"/>
      <c r="AO181" s="321">
        <f>SUM(AO177:AO180)</f>
        <v>691647.94871794875</v>
      </c>
      <c r="AP181" s="288"/>
      <c r="AQ181" s="326"/>
      <c r="AR181" s="321">
        <f>SUM(AR177:AR180)</f>
        <v>677568.14102564112</v>
      </c>
      <c r="AS181" s="288"/>
      <c r="AT181" s="326"/>
      <c r="AU181" s="356"/>
      <c r="AV181" s="358"/>
      <c r="AW181" s="28"/>
      <c r="AX181" s="356"/>
      <c r="AY181" s="358"/>
      <c r="AZ181" s="28"/>
      <c r="BA181" s="28"/>
      <c r="BB181" s="28"/>
      <c r="BC181" s="28"/>
      <c r="BD181" s="28"/>
      <c r="BE181" s="28"/>
      <c r="BF181" s="28"/>
      <c r="BG181" s="28"/>
      <c r="BH181" s="28"/>
      <c r="BI181" s="28"/>
      <c r="BJ181" s="28"/>
      <c r="BK181" s="28"/>
      <c r="BL181" s="28"/>
    </row>
    <row r="182" spans="1:64" hidden="1" thickBot="1">
      <c r="A182" s="28"/>
      <c r="B182" s="285">
        <v>440</v>
      </c>
      <c r="C182" s="284"/>
      <c r="D182" s="286" t="s">
        <v>108</v>
      </c>
      <c r="E182" s="319">
        <f>E115</f>
        <v>0</v>
      </c>
      <c r="F182" s="317">
        <f t="shared" ref="F182" si="255">-E182</f>
        <v>0</v>
      </c>
      <c r="G182" s="324"/>
      <c r="H182" s="319">
        <f>H115</f>
        <v>0</v>
      </c>
      <c r="I182" s="317">
        <f t="shared" ref="I182" si="256">-H182</f>
        <v>0</v>
      </c>
      <c r="J182" s="324"/>
      <c r="K182" s="319">
        <f>K115</f>
        <v>0</v>
      </c>
      <c r="L182" s="317">
        <f t="shared" ref="L182" si="257">-K182</f>
        <v>0</v>
      </c>
      <c r="M182" s="324"/>
      <c r="N182" s="319">
        <f>N115</f>
        <v>0</v>
      </c>
      <c r="O182" s="317">
        <f t="shared" ref="O182" si="258">-N182</f>
        <v>0</v>
      </c>
      <c r="P182" s="324"/>
      <c r="Q182" s="319">
        <f>Q115</f>
        <v>0</v>
      </c>
      <c r="R182" s="317">
        <f t="shared" ref="R182" si="259">-Q182</f>
        <v>0</v>
      </c>
      <c r="S182" s="324"/>
      <c r="T182" s="319">
        <f>T115</f>
        <v>0</v>
      </c>
      <c r="U182" s="317">
        <f t="shared" ref="U182" si="260">-T182</f>
        <v>0</v>
      </c>
      <c r="V182" s="324"/>
      <c r="W182" s="319">
        <f>W115</f>
        <v>0</v>
      </c>
      <c r="X182" s="317">
        <f t="shared" ref="X182" si="261">-W182</f>
        <v>0</v>
      </c>
      <c r="Y182" s="324"/>
      <c r="Z182" s="319">
        <f>Z115</f>
        <v>0</v>
      </c>
      <c r="AA182" s="317">
        <f t="shared" ref="AA182" si="262">-Z182</f>
        <v>0</v>
      </c>
      <c r="AB182" s="324"/>
      <c r="AC182" s="319">
        <f>AC115</f>
        <v>0</v>
      </c>
      <c r="AD182" s="317">
        <f t="shared" ref="AD182" si="263">-AC182</f>
        <v>0</v>
      </c>
      <c r="AE182" s="324"/>
      <c r="AF182" s="319">
        <f>AF115</f>
        <v>0</v>
      </c>
      <c r="AG182" s="317">
        <f t="shared" ref="AG182" si="264">-AF182</f>
        <v>0</v>
      </c>
      <c r="AH182" s="324"/>
      <c r="AI182" s="319">
        <f>AI115</f>
        <v>0</v>
      </c>
      <c r="AJ182" s="317">
        <f t="shared" ref="AJ182" si="265">-AI182</f>
        <v>0</v>
      </c>
      <c r="AK182" s="324"/>
      <c r="AL182" s="319">
        <f>AL115</f>
        <v>0</v>
      </c>
      <c r="AM182" s="317">
        <f t="shared" ref="AM182" si="266">-AL182</f>
        <v>0</v>
      </c>
      <c r="AN182" s="324"/>
      <c r="AO182" s="319">
        <f>AO115</f>
        <v>0</v>
      </c>
      <c r="AP182" s="317">
        <f t="shared" ref="AP182" si="267">-AO182</f>
        <v>0</v>
      </c>
      <c r="AQ182" s="324"/>
      <c r="AR182" s="319">
        <f>AR115</f>
        <v>0</v>
      </c>
      <c r="AS182" s="317">
        <f t="shared" ref="AS182" si="268">-AR182</f>
        <v>0</v>
      </c>
      <c r="AT182" s="324"/>
      <c r="AU182" s="357"/>
      <c r="AV182" s="69"/>
      <c r="AW182" s="342"/>
      <c r="AX182" s="357"/>
      <c r="AY182" s="69"/>
      <c r="AZ182" s="342"/>
      <c r="BA182" s="28"/>
      <c r="BB182" s="28"/>
      <c r="BC182" s="28"/>
      <c r="BD182" s="28"/>
      <c r="BE182" s="28"/>
      <c r="BF182" s="28"/>
      <c r="BG182" s="28"/>
      <c r="BH182" s="28"/>
      <c r="BI182" s="28"/>
      <c r="BJ182" s="28"/>
      <c r="BK182" s="28"/>
      <c r="BL182" s="28"/>
    </row>
    <row r="183" spans="1:64" ht="16.5" hidden="1" thickBot="1">
      <c r="A183" s="28"/>
      <c r="B183" s="290">
        <v>502</v>
      </c>
      <c r="C183" s="327">
        <v>0.19</v>
      </c>
      <c r="D183" s="293" t="s">
        <v>110</v>
      </c>
      <c r="E183" s="328"/>
      <c r="F183" s="329">
        <f>-totalremdic25*0.19-0.19*1.07*E172</f>
        <v>-151756.62291025644</v>
      </c>
      <c r="G183" s="324"/>
      <c r="H183" s="328"/>
      <c r="I183" s="329">
        <f>-totalremnov25*0.19-0.19*1.07*H172</f>
        <v>-145845.66615384616</v>
      </c>
      <c r="J183" s="324"/>
      <c r="K183" s="328"/>
      <c r="L183" s="329">
        <f>-totalremoct25*0.19-0.19*1.07*K172</f>
        <v>-141406.18461538461</v>
      </c>
      <c r="M183" s="324"/>
      <c r="N183" s="328"/>
      <c r="O183" s="329">
        <f>-totalremsep25*0.19-0.19*1.07*N172</f>
        <v>-139475.10256410256</v>
      </c>
      <c r="P183" s="324"/>
      <c r="Q183" s="328"/>
      <c r="R183" s="329">
        <f>-totalremago25*0.19-0.19*1.07*Q172</f>
        <v>-138101.98717948719</v>
      </c>
      <c r="S183" s="324"/>
      <c r="T183" s="328"/>
      <c r="U183" s="329">
        <f>-totalremjul25*0.19-0.19*1.07*T172</f>
        <v>-135584.19487179487</v>
      </c>
      <c r="V183" s="324"/>
      <c r="W183" s="328"/>
      <c r="X183" s="329">
        <f>-totalremjun25*0.19-0.19*1.07*W172</f>
        <v>-134049.65256410255</v>
      </c>
      <c r="Y183" s="324"/>
      <c r="Z183" s="328"/>
      <c r="AA183" s="329">
        <f>-totalremmayo25*0.19-0.19*1.07*Z172</f>
        <v>-134588.22948717949</v>
      </c>
      <c r="AB183" s="324"/>
      <c r="AC183" s="328"/>
      <c r="AD183" s="329">
        <f>-totalremabr25*0.19-0.19*1.07*AC172</f>
        <v>-132799.6717948718</v>
      </c>
      <c r="AE183" s="324"/>
      <c r="AF183" s="328"/>
      <c r="AG183" s="329">
        <f>-totalremmar25*0.19-0.19*1.07*AF172</f>
        <v>-125428.98717948719</v>
      </c>
      <c r="AH183" s="324"/>
      <c r="AI183" s="328"/>
      <c r="AJ183" s="329">
        <f>-totalremfebparit25*0.19-0.19*1.07*AI172</f>
        <v>-121483.56410256409</v>
      </c>
      <c r="AK183" s="324"/>
      <c r="AL183" s="328"/>
      <c r="AM183" s="329">
        <f>-totalremfeb25*0.19-0.19*1.07*AL172</f>
        <v>-121483.56410256409</v>
      </c>
      <c r="AN183" s="324"/>
      <c r="AO183" s="328"/>
      <c r="AP183" s="329">
        <f>-totalremene25*0.19-0.19*1.07*AO172</f>
        <v>-120393.11025641026</v>
      </c>
      <c r="AQ183" s="324"/>
      <c r="AR183" s="328"/>
      <c r="AS183" s="329">
        <f>-totalremdic24*0.19-0.19*1.07*AR172</f>
        <v>-117717.94679487179</v>
      </c>
      <c r="AT183" s="324"/>
      <c r="AU183" s="71"/>
      <c r="AV183" s="109"/>
      <c r="AW183" s="359"/>
      <c r="AX183" s="71"/>
      <c r="AY183" s="109"/>
      <c r="AZ183" s="359"/>
      <c r="BA183" s="28"/>
      <c r="BB183" s="28"/>
      <c r="BC183" s="28"/>
      <c r="BD183" s="28"/>
      <c r="BE183" s="28"/>
      <c r="BF183" s="28"/>
      <c r="BG183" s="28"/>
      <c r="BH183" s="28"/>
      <c r="BI183" s="28"/>
      <c r="BJ183" s="28"/>
      <c r="BK183" s="28"/>
      <c r="BL183" s="28"/>
    </row>
    <row r="184" spans="1:64" ht="16.5" hidden="1" thickBot="1">
      <c r="A184" s="28"/>
      <c r="B184" s="290">
        <v>505</v>
      </c>
      <c r="C184" s="327">
        <v>0.03</v>
      </c>
      <c r="D184" s="293" t="s">
        <v>111</v>
      </c>
      <c r="E184" s="328"/>
      <c r="F184" s="329">
        <f>-totalremdic25*poros-poros*1.07*E172</f>
        <v>-23961.572038461542</v>
      </c>
      <c r="G184" s="324"/>
      <c r="H184" s="328"/>
      <c r="I184" s="329">
        <f>-totalremnov25*poros-poros*1.07*H172</f>
        <v>-23028.263076923078</v>
      </c>
      <c r="J184" s="324"/>
      <c r="K184" s="328"/>
      <c r="L184" s="329">
        <f>-totalremoct25*poros-poros*1.07*K172</f>
        <v>-22327.292307692307</v>
      </c>
      <c r="M184" s="324"/>
      <c r="N184" s="328"/>
      <c r="O184" s="329">
        <f>-totalremsep25*poros-poros*1.07*N172</f>
        <v>-22022.384615384613</v>
      </c>
      <c r="P184" s="324"/>
      <c r="Q184" s="328"/>
      <c r="R184" s="329">
        <f>-totalremago25*poros-poros*1.07*Q172</f>
        <v>-21805.576923076922</v>
      </c>
      <c r="S184" s="324"/>
      <c r="T184" s="328"/>
      <c r="U184" s="329">
        <f>-totalremjul25*poros-poros*1.07*T172</f>
        <v>-21408.030769230769</v>
      </c>
      <c r="V184" s="324"/>
      <c r="W184" s="328"/>
      <c r="X184" s="329">
        <f>-totalremjun25*poros-poros*1.07*W172</f>
        <v>-21165.734615384616</v>
      </c>
      <c r="Y184" s="324"/>
      <c r="Z184" s="328"/>
      <c r="AA184" s="329">
        <f>-totalremmayo25*poros-poros*1.07*Z172</f>
        <v>-21250.773076923077</v>
      </c>
      <c r="AB184" s="324"/>
      <c r="AC184" s="328"/>
      <c r="AD184" s="329">
        <f>-totalremabr25*poros-poros*1.07*AC172</f>
        <v>-20968.369230769229</v>
      </c>
      <c r="AE184" s="324"/>
      <c r="AF184" s="328"/>
      <c r="AG184" s="329">
        <f>-totalremmar25*poros-poros*1.07*AF172</f>
        <v>-19804.576923076922</v>
      </c>
      <c r="AH184" s="324"/>
      <c r="AI184" s="328"/>
      <c r="AJ184" s="329">
        <f>-totalremfebparit25*poros-poros*1.07*AI172</f>
        <v>-19181.615384615383</v>
      </c>
      <c r="AK184" s="324"/>
      <c r="AL184" s="328"/>
      <c r="AM184" s="329">
        <f>-totalremfeb25*poros-poros*1.07*AL172</f>
        <v>-19181.615384615383</v>
      </c>
      <c r="AN184" s="324"/>
      <c r="AO184" s="328"/>
      <c r="AP184" s="329">
        <f>-totalremene25*poros-poros*1.07*AO172</f>
        <v>-19009.438461538459</v>
      </c>
      <c r="AQ184" s="324"/>
      <c r="AR184" s="328"/>
      <c r="AS184" s="329">
        <f>-totalremdic24*poros-poros*1.07*AR172</f>
        <v>-18587.044230769228</v>
      </c>
      <c r="AT184" s="324"/>
      <c r="AU184" s="71"/>
      <c r="AV184" s="109"/>
      <c r="AW184" s="359"/>
      <c r="AX184" s="71"/>
      <c r="AY184" s="109"/>
      <c r="AZ184" s="359"/>
      <c r="BA184" s="28"/>
      <c r="BB184" s="28"/>
      <c r="BC184" s="28"/>
      <c r="BD184" s="28"/>
      <c r="BE184" s="28"/>
      <c r="BF184" s="28"/>
      <c r="BG184" s="28"/>
      <c r="BH184" s="28"/>
      <c r="BI184" s="28"/>
      <c r="BJ184" s="28"/>
      <c r="BK184" s="28"/>
      <c r="BL184" s="28"/>
    </row>
    <row r="185" spans="1:64" hidden="1" thickBot="1">
      <c r="A185" s="28"/>
      <c r="B185" s="285">
        <v>510</v>
      </c>
      <c r="C185" s="286"/>
      <c r="D185" s="288" t="s">
        <v>112</v>
      </c>
      <c r="E185" s="319">
        <f>E118</f>
        <v>0</v>
      </c>
      <c r="F185" s="317">
        <f t="shared" ref="F185" si="269">-E185</f>
        <v>0</v>
      </c>
      <c r="G185" s="324"/>
      <c r="H185" s="319">
        <f>H118</f>
        <v>0</v>
      </c>
      <c r="I185" s="317">
        <f t="shared" ref="I185" si="270">-H185</f>
        <v>0</v>
      </c>
      <c r="J185" s="324"/>
      <c r="K185" s="319">
        <f>K118</f>
        <v>0</v>
      </c>
      <c r="L185" s="317">
        <f t="shared" ref="L185" si="271">-K185</f>
        <v>0</v>
      </c>
      <c r="M185" s="324"/>
      <c r="N185" s="319">
        <f>N118</f>
        <v>0</v>
      </c>
      <c r="O185" s="317">
        <f t="shared" ref="O185" si="272">-N185</f>
        <v>0</v>
      </c>
      <c r="P185" s="324"/>
      <c r="Q185" s="319">
        <f>Q118</f>
        <v>0</v>
      </c>
      <c r="R185" s="317">
        <f t="shared" ref="R185" si="273">-Q185</f>
        <v>0</v>
      </c>
      <c r="S185" s="324"/>
      <c r="T185" s="319">
        <f>T118</f>
        <v>0</v>
      </c>
      <c r="U185" s="317">
        <f t="shared" ref="U185" si="274">-T185</f>
        <v>0</v>
      </c>
      <c r="V185" s="324"/>
      <c r="W185" s="319">
        <f>W118</f>
        <v>0</v>
      </c>
      <c r="X185" s="317">
        <f t="shared" ref="X185" si="275">-W185</f>
        <v>0</v>
      </c>
      <c r="Y185" s="324"/>
      <c r="Z185" s="319">
        <f>Z118</f>
        <v>0</v>
      </c>
      <c r="AA185" s="317">
        <f t="shared" ref="AA185" si="276">-Z185</f>
        <v>0</v>
      </c>
      <c r="AB185" s="324"/>
      <c r="AC185" s="319">
        <f>AC118</f>
        <v>0</v>
      </c>
      <c r="AD185" s="317">
        <f t="shared" ref="AD185" si="277">-AC185</f>
        <v>0</v>
      </c>
      <c r="AE185" s="324"/>
      <c r="AF185" s="319">
        <f>AF118</f>
        <v>0</v>
      </c>
      <c r="AG185" s="317">
        <f t="shared" ref="AG185" si="278">-AF185</f>
        <v>0</v>
      </c>
      <c r="AH185" s="324"/>
      <c r="AI185" s="319">
        <f>AI118</f>
        <v>0</v>
      </c>
      <c r="AJ185" s="317">
        <f t="shared" ref="AJ185" si="279">-AI185</f>
        <v>0</v>
      </c>
      <c r="AK185" s="324"/>
      <c r="AL185" s="319">
        <f>AL118</f>
        <v>0</v>
      </c>
      <c r="AM185" s="317">
        <f t="shared" ref="AM185" si="280">-AL185</f>
        <v>0</v>
      </c>
      <c r="AN185" s="324"/>
      <c r="AO185" s="319">
        <f>AO118</f>
        <v>0</v>
      </c>
      <c r="AP185" s="317">
        <f t="shared" ref="AP185" si="281">-AO185</f>
        <v>0</v>
      </c>
      <c r="AQ185" s="324"/>
      <c r="AR185" s="319">
        <f>AR118</f>
        <v>0</v>
      </c>
      <c r="AS185" s="317">
        <f t="shared" ref="AS185" si="282">-AR185</f>
        <v>0</v>
      </c>
      <c r="AT185" s="324"/>
      <c r="AU185" s="357"/>
      <c r="AV185" s="69"/>
      <c r="AW185" s="359"/>
      <c r="AX185" s="357"/>
      <c r="AY185" s="69"/>
      <c r="AZ185" s="359"/>
      <c r="BA185" s="28"/>
      <c r="BB185" s="28"/>
      <c r="BC185" s="28"/>
      <c r="BD185" s="28"/>
      <c r="BE185" s="28"/>
      <c r="BF185" s="28"/>
      <c r="BG185" s="28"/>
      <c r="BH185" s="28"/>
      <c r="BI185" s="28"/>
      <c r="BJ185" s="28"/>
      <c r="BK185" s="28"/>
      <c r="BL185" s="28"/>
    </row>
    <row r="186" spans="1:64" ht="16.5" hidden="1" thickBot="1">
      <c r="A186" s="28"/>
      <c r="B186" s="290">
        <v>332</v>
      </c>
      <c r="C186" s="312">
        <f>C119</f>
        <v>0</v>
      </c>
      <c r="D186" s="293" t="s">
        <v>113</v>
      </c>
      <c r="E186" s="330"/>
      <c r="F186" s="329">
        <f>-totalremdic25*$C186-E172*$C186-(E178+E179)*$C186</f>
        <v>0</v>
      </c>
      <c r="G186" s="324"/>
      <c r="H186" s="330"/>
      <c r="I186" s="329">
        <f>-totalremnov25*$C186-H172*$C186-(H178+H179)*$C186</f>
        <v>0</v>
      </c>
      <c r="J186" s="324"/>
      <c r="K186" s="330"/>
      <c r="L186" s="329">
        <f>-totalremoct25*$C186-K172*$C186-(K178+K179)*$C186</f>
        <v>0</v>
      </c>
      <c r="M186" s="324"/>
      <c r="N186" s="330"/>
      <c r="O186" s="329">
        <f>-totalremsep25*$C186-N172*$C186-(N178+N179)*$C186</f>
        <v>0</v>
      </c>
      <c r="P186" s="324"/>
      <c r="Q186" s="330"/>
      <c r="R186" s="329">
        <f>-totalremago25*$C186-Q172*$C186-(Q178+Q179)*$C186</f>
        <v>0</v>
      </c>
      <c r="S186" s="324"/>
      <c r="T186" s="330"/>
      <c r="U186" s="329">
        <f>-totalremjul25*$C186-T172*$C186-(T178+T179)*$C186</f>
        <v>0</v>
      </c>
      <c r="V186" s="324"/>
      <c r="W186" s="330"/>
      <c r="X186" s="329">
        <f>-totalremjun25*$C186-W172*$C186-(W178+W179)*$C186</f>
        <v>0</v>
      </c>
      <c r="Y186" s="324"/>
      <c r="Z186" s="330"/>
      <c r="AA186" s="329">
        <f>-totalremmayo25*$C186-Z172*$C186-(Z178+Z179)*$C186</f>
        <v>0</v>
      </c>
      <c r="AB186" s="324"/>
      <c r="AC186" s="330"/>
      <c r="AD186" s="329">
        <f>-totalremabr25*$C186-AC172*$C186-(AC178+AC179)*$C186</f>
        <v>0</v>
      </c>
      <c r="AE186" s="324"/>
      <c r="AF186" s="330"/>
      <c r="AG186" s="329">
        <f>-totalremmar25*$C186-AF172*$C186-(AF178+AF179)*$C186</f>
        <v>0</v>
      </c>
      <c r="AH186" s="324"/>
      <c r="AI186" s="330"/>
      <c r="AJ186" s="329">
        <f>-totalremfebparit25*$C186-AI172*$C186-(AI178+AI179)*$C186</f>
        <v>0</v>
      </c>
      <c r="AK186" s="324"/>
      <c r="AL186" s="330"/>
      <c r="AM186" s="329">
        <f>-totalremfeb25*$C186-AL172*$C186-(AL178+AL179)*$C186</f>
        <v>0</v>
      </c>
      <c r="AN186" s="324"/>
      <c r="AO186" s="330"/>
      <c r="AP186" s="329">
        <f>-totalremene25*$C186-AO172*$C186-(AO178+AO179)*$C186</f>
        <v>0</v>
      </c>
      <c r="AQ186" s="324"/>
      <c r="AR186" s="330"/>
      <c r="AS186" s="329">
        <f>-totalremdic24*$C186-AR172*$C186-(AR178+AR179)*$C186</f>
        <v>0</v>
      </c>
      <c r="AT186" s="324"/>
      <c r="AU186" s="357"/>
      <c r="AV186" s="109"/>
      <c r="AW186" s="359"/>
      <c r="AX186" s="357"/>
      <c r="AY186" s="109"/>
      <c r="AZ186" s="359"/>
      <c r="BA186" s="28"/>
      <c r="BB186" s="28"/>
      <c r="BC186" s="28"/>
      <c r="BD186" s="28"/>
      <c r="BE186" s="28"/>
      <c r="BF186" s="28"/>
      <c r="BG186" s="28"/>
      <c r="BH186" s="28"/>
      <c r="BI186" s="28"/>
      <c r="BJ186" s="28"/>
      <c r="BK186" s="28"/>
      <c r="BL186" s="28"/>
    </row>
    <row r="187" spans="1:64" ht="16.5" hidden="1" thickBot="1">
      <c r="A187" s="28"/>
      <c r="B187" s="331"/>
      <c r="C187" s="312"/>
      <c r="D187" s="286" t="s">
        <v>114</v>
      </c>
      <c r="E187" s="332">
        <f>E120</f>
        <v>0</v>
      </c>
      <c r="F187" s="317">
        <f t="shared" ref="F187" si="283">-E187</f>
        <v>0</v>
      </c>
      <c r="G187" s="324"/>
      <c r="H187" s="332">
        <f>H120</f>
        <v>0</v>
      </c>
      <c r="I187" s="317">
        <f t="shared" ref="I187" si="284">-H187</f>
        <v>0</v>
      </c>
      <c r="J187" s="324"/>
      <c r="K187" s="332">
        <f>K120</f>
        <v>0</v>
      </c>
      <c r="L187" s="317">
        <f t="shared" ref="L187" si="285">-K187</f>
        <v>0</v>
      </c>
      <c r="M187" s="324"/>
      <c r="N187" s="332">
        <f>N120</f>
        <v>0</v>
      </c>
      <c r="O187" s="317">
        <f t="shared" ref="O187" si="286">-N187</f>
        <v>0</v>
      </c>
      <c r="P187" s="324"/>
      <c r="Q187" s="332">
        <f>Q120</f>
        <v>0</v>
      </c>
      <c r="R187" s="317">
        <f t="shared" ref="R187" si="287">-Q187</f>
        <v>0</v>
      </c>
      <c r="S187" s="324"/>
      <c r="T187" s="332">
        <f>T120</f>
        <v>0</v>
      </c>
      <c r="U187" s="317">
        <f t="shared" ref="U187" si="288">-T187</f>
        <v>0</v>
      </c>
      <c r="V187" s="324"/>
      <c r="W187" s="332">
        <f>W120</f>
        <v>0</v>
      </c>
      <c r="X187" s="317">
        <f t="shared" ref="X187" si="289">-W187</f>
        <v>0</v>
      </c>
      <c r="Y187" s="324"/>
      <c r="Z187" s="332">
        <f>Z120</f>
        <v>0</v>
      </c>
      <c r="AA187" s="317">
        <f t="shared" ref="AA187" si="290">-Z187</f>
        <v>0</v>
      </c>
      <c r="AB187" s="324"/>
      <c r="AC187" s="332">
        <f>AC120</f>
        <v>0</v>
      </c>
      <c r="AD187" s="317">
        <f t="shared" ref="AD187" si="291">-AC187</f>
        <v>0</v>
      </c>
      <c r="AE187" s="324"/>
      <c r="AF187" s="332">
        <f>AF120</f>
        <v>0</v>
      </c>
      <c r="AG187" s="317">
        <f t="shared" ref="AG187" si="292">-AF187</f>
        <v>0</v>
      </c>
      <c r="AH187" s="324"/>
      <c r="AI187" s="332">
        <f>AI120</f>
        <v>0</v>
      </c>
      <c r="AJ187" s="317">
        <f t="shared" ref="AJ187" si="293">-AI187</f>
        <v>0</v>
      </c>
      <c r="AK187" s="324"/>
      <c r="AL187" s="332">
        <f>AL120</f>
        <v>0</v>
      </c>
      <c r="AM187" s="317">
        <f t="shared" ref="AM187" si="294">-AL187</f>
        <v>0</v>
      </c>
      <c r="AN187" s="324"/>
      <c r="AO187" s="332">
        <f>AO120</f>
        <v>0</v>
      </c>
      <c r="AP187" s="317">
        <f t="shared" ref="AP187" si="295">-AO187</f>
        <v>0</v>
      </c>
      <c r="AQ187" s="324"/>
      <c r="AR187" s="332">
        <f>AR120</f>
        <v>0</v>
      </c>
      <c r="AS187" s="317">
        <f t="shared" ref="AS187" si="296">-AR187</f>
        <v>0</v>
      </c>
      <c r="AT187" s="324"/>
      <c r="AU187" s="357"/>
      <c r="AV187" s="69"/>
      <c r="AW187" s="359"/>
      <c r="AX187" s="357"/>
      <c r="AY187" s="69"/>
      <c r="AZ187" s="359"/>
      <c r="BA187" s="28"/>
      <c r="BB187" s="28"/>
      <c r="BC187" s="28"/>
      <c r="BD187" s="28"/>
      <c r="BE187" s="28"/>
      <c r="BF187" s="28"/>
      <c r="BG187" s="28"/>
      <c r="BH187" s="28"/>
      <c r="BI187" s="28"/>
      <c r="BJ187" s="28"/>
      <c r="BK187" s="28"/>
      <c r="BL187" s="28"/>
    </row>
    <row r="188" spans="1:64" ht="16.5" hidden="1" thickBot="1">
      <c r="A188" s="28"/>
      <c r="B188" s="318"/>
      <c r="C188" s="320"/>
      <c r="D188" s="325" t="s">
        <v>115</v>
      </c>
      <c r="E188" s="291"/>
      <c r="F188" s="333">
        <f>SUM(F182:F187)</f>
        <v>-175718.19494871798</v>
      </c>
      <c r="G188" s="326"/>
      <c r="H188" s="291"/>
      <c r="I188" s="333">
        <f>SUM(I182:I187)</f>
        <v>-168873.92923076925</v>
      </c>
      <c r="J188" s="326"/>
      <c r="K188" s="291"/>
      <c r="L188" s="333">
        <f>SUM(L182:L187)</f>
        <v>-163733.47692307693</v>
      </c>
      <c r="M188" s="326"/>
      <c r="N188" s="291"/>
      <c r="O188" s="333">
        <f>SUM(O182:O187)</f>
        <v>-161497.48717948719</v>
      </c>
      <c r="P188" s="326"/>
      <c r="Q188" s="291"/>
      <c r="R188" s="333">
        <f>SUM(R182:R187)</f>
        <v>-159907.56410256412</v>
      </c>
      <c r="S188" s="326"/>
      <c r="T188" s="291"/>
      <c r="U188" s="333">
        <f>SUM(U182:U187)</f>
        <v>-156992.22564102564</v>
      </c>
      <c r="V188" s="326"/>
      <c r="W188" s="291"/>
      <c r="X188" s="333">
        <f>SUM(X182:X187)</f>
        <v>-155215.38717948715</v>
      </c>
      <c r="Y188" s="326"/>
      <c r="Z188" s="291"/>
      <c r="AA188" s="333">
        <f>SUM(AA182:AA187)</f>
        <v>-155839.00256410256</v>
      </c>
      <c r="AB188" s="326"/>
      <c r="AC188" s="291"/>
      <c r="AD188" s="333">
        <f>SUM(AD182:AD187)</f>
        <v>-153768.04102564103</v>
      </c>
      <c r="AE188" s="326"/>
      <c r="AF188" s="291"/>
      <c r="AG188" s="333">
        <f>SUM(AG182:AG187)</f>
        <v>-145233.56410256412</v>
      </c>
      <c r="AH188" s="326"/>
      <c r="AI188" s="291"/>
      <c r="AJ188" s="333">
        <f>SUM(AJ182:AJ187)</f>
        <v>-140665.17948717947</v>
      </c>
      <c r="AK188" s="326"/>
      <c r="AL188" s="291"/>
      <c r="AM188" s="333">
        <f>SUM(AM182:AM187)</f>
        <v>-140665.17948717947</v>
      </c>
      <c r="AN188" s="326"/>
      <c r="AO188" s="291"/>
      <c r="AP188" s="333">
        <f>SUM(AP182:AP187)</f>
        <v>-139402.54871794872</v>
      </c>
      <c r="AQ188" s="326"/>
      <c r="AR188" s="291"/>
      <c r="AS188" s="333">
        <f>SUM(AS182:AS187)</f>
        <v>-136304.99102564104</v>
      </c>
      <c r="AT188" s="326"/>
      <c r="AU188" s="91"/>
      <c r="AV188" s="360"/>
      <c r="AW188" s="343"/>
      <c r="AX188" s="91"/>
      <c r="AY188" s="360"/>
      <c r="AZ188" s="343"/>
      <c r="BA188" s="28"/>
      <c r="BB188" s="28"/>
      <c r="BC188" s="28"/>
      <c r="BD188" s="28"/>
      <c r="BE188" s="28"/>
      <c r="BF188" s="28"/>
      <c r="BG188" s="28"/>
      <c r="BH188" s="28"/>
      <c r="BI188" s="28"/>
      <c r="BJ188" s="28"/>
      <c r="BK188" s="28"/>
      <c r="BL188" s="28"/>
    </row>
    <row r="189" spans="1:64" ht="13.5" hidden="1" thickBot="1">
      <c r="A189" s="28"/>
      <c r="B189" s="331"/>
      <c r="C189" s="286"/>
      <c r="D189" s="317"/>
      <c r="E189" s="286"/>
      <c r="F189" s="286"/>
      <c r="G189" s="334"/>
      <c r="H189" s="286"/>
      <c r="I189" s="286"/>
      <c r="J189" s="334"/>
      <c r="K189" s="286"/>
      <c r="L189" s="286"/>
      <c r="M189" s="334"/>
      <c r="N189" s="286"/>
      <c r="O189" s="286"/>
      <c r="P189" s="334"/>
      <c r="Q189" s="286"/>
      <c r="R189" s="286"/>
      <c r="S189" s="334"/>
      <c r="T189" s="286"/>
      <c r="U189" s="286"/>
      <c r="V189" s="334"/>
      <c r="W189" s="286"/>
      <c r="X189" s="286"/>
      <c r="Y189" s="334"/>
      <c r="Z189" s="286"/>
      <c r="AA189" s="286"/>
      <c r="AB189" s="334"/>
      <c r="AC189" s="286"/>
      <c r="AD189" s="286"/>
      <c r="AE189" s="334"/>
      <c r="AF189" s="286"/>
      <c r="AG189" s="286"/>
      <c r="AH189" s="334"/>
      <c r="AI189" s="286"/>
      <c r="AJ189" s="286"/>
      <c r="AK189" s="334"/>
      <c r="AL189" s="286"/>
      <c r="AM189" s="286"/>
      <c r="AN189" s="334"/>
      <c r="AO189" s="286"/>
      <c r="AP189" s="286"/>
      <c r="AQ189" s="334"/>
      <c r="AR189" s="286"/>
      <c r="AS189" s="286"/>
      <c r="AT189" s="334"/>
      <c r="AU189" s="28"/>
      <c r="AV189" s="28"/>
      <c r="AW189" s="28"/>
      <c r="AX189" s="28"/>
      <c r="AY189" s="28"/>
      <c r="AZ189" s="28"/>
      <c r="BA189" s="28"/>
      <c r="BB189" s="28"/>
      <c r="BC189" s="28"/>
      <c r="BD189" s="28"/>
      <c r="BE189" s="28"/>
      <c r="BF189" s="28"/>
      <c r="BG189" s="28"/>
      <c r="BH189" s="28"/>
      <c r="BI189" s="28"/>
      <c r="BJ189" s="28"/>
      <c r="BK189" s="28"/>
      <c r="BL189" s="28"/>
    </row>
    <row r="190" spans="1:64" ht="24" hidden="1" thickBot="1">
      <c r="A190" s="28"/>
      <c r="B190" s="331"/>
      <c r="C190" s="286"/>
      <c r="D190" s="286"/>
      <c r="E190" s="335" t="s">
        <v>119</v>
      </c>
      <c r="F190" s="549">
        <f>E181+F188</f>
        <v>687206.87300000014</v>
      </c>
      <c r="G190" s="324"/>
      <c r="H190" s="335" t="s">
        <v>119</v>
      </c>
      <c r="I190" s="549">
        <f>H181+I188</f>
        <v>662940.84</v>
      </c>
      <c r="J190" s="324"/>
      <c r="K190" s="335" t="s">
        <v>119</v>
      </c>
      <c r="L190" s="549">
        <f>K181+L188</f>
        <v>644715.60000000009</v>
      </c>
      <c r="M190" s="324"/>
      <c r="N190" s="335" t="s">
        <v>119</v>
      </c>
      <c r="O190" s="549">
        <f>N181+O188</f>
        <v>636788</v>
      </c>
      <c r="P190" s="324"/>
      <c r="Q190" s="335" t="s">
        <v>119</v>
      </c>
      <c r="R190" s="549">
        <f>Q181+R188</f>
        <v>631150.99999999988</v>
      </c>
      <c r="S190" s="324"/>
      <c r="T190" s="335" t="s">
        <v>119</v>
      </c>
      <c r="U190" s="549">
        <f>T181+U188</f>
        <v>620814.80000000005</v>
      </c>
      <c r="V190" s="324"/>
      <c r="W190" s="335" t="s">
        <v>119</v>
      </c>
      <c r="X190" s="549">
        <f>W181+X188</f>
        <v>614515.1</v>
      </c>
      <c r="Y190" s="324"/>
      <c r="Z190" s="335" t="s">
        <v>119</v>
      </c>
      <c r="AA190" s="549">
        <f>Z181+AA188</f>
        <v>616726.1</v>
      </c>
      <c r="AB190" s="324"/>
      <c r="AC190" s="335" t="s">
        <v>119</v>
      </c>
      <c r="AD190" s="549">
        <f>AC181+AD188</f>
        <v>609383.6</v>
      </c>
      <c r="AE190" s="324"/>
      <c r="AF190" s="335" t="s">
        <v>119</v>
      </c>
      <c r="AG190" s="549">
        <f>AF181+AG188</f>
        <v>579125.00000000012</v>
      </c>
      <c r="AH190" s="324"/>
      <c r="AI190" s="335" t="s">
        <v>119</v>
      </c>
      <c r="AJ190" s="549">
        <f>AI181+AJ188</f>
        <v>562928</v>
      </c>
      <c r="AK190" s="324"/>
      <c r="AL190" s="335" t="s">
        <v>119</v>
      </c>
      <c r="AM190" s="549">
        <f>AL181+AM188</f>
        <v>556722</v>
      </c>
      <c r="AN190" s="324"/>
      <c r="AO190" s="335" t="s">
        <v>119</v>
      </c>
      <c r="AP190" s="549">
        <f>AO181+AP188</f>
        <v>552245.4</v>
      </c>
      <c r="AQ190" s="324"/>
      <c r="AR190" s="335" t="s">
        <v>119</v>
      </c>
      <c r="AS190" s="549">
        <f>AR181+AS188</f>
        <v>541263.15000000014</v>
      </c>
      <c r="AT190" s="324"/>
      <c r="AU190" s="77"/>
      <c r="AV190" s="361"/>
      <c r="AW190" s="28"/>
      <c r="AX190" s="77"/>
      <c r="AY190" s="361"/>
      <c r="AZ190" s="28"/>
      <c r="BA190" s="28"/>
      <c r="BB190" s="28"/>
      <c r="BC190" s="28"/>
      <c r="BD190" s="28"/>
      <c r="BE190" s="28"/>
      <c r="BF190" s="28"/>
      <c r="BG190" s="28"/>
      <c r="BH190" s="28"/>
      <c r="BI190" s="28"/>
      <c r="BJ190" s="28"/>
      <c r="BK190" s="28"/>
      <c r="BL190" s="28"/>
    </row>
    <row r="191" spans="1:64" ht="24" hidden="1" thickBot="1">
      <c r="A191" s="28"/>
      <c r="B191" s="331"/>
      <c r="C191" s="286"/>
      <c r="D191" s="286"/>
      <c r="E191" s="335"/>
      <c r="F191" s="336"/>
      <c r="G191" s="324"/>
      <c r="H191" s="335"/>
      <c r="I191" s="336"/>
      <c r="J191" s="324"/>
      <c r="K191" s="335"/>
      <c r="L191" s="336"/>
      <c r="M191" s="324"/>
      <c r="N191" s="335"/>
      <c r="O191" s="336"/>
      <c r="P191" s="324"/>
      <c r="Q191" s="335"/>
      <c r="R191" s="336"/>
      <c r="S191" s="324"/>
      <c r="T191" s="335"/>
      <c r="U191" s="336"/>
      <c r="V191" s="324"/>
      <c r="W191" s="335"/>
      <c r="X191" s="336"/>
      <c r="Y191" s="324"/>
      <c r="Z191" s="335"/>
      <c r="AA191" s="336"/>
      <c r="AB191" s="324"/>
      <c r="AC191" s="335"/>
      <c r="AD191" s="336"/>
      <c r="AE191" s="324"/>
      <c r="AF191" s="335"/>
      <c r="AG191" s="336"/>
      <c r="AH191" s="324"/>
      <c r="AI191" s="335"/>
      <c r="AJ191" s="336"/>
      <c r="AK191" s="324"/>
      <c r="AL191" s="335"/>
      <c r="AM191" s="336"/>
      <c r="AN191" s="324"/>
      <c r="AO191" s="335"/>
      <c r="AP191" s="336"/>
      <c r="AQ191" s="324"/>
      <c r="AR191" s="335"/>
      <c r="AS191" s="336"/>
      <c r="AT191" s="324"/>
      <c r="AU191" s="77"/>
      <c r="AV191" s="361"/>
      <c r="AW191" s="28"/>
      <c r="AX191" s="77"/>
      <c r="AY191" s="361"/>
      <c r="AZ191" s="28"/>
      <c r="BA191" s="28"/>
      <c r="BB191" s="28"/>
      <c r="BC191" s="28"/>
      <c r="BD191" s="28"/>
      <c r="BE191" s="28"/>
      <c r="BF191" s="28"/>
      <c r="BG191" s="28"/>
      <c r="BH191" s="28"/>
      <c r="BI191" s="28"/>
      <c r="BJ191" s="28"/>
      <c r="BK191" s="28"/>
      <c r="BL191" s="28"/>
    </row>
    <row r="192" spans="1:64" ht="16.5" hidden="1" thickBot="1">
      <c r="A192" s="28"/>
      <c r="B192" s="331"/>
      <c r="C192" s="335"/>
      <c r="D192" s="335"/>
      <c r="E192" s="337"/>
      <c r="F192" s="317"/>
      <c r="G192" s="326"/>
      <c r="H192" s="337"/>
      <c r="I192" s="317"/>
      <c r="J192" s="326"/>
      <c r="K192" s="337"/>
      <c r="L192" s="317"/>
      <c r="M192" s="326"/>
      <c r="N192" s="337"/>
      <c r="O192" s="317"/>
      <c r="P192" s="326"/>
      <c r="Q192" s="337"/>
      <c r="R192" s="317"/>
      <c r="S192" s="326"/>
      <c r="T192" s="337"/>
      <c r="U192" s="317"/>
      <c r="V192" s="326"/>
      <c r="W192" s="337"/>
      <c r="X192" s="317"/>
      <c r="Y192" s="326"/>
      <c r="Z192" s="337"/>
      <c r="AA192" s="317"/>
      <c r="AB192" s="326"/>
      <c r="AC192" s="337"/>
      <c r="AD192" s="317"/>
      <c r="AE192" s="326"/>
      <c r="AF192" s="337"/>
      <c r="AG192" s="317"/>
      <c r="AH192" s="326"/>
      <c r="AI192" s="337"/>
      <c r="AJ192" s="317"/>
      <c r="AK192" s="326"/>
      <c r="AL192" s="337"/>
      <c r="AM192" s="317"/>
      <c r="AN192" s="326"/>
      <c r="AO192" s="337"/>
      <c r="AP192" s="317"/>
      <c r="AQ192" s="326"/>
      <c r="AR192" s="337"/>
      <c r="AS192" s="317"/>
      <c r="AT192" s="326"/>
      <c r="AU192" s="356"/>
      <c r="AV192" s="28"/>
      <c r="AW192" s="28"/>
      <c r="AX192" s="356"/>
      <c r="AY192" s="28"/>
      <c r="AZ192" s="28"/>
      <c r="BA192" s="28"/>
      <c r="BB192" s="28"/>
      <c r="BC192" s="28"/>
      <c r="BD192" s="28"/>
      <c r="BE192" s="28"/>
      <c r="BF192" s="28"/>
      <c r="BG192" s="28"/>
      <c r="BH192" s="28"/>
      <c r="BI192" s="28"/>
      <c r="BJ192" s="28"/>
      <c r="BK192" s="28"/>
      <c r="BL192" s="28"/>
    </row>
    <row r="193" spans="1:64" ht="16.5" hidden="1" thickBot="1">
      <c r="A193" s="28"/>
      <c r="B193" s="331"/>
      <c r="C193" s="335"/>
      <c r="D193" s="335"/>
      <c r="E193" s="286" t="s">
        <v>120</v>
      </c>
      <c r="F193" s="286"/>
      <c r="G193" s="326"/>
      <c r="H193" s="286" t="s">
        <v>120</v>
      </c>
      <c r="I193" s="286"/>
      <c r="J193" s="326"/>
      <c r="K193" s="286" t="s">
        <v>120</v>
      </c>
      <c r="L193" s="286"/>
      <c r="M193" s="326"/>
      <c r="N193" s="286" t="s">
        <v>120</v>
      </c>
      <c r="O193" s="286"/>
      <c r="P193" s="326"/>
      <c r="Q193" s="286" t="s">
        <v>120</v>
      </c>
      <c r="R193" s="286"/>
      <c r="S193" s="326"/>
      <c r="T193" s="286" t="s">
        <v>120</v>
      </c>
      <c r="U193" s="286"/>
      <c r="V193" s="326"/>
      <c r="W193" s="286" t="s">
        <v>120</v>
      </c>
      <c r="X193" s="286"/>
      <c r="Y193" s="326"/>
      <c r="Z193" s="286" t="s">
        <v>120</v>
      </c>
      <c r="AA193" s="286"/>
      <c r="AB193" s="326"/>
      <c r="AC193" s="286" t="s">
        <v>120</v>
      </c>
      <c r="AD193" s="286"/>
      <c r="AE193" s="326"/>
      <c r="AF193" s="286" t="s">
        <v>120</v>
      </c>
      <c r="AG193" s="286"/>
      <c r="AH193" s="326"/>
      <c r="AI193" s="286" t="s">
        <v>120</v>
      </c>
      <c r="AJ193" s="286"/>
      <c r="AK193" s="326"/>
      <c r="AL193" s="286" t="s">
        <v>120</v>
      </c>
      <c r="AM193" s="286"/>
      <c r="AN193" s="326"/>
      <c r="AO193" s="286" t="s">
        <v>120</v>
      </c>
      <c r="AP193" s="286"/>
      <c r="AQ193" s="326"/>
      <c r="AR193" s="286" t="s">
        <v>120</v>
      </c>
      <c r="AS193" s="286"/>
      <c r="AT193" s="326"/>
      <c r="AU193" s="28"/>
      <c r="AV193" s="28"/>
      <c r="AW193" s="28"/>
      <c r="AX193" s="28"/>
      <c r="AY193" s="28"/>
      <c r="AZ193" s="28"/>
      <c r="BA193" s="28"/>
      <c r="BB193" s="28"/>
      <c r="BC193" s="28"/>
      <c r="BD193" s="28"/>
      <c r="BE193" s="28"/>
      <c r="BF193" s="28"/>
      <c r="BG193" s="28"/>
      <c r="BH193" s="28"/>
      <c r="BI193" s="28"/>
      <c r="BJ193" s="28"/>
      <c r="BK193" s="28"/>
      <c r="BL193" s="28"/>
    </row>
    <row r="194" spans="1:64" ht="16.5" hidden="1" thickBot="1">
      <c r="A194" s="28"/>
      <c r="B194" s="331"/>
      <c r="C194" s="335"/>
      <c r="D194" s="335"/>
      <c r="E194" s="317">
        <f>E160+E161+E162+E163+E164+E165+E166+E169+E170+E171+F182+E173+E174+((E160+E161+E162+E163+E164+E165+E166+E169+E170+E171+F182+E173+E174)*0.07)</f>
        <v>636175.9462408839</v>
      </c>
      <c r="F194" s="286"/>
      <c r="G194" s="326"/>
      <c r="H194" s="317">
        <f>H160+H161+H162+H163+H164+H165+H166+H169+H170+H171+I182+H173+H174+((H160+H161+H162+H163+H164+H165+H166+H169+H170+H171+I182+H173+H174)*0.07)</f>
        <v>620659.45974720374</v>
      </c>
      <c r="I194" s="286"/>
      <c r="J194" s="326"/>
      <c r="K194" s="317">
        <f>K160+K161+K162+K163+K164+K165+K166+K169+K170+K171+L182+K173+K174+((K160+K161+K162+K163+K164+K165+K166+K169+K170+K171+L182+K173+K174)*0.07)</f>
        <v>607230.32750431984</v>
      </c>
      <c r="L194" s="286"/>
      <c r="M194" s="326"/>
      <c r="N194" s="317">
        <f>N160+N161+N162+N163+N164+N165+N166+N169+N170+N171+O182+N173+N174+((N160+N161+N162+N163+N164+N165+N166+N169+N170+N171+O182+N173+N174)*0.07)</f>
        <v>594968.9458912519</v>
      </c>
      <c r="O194" s="286"/>
      <c r="P194" s="326"/>
      <c r="Q194" s="317">
        <f>Q160+Q161+Q162+Q163+Q164+Q165+Q166+Q169+Q170+Q171+R182+Q173+Q174+((Q160+Q161+Q162+Q163+Q164+Q165+Q166+Q169+Q170+Q171+R182+Q173+Q174)*0.07)</f>
        <v>583875.31490799994</v>
      </c>
      <c r="R194" s="286"/>
      <c r="S194" s="326"/>
      <c r="T194" s="317">
        <f>T160+T161+T162+T163+T164+T165+T166+T169+T170+T171+U182+T173+T174+((T160+T161+T162+T163+T164+T165+T166+T169+T170+T171+U182+T173+T174)*0.07)</f>
        <v>573925.59608251508</v>
      </c>
      <c r="U194" s="286"/>
      <c r="V194" s="326"/>
      <c r="W194" s="317">
        <f>W160+W161+W162+W163+W164+W165+W166+W169+W170+W171+X182+W173+W174+((W160+W161+W162+W163+W164+W165+W166+W169+W170+W171+X182+W173+W174)*0.07)</f>
        <v>565547.12022729591</v>
      </c>
      <c r="X194" s="286"/>
      <c r="Y194" s="326"/>
      <c r="Z194" s="317">
        <f>Z160+Z161+Z162+Z163+Z164+Z165+Z166+Z169+Z170+Z171+AA182+Z173+Z174+((Z160+Z161+Z162+Z163+Z164+Z165+Z166+Z169+Z170+Z171+AA182+Z173+Z174)*0.07)</f>
        <v>557692.34062859998</v>
      </c>
      <c r="AA194" s="286"/>
      <c r="AB194" s="326"/>
      <c r="AC194" s="317">
        <f>AC160+AC161+AC162+AC163+AC164+AC165+AC166+AC169+AC170+AC171+AD182+AC173+AC174+((AC160+AC161+AC162+AC163+AC164+AC165+AC166+AC169+AC170+AC171+AD182+AC173+AC174)*0.07)</f>
        <v>543030.01737124007</v>
      </c>
      <c r="AD194" s="286"/>
      <c r="AE194" s="326"/>
      <c r="AF194" s="317">
        <f>AF160+AF161+AF162+AF163+AF164+AF165+AF166+AF169+AF170+AF171+AG182+AF173+AC174+((AF160+AF161+AF162+AF163+AF164+AF165+AF166+AF169+AF170+AF171+AG182+AF173+AF174)*0.07)</f>
        <v>523654.74095119996</v>
      </c>
      <c r="AG194" s="286"/>
      <c r="AH194" s="326"/>
      <c r="AI194" s="317">
        <f>AI160+AI161+AI162+AI163+AI164+AI165+AI166+AI169+AI170+AI171+AJ182+AI173+AC174+((AI160+AI161+AI162+AI163+AI164+AI165+AI166+AI169+AI170+AI171+AJ182+AI173+AI174)*0.07)</f>
        <v>511639.68895095144</v>
      </c>
      <c r="AJ194" s="286"/>
      <c r="AK194" s="326"/>
      <c r="AL194" s="317">
        <f>AL160+AL161+AL162+AL163+AL164+AL165+AL166+AL169+AL170+AL171+AM182+AL173+((AL160+AL161+AL162+AL163+AL164+AL165+AL166+AL169+AL170+AL171+AM182+AL173)*0.07)</f>
        <v>511639.68895095144</v>
      </c>
      <c r="AM194" s="286"/>
      <c r="AN194" s="326"/>
      <c r="AO194" s="317">
        <f>AO160+AO161+AO162+AO163+AO164+AO165+AO166+AO169+AO170+AO171+AP182+AO173+((AO160+AO161+AO162+AO163+AO164+AO165+AO166+AO169+AO170+AO171+AP182+AO173)*0.07)</f>
        <v>500625.91873869998</v>
      </c>
      <c r="AP194" s="286"/>
      <c r="AQ194" s="326"/>
      <c r="AR194" s="317">
        <f>AR160+AR161+AR162+AR163+AR164+AR165+AR166+AR169+AR170+AR171+AS182+AR173+((AR160+AR161+AR162+AR163+AR164+AR165+AR166+AR169+AR170+AR171+AS182+AR173)*0.07)</f>
        <v>488499.46192122914</v>
      </c>
      <c r="AS194" s="286"/>
      <c r="AT194" s="326"/>
      <c r="AU194" s="28"/>
      <c r="AV194" s="28"/>
      <c r="AW194" s="28"/>
      <c r="AX194" s="28"/>
      <c r="AY194" s="28"/>
      <c r="AZ194" s="28"/>
      <c r="BA194" s="28"/>
      <c r="BB194" s="28"/>
      <c r="BC194" s="28"/>
      <c r="BD194" s="28"/>
      <c r="BE194" s="28"/>
      <c r="BF194" s="28"/>
      <c r="BG194" s="28"/>
      <c r="BH194" s="28"/>
      <c r="BI194" s="28"/>
      <c r="BJ194" s="28"/>
      <c r="BK194" s="28"/>
      <c r="BL194" s="28"/>
    </row>
    <row r="195" spans="1:64" ht="16.5" hidden="1" thickBot="1">
      <c r="A195" s="28"/>
      <c r="B195" s="331"/>
      <c r="C195" s="335"/>
      <c r="D195" s="335"/>
      <c r="E195" s="317"/>
      <c r="F195" s="286"/>
      <c r="G195" s="326"/>
      <c r="H195" s="317"/>
      <c r="I195" s="286"/>
      <c r="J195" s="326"/>
      <c r="K195" s="317"/>
      <c r="L195" s="286"/>
      <c r="M195" s="326"/>
      <c r="N195" s="317"/>
      <c r="O195" s="286"/>
      <c r="P195" s="326"/>
      <c r="Q195" s="317"/>
      <c r="R195" s="286"/>
      <c r="S195" s="326"/>
      <c r="T195" s="317"/>
      <c r="U195" s="286"/>
      <c r="V195" s="326"/>
      <c r="W195" s="317"/>
      <c r="X195" s="286"/>
      <c r="Y195" s="326"/>
      <c r="Z195" s="317"/>
      <c r="AA195" s="286"/>
      <c r="AB195" s="326"/>
      <c r="AC195" s="317"/>
      <c r="AD195" s="286"/>
      <c r="AE195" s="326"/>
      <c r="AF195" s="317"/>
      <c r="AG195" s="286"/>
      <c r="AH195" s="326"/>
      <c r="AI195" s="317"/>
      <c r="AJ195" s="286"/>
      <c r="AK195" s="326"/>
      <c r="AL195" s="317"/>
      <c r="AM195" s="286"/>
      <c r="AN195" s="326"/>
      <c r="AO195" s="317"/>
      <c r="AP195" s="286"/>
      <c r="AQ195" s="326"/>
      <c r="AR195" s="317"/>
      <c r="AS195" s="286"/>
      <c r="AT195" s="326"/>
      <c r="AU195" s="356"/>
      <c r="AV195" s="28"/>
      <c r="AW195" s="28"/>
      <c r="AX195" s="356"/>
      <c r="AY195" s="28"/>
      <c r="AZ195" s="28"/>
      <c r="BA195" s="28"/>
      <c r="BB195" s="28"/>
      <c r="BC195" s="28"/>
      <c r="BD195" s="28"/>
      <c r="BE195" s="28"/>
      <c r="BF195" s="28"/>
      <c r="BG195" s="28"/>
      <c r="BH195" s="28"/>
      <c r="BI195" s="28"/>
      <c r="BJ195" s="28"/>
      <c r="BK195" s="28"/>
      <c r="BL195" s="28"/>
    </row>
    <row r="196" spans="1:64" ht="18.75" hidden="1" thickBot="1">
      <c r="A196" s="28"/>
      <c r="B196" s="331"/>
      <c r="C196" s="335"/>
      <c r="D196" s="335"/>
      <c r="E196" s="338" t="s">
        <v>121</v>
      </c>
      <c r="F196" s="339">
        <f>F190-I190</f>
        <v>24266.03300000017</v>
      </c>
      <c r="G196" s="326"/>
      <c r="H196" s="338" t="s">
        <v>121</v>
      </c>
      <c r="I196" s="339">
        <f>I190-L190</f>
        <v>18225.239999999874</v>
      </c>
      <c r="J196" s="326"/>
      <c r="K196" s="338" t="s">
        <v>121</v>
      </c>
      <c r="L196" s="339">
        <f>L190-O190</f>
        <v>7927.6000000000931</v>
      </c>
      <c r="M196" s="326"/>
      <c r="N196" s="338" t="s">
        <v>121</v>
      </c>
      <c r="O196" s="339">
        <f>O190-R190</f>
        <v>5637.0000000001164</v>
      </c>
      <c r="P196" s="326"/>
      <c r="Q196" s="338" t="s">
        <v>121</v>
      </c>
      <c r="R196" s="339">
        <f>R190-U190</f>
        <v>10336.199999999837</v>
      </c>
      <c r="S196" s="326"/>
      <c r="T196" s="338" t="s">
        <v>121</v>
      </c>
      <c r="U196" s="339">
        <f>U190-X190</f>
        <v>6299.7000000000698</v>
      </c>
      <c r="V196" s="326"/>
      <c r="W196" s="338" t="s">
        <v>121</v>
      </c>
      <c r="X196" s="339">
        <f>X190-AA190</f>
        <v>-2211</v>
      </c>
      <c r="Y196" s="326"/>
      <c r="Z196" s="338" t="s">
        <v>121</v>
      </c>
      <c r="AA196" s="339">
        <f>AA190-AD190</f>
        <v>7342.5</v>
      </c>
      <c r="AB196" s="326"/>
      <c r="AC196" s="338" t="s">
        <v>121</v>
      </c>
      <c r="AD196" s="339">
        <f>AD190-AG190</f>
        <v>30258.59999999986</v>
      </c>
      <c r="AE196" s="326"/>
      <c r="AF196" s="338" t="s">
        <v>121</v>
      </c>
      <c r="AG196" s="339">
        <f>AG190-AJ190</f>
        <v>16197.000000000116</v>
      </c>
      <c r="AH196" s="326"/>
      <c r="AI196" s="338" t="s">
        <v>121</v>
      </c>
      <c r="AJ196" s="339">
        <f>AJ190-AM190</f>
        <v>6206</v>
      </c>
      <c r="AK196" s="326"/>
      <c r="AL196" s="338" t="s">
        <v>121</v>
      </c>
      <c r="AM196" s="339">
        <f>AM190-AP190</f>
        <v>4476.5999999999767</v>
      </c>
      <c r="AN196" s="326"/>
      <c r="AO196" s="338" t="s">
        <v>121</v>
      </c>
      <c r="AP196" s="339">
        <f>AP190-AS190</f>
        <v>10982.249999999884</v>
      </c>
      <c r="AQ196" s="326"/>
      <c r="AR196" s="338" t="s">
        <v>121</v>
      </c>
      <c r="AS196" s="339"/>
      <c r="AT196" s="326"/>
      <c r="AU196" s="363"/>
      <c r="AV196" s="364"/>
      <c r="AW196" s="28"/>
      <c r="AX196" s="363"/>
      <c r="AY196" s="364"/>
      <c r="AZ196" s="28"/>
      <c r="BA196" s="28"/>
      <c r="BB196" s="28"/>
      <c r="BC196" s="28"/>
      <c r="BD196" s="28"/>
      <c r="BE196" s="28"/>
      <c r="BF196" s="28"/>
      <c r="BG196" s="28"/>
      <c r="BH196" s="28"/>
      <c r="BI196" s="28"/>
      <c r="BJ196" s="28"/>
      <c r="BK196" s="28"/>
      <c r="BL196" s="28"/>
    </row>
    <row r="197" spans="1:64" ht="18.75" hidden="1" thickBot="1">
      <c r="A197" s="28"/>
      <c r="B197" s="286"/>
      <c r="C197" s="286"/>
      <c r="D197" s="286"/>
      <c r="E197" s="338" t="s">
        <v>122</v>
      </c>
      <c r="F197" s="340">
        <f>F196/I190</f>
        <v>3.6603617601836343E-2</v>
      </c>
      <c r="G197" s="324"/>
      <c r="H197" s="338" t="s">
        <v>122</v>
      </c>
      <c r="I197" s="340">
        <f>I196/L190</f>
        <v>2.8268650549172179E-2</v>
      </c>
      <c r="J197" s="324"/>
      <c r="K197" s="338" t="s">
        <v>122</v>
      </c>
      <c r="L197" s="340">
        <f>L196/O190</f>
        <v>1.2449355201417258E-2</v>
      </c>
      <c r="M197" s="324"/>
      <c r="N197" s="338" t="s">
        <v>122</v>
      </c>
      <c r="O197" s="340">
        <f>O196/R190</f>
        <v>8.9313017011778753E-3</v>
      </c>
      <c r="P197" s="324"/>
      <c r="Q197" s="338" t="s">
        <v>122</v>
      </c>
      <c r="R197" s="340">
        <f>R196/U190</f>
        <v>1.6649409775668745E-2</v>
      </c>
      <c r="S197" s="324"/>
      <c r="T197" s="338" t="s">
        <v>122</v>
      </c>
      <c r="U197" s="340">
        <f>U196/X190</f>
        <v>1.0251497481510332E-2</v>
      </c>
      <c r="V197" s="324"/>
      <c r="W197" s="338" t="s">
        <v>122</v>
      </c>
      <c r="X197" s="340">
        <f>X196/AA190</f>
        <v>-3.5850598831474786E-3</v>
      </c>
      <c r="Y197" s="324"/>
      <c r="Z197" s="338" t="s">
        <v>122</v>
      </c>
      <c r="AA197" s="340">
        <f>AA196/AD190</f>
        <v>1.2049060722999438E-2</v>
      </c>
      <c r="AB197" s="324"/>
      <c r="AC197" s="338" t="s">
        <v>122</v>
      </c>
      <c r="AD197" s="340">
        <f>AD196/AG190</f>
        <v>5.2248823656377903E-2</v>
      </c>
      <c r="AE197" s="324"/>
      <c r="AF197" s="338" t="s">
        <v>122</v>
      </c>
      <c r="AG197" s="340">
        <f>AG196/AJ190</f>
        <v>2.8772773782793033E-2</v>
      </c>
      <c r="AH197" s="324"/>
      <c r="AI197" s="338" t="s">
        <v>122</v>
      </c>
      <c r="AJ197" s="340">
        <f>AJ196/AM190</f>
        <v>1.11473949296058E-2</v>
      </c>
      <c r="AK197" s="324"/>
      <c r="AL197" s="338" t="s">
        <v>122</v>
      </c>
      <c r="AM197" s="340">
        <f>AM196/AP190</f>
        <v>8.1061788835180455E-3</v>
      </c>
      <c r="AN197" s="324"/>
      <c r="AO197" s="338" t="s">
        <v>122</v>
      </c>
      <c r="AP197" s="340">
        <f>AP196/AS190</f>
        <v>2.029003821893266E-2</v>
      </c>
      <c r="AQ197" s="324"/>
      <c r="AR197" s="338" t="s">
        <v>122</v>
      </c>
      <c r="AS197" s="340"/>
      <c r="AT197" s="324"/>
      <c r="AU197" s="363"/>
      <c r="AV197" s="365"/>
      <c r="AW197" s="366"/>
      <c r="AX197" s="363"/>
      <c r="AY197" s="365"/>
      <c r="AZ197" s="366"/>
      <c r="BA197" s="28"/>
      <c r="BB197" s="28"/>
      <c r="BC197" s="28"/>
      <c r="BD197" s="28"/>
      <c r="BE197" s="28"/>
      <c r="BF197" s="28"/>
      <c r="BG197" s="28"/>
      <c r="BH197" s="28"/>
      <c r="BI197" s="28"/>
      <c r="BJ197" s="28"/>
      <c r="BK197" s="28"/>
      <c r="BL197" s="28"/>
    </row>
    <row r="198" spans="1:64" s="13" customFormat="1" ht="18.75" hidden="1" thickBot="1">
      <c r="A198" s="30"/>
      <c r="B198" s="367"/>
      <c r="C198" s="367"/>
      <c r="D198" s="367"/>
      <c r="E198" s="368"/>
      <c r="F198" s="369"/>
      <c r="G198" s="367"/>
      <c r="H198" s="368"/>
      <c r="I198" s="369"/>
      <c r="J198" s="367"/>
      <c r="K198" s="368"/>
      <c r="L198" s="369"/>
      <c r="M198" s="367"/>
      <c r="N198" s="368"/>
      <c r="O198" s="369"/>
      <c r="P198" s="367"/>
      <c r="Q198" s="368"/>
      <c r="R198" s="369"/>
      <c r="S198" s="367"/>
      <c r="T198" s="368"/>
      <c r="U198" s="369"/>
      <c r="V198" s="367"/>
      <c r="W198" s="368"/>
      <c r="X198" s="369"/>
      <c r="Y198" s="367"/>
      <c r="Z198" s="368"/>
      <c r="AA198" s="369"/>
      <c r="AB198" s="367"/>
      <c r="AC198" s="368"/>
      <c r="AD198" s="369"/>
      <c r="AE198" s="367"/>
      <c r="AF198" s="368"/>
      <c r="AG198" s="369"/>
      <c r="AH198" s="367"/>
      <c r="AI198" s="368"/>
      <c r="AJ198" s="369"/>
      <c r="AK198" s="367"/>
      <c r="AL198" s="368"/>
      <c r="AM198" s="369"/>
      <c r="AN198" s="367"/>
      <c r="AO198" s="368"/>
      <c r="AP198" s="369"/>
      <c r="AQ198" s="367"/>
      <c r="AR198" s="368"/>
      <c r="AS198" s="369"/>
      <c r="AT198" s="367"/>
      <c r="AU198" s="454"/>
      <c r="AV198" s="455"/>
      <c r="AW198" s="456"/>
      <c r="AX198" s="454"/>
      <c r="AY198" s="455"/>
      <c r="AZ198" s="456"/>
      <c r="BA198" s="30"/>
      <c r="BB198" s="30"/>
      <c r="BC198" s="30"/>
      <c r="BD198" s="30"/>
      <c r="BE198" s="30"/>
      <c r="BF198" s="30"/>
      <c r="BG198" s="30"/>
      <c r="BH198" s="30"/>
      <c r="BI198" s="30"/>
      <c r="BJ198" s="30"/>
      <c r="BK198" s="30"/>
      <c r="BL198" s="30"/>
    </row>
    <row r="199" spans="1:64" s="13" customFormat="1" ht="18.75" hidden="1" thickBot="1">
      <c r="A199" s="30"/>
      <c r="B199" s="367"/>
      <c r="C199" s="367"/>
      <c r="D199" s="367"/>
      <c r="E199" s="247" t="s">
        <v>123</v>
      </c>
      <c r="F199" s="370">
        <f>(F190-E178-E180)-(I190-H178-H180)</f>
        <v>24266.03300000017</v>
      </c>
      <c r="G199" s="367"/>
      <c r="H199" s="247" t="s">
        <v>123</v>
      </c>
      <c r="I199" s="370">
        <f>(I190-H178-H180)-(L190-K178-K180)</f>
        <v>18225.239999999874</v>
      </c>
      <c r="J199" s="367"/>
      <c r="K199" s="247" t="s">
        <v>123</v>
      </c>
      <c r="L199" s="370">
        <f>(L190-K178-K180)-(O190-N178-N180)</f>
        <v>7927.6000000000931</v>
      </c>
      <c r="M199" s="367"/>
      <c r="N199" s="247" t="s">
        <v>123</v>
      </c>
      <c r="O199" s="370">
        <f>(O190-N178-N180)-(R190-Q178-Q180)</f>
        <v>5637.0000000001164</v>
      </c>
      <c r="P199" s="367"/>
      <c r="Q199" s="247" t="s">
        <v>123</v>
      </c>
      <c r="R199" s="370">
        <f>(R190-Q178-Q180)-(U190-T178-T180)</f>
        <v>10336.199999999837</v>
      </c>
      <c r="S199" s="367"/>
      <c r="T199" s="247" t="s">
        <v>123</v>
      </c>
      <c r="U199" s="370">
        <f>(U190-T178-T180)-(X190-W178-W180)</f>
        <v>6299.7000000000698</v>
      </c>
      <c r="V199" s="367"/>
      <c r="W199" s="247" t="s">
        <v>123</v>
      </c>
      <c r="X199" s="370">
        <f>(X190-W178-W180)-(AA190-Z178-Z180)</f>
        <v>-2211</v>
      </c>
      <c r="Y199" s="367"/>
      <c r="Z199" s="247" t="s">
        <v>123</v>
      </c>
      <c r="AA199" s="370">
        <f>(AA190-Z178-Z180)-(AD190-AC178-AC180)</f>
        <v>7342.5</v>
      </c>
      <c r="AB199" s="367"/>
      <c r="AC199" s="247" t="s">
        <v>123</v>
      </c>
      <c r="AD199" s="370">
        <f>(AD190-AC178-AC180)-(AG190-AF178-AF180)</f>
        <v>30258.59999999986</v>
      </c>
      <c r="AE199" s="367"/>
      <c r="AF199" s="247" t="s">
        <v>123</v>
      </c>
      <c r="AG199" s="370">
        <f>(AG190-AF178-AF180)-(AJ190-AI178-AI180)</f>
        <v>16197.000000000116</v>
      </c>
      <c r="AH199" s="367"/>
      <c r="AI199" s="247" t="s">
        <v>123</v>
      </c>
      <c r="AJ199" s="370">
        <f>(AJ190-AI178-AI180)-(AM190-AL178-AL180)</f>
        <v>0</v>
      </c>
      <c r="AK199" s="367"/>
      <c r="AL199" s="247" t="s">
        <v>123</v>
      </c>
      <c r="AM199" s="370">
        <f>(AM190-AL178-AL180)-(AP190-AO178-AO180)</f>
        <v>4476.5999999999767</v>
      </c>
      <c r="AN199" s="367"/>
      <c r="AO199" s="247" t="s">
        <v>123</v>
      </c>
      <c r="AP199" s="370">
        <f>AP196</f>
        <v>10982.249999999884</v>
      </c>
      <c r="AQ199" s="367"/>
      <c r="AR199" s="247" t="s">
        <v>123</v>
      </c>
      <c r="AS199" s="370"/>
      <c r="AT199" s="367"/>
      <c r="AU199" s="454"/>
      <c r="AV199" s="455"/>
      <c r="AW199" s="456"/>
      <c r="AX199" s="454"/>
      <c r="AY199" s="455"/>
      <c r="AZ199" s="456"/>
      <c r="BA199" s="30"/>
      <c r="BB199" s="30"/>
      <c r="BC199" s="30"/>
      <c r="BD199" s="30"/>
      <c r="BE199" s="30"/>
      <c r="BF199" s="30"/>
      <c r="BG199" s="30"/>
      <c r="BH199" s="30"/>
      <c r="BI199" s="30"/>
      <c r="BJ199" s="30"/>
      <c r="BK199" s="30"/>
      <c r="BL199" s="30"/>
    </row>
    <row r="200" spans="1:64" s="13" customFormat="1" ht="18.75" hidden="1" thickBot="1">
      <c r="A200" s="30"/>
      <c r="B200" s="367"/>
      <c r="C200" s="367"/>
      <c r="D200" s="367"/>
      <c r="E200" s="247" t="s">
        <v>124</v>
      </c>
      <c r="F200" s="371">
        <f>F199/(I190-H178-H180)</f>
        <v>4.0528847461090076E-2</v>
      </c>
      <c r="G200" s="367"/>
      <c r="H200" s="247" t="s">
        <v>124</v>
      </c>
      <c r="I200" s="371">
        <f>I199/(L190-K178-K180)</f>
        <v>3.1395243076083275E-2</v>
      </c>
      <c r="J200" s="367"/>
      <c r="K200" s="247" t="s">
        <v>124</v>
      </c>
      <c r="L200" s="371">
        <f>L199/(O190-N178-N180)</f>
        <v>1.3845353154657488E-2</v>
      </c>
      <c r="M200" s="367"/>
      <c r="N200" s="247" t="s">
        <v>124</v>
      </c>
      <c r="O200" s="371">
        <f>O199/(R190-Q178-Q180)</f>
        <v>9.9427634073854035E-3</v>
      </c>
      <c r="P200" s="367"/>
      <c r="Q200" s="247" t="s">
        <v>124</v>
      </c>
      <c r="R200" s="371">
        <f>R199/(U190-T178-T180)</f>
        <v>1.856995433776799E-2</v>
      </c>
      <c r="S200" s="367"/>
      <c r="T200" s="247" t="s">
        <v>124</v>
      </c>
      <c r="U200" s="371">
        <f>U199/(X190-W178-W180)</f>
        <v>1.1447566467645311E-2</v>
      </c>
      <c r="V200" s="367"/>
      <c r="W200" s="247" t="s">
        <v>124</v>
      </c>
      <c r="X200" s="371">
        <f>X199/(AA190-Z178-Z180)</f>
        <v>-4.0016643738390693E-3</v>
      </c>
      <c r="Y200" s="367"/>
      <c r="Z200" s="247" t="s">
        <v>124</v>
      </c>
      <c r="AA200" s="371">
        <f>AA199/(AD190-AC178-AC180)</f>
        <v>1.346808819731405E-2</v>
      </c>
      <c r="AB200" s="367"/>
      <c r="AC200" s="247" t="s">
        <v>124</v>
      </c>
      <c r="AD200" s="371">
        <f>AD199/(AG190-AF178-AF180)</f>
        <v>5.8763805569419375E-2</v>
      </c>
      <c r="AE200" s="367"/>
      <c r="AF200" s="247" t="s">
        <v>124</v>
      </c>
      <c r="AG200" s="371">
        <f>AG199/(AJ190-AI178-AI180)</f>
        <v>3.2477011240731546E-2</v>
      </c>
      <c r="AH200" s="367"/>
      <c r="AI200" s="247" t="s">
        <v>124</v>
      </c>
      <c r="AJ200" s="371">
        <f>AJ199/(AM190-AL178-AL180)</f>
        <v>0</v>
      </c>
      <c r="AK200" s="367"/>
      <c r="AL200" s="247" t="s">
        <v>124</v>
      </c>
      <c r="AM200" s="371">
        <f>AM199/(AP190-AO178-AO180)</f>
        <v>9.0574439337219453E-3</v>
      </c>
      <c r="AN200" s="367"/>
      <c r="AO200" s="247" t="s">
        <v>124</v>
      </c>
      <c r="AP200" s="371">
        <f>AP199/AS190</f>
        <v>2.029003821893266E-2</v>
      </c>
      <c r="AQ200" s="367"/>
      <c r="AR200" s="247" t="s">
        <v>124</v>
      </c>
      <c r="AS200" s="371"/>
      <c r="AT200" s="367"/>
      <c r="AU200" s="454"/>
      <c r="AV200" s="455"/>
      <c r="AW200" s="456"/>
      <c r="AX200" s="454"/>
      <c r="AY200" s="455"/>
      <c r="AZ200" s="456"/>
      <c r="BA200" s="30"/>
      <c r="BB200" s="30"/>
      <c r="BC200" s="30"/>
      <c r="BD200" s="30"/>
      <c r="BE200" s="30"/>
      <c r="BF200" s="30"/>
      <c r="BG200" s="30"/>
      <c r="BH200" s="30"/>
      <c r="BI200" s="30"/>
      <c r="BJ200" s="30"/>
      <c r="BK200" s="30"/>
      <c r="BL200" s="30"/>
    </row>
    <row r="201" spans="1:64" ht="16.5" hidden="1" thickBot="1">
      <c r="A201" s="28"/>
      <c r="B201" s="331"/>
      <c r="C201" s="335"/>
      <c r="D201" s="335"/>
      <c r="E201" s="286"/>
      <c r="F201" s="286"/>
      <c r="G201" s="326"/>
      <c r="H201" s="286"/>
      <c r="I201" s="286"/>
      <c r="J201" s="326"/>
      <c r="K201" s="286"/>
      <c r="L201" s="286"/>
      <c r="M201" s="326"/>
      <c r="N201" s="286"/>
      <c r="O201" s="286"/>
      <c r="P201" s="326"/>
      <c r="Q201" s="286"/>
      <c r="R201" s="286"/>
      <c r="S201" s="326"/>
      <c r="T201" s="286"/>
      <c r="U201" s="286"/>
      <c r="V201" s="326"/>
      <c r="W201" s="286"/>
      <c r="X201" s="286"/>
      <c r="Y201" s="326"/>
      <c r="Z201" s="286"/>
      <c r="AA201" s="286"/>
      <c r="AB201" s="326"/>
      <c r="AC201" s="286"/>
      <c r="AD201" s="286"/>
      <c r="AE201" s="326"/>
      <c r="AF201" s="286"/>
      <c r="AG201" s="286"/>
      <c r="AH201" s="326"/>
      <c r="AI201" s="286"/>
      <c r="AJ201" s="286"/>
      <c r="AK201" s="326"/>
      <c r="AL201" s="286"/>
      <c r="AM201" s="286"/>
      <c r="AN201" s="326"/>
      <c r="AO201" s="286"/>
      <c r="AP201" s="286"/>
      <c r="AQ201" s="326"/>
      <c r="AR201" s="286"/>
      <c r="AS201" s="286"/>
      <c r="AT201" s="326"/>
      <c r="AU201" s="28"/>
      <c r="AV201" s="28"/>
      <c r="AW201" s="356"/>
      <c r="AX201" s="28"/>
      <c r="AY201" s="28"/>
      <c r="AZ201" s="356"/>
      <c r="BA201" s="28"/>
      <c r="BB201" s="28"/>
      <c r="BC201" s="28"/>
      <c r="BD201" s="28"/>
      <c r="BE201" s="28"/>
      <c r="BF201" s="28"/>
      <c r="BG201" s="28"/>
      <c r="BH201" s="28"/>
      <c r="BI201" s="28"/>
      <c r="BJ201" s="28"/>
      <c r="BK201" s="28"/>
      <c r="BL201" s="28"/>
    </row>
    <row r="202" spans="1:64" ht="18.75" hidden="1" thickBot="1">
      <c r="A202" s="28"/>
      <c r="B202" s="331"/>
      <c r="C202" s="335"/>
      <c r="D202" s="335"/>
      <c r="E202" s="372" t="s">
        <v>71</v>
      </c>
      <c r="F202" s="373">
        <f>F190-$AS190</f>
        <v>145943.723</v>
      </c>
      <c r="G202" s="326"/>
      <c r="H202" s="372" t="s">
        <v>71</v>
      </c>
      <c r="I202" s="373">
        <f>I190-$AS190</f>
        <v>121677.68999999983</v>
      </c>
      <c r="J202" s="326"/>
      <c r="K202" s="372" t="s">
        <v>71</v>
      </c>
      <c r="L202" s="373">
        <f>L190-$AS190</f>
        <v>103452.44999999995</v>
      </c>
      <c r="M202" s="326"/>
      <c r="N202" s="372" t="s">
        <v>71</v>
      </c>
      <c r="O202" s="373">
        <f>O190-$AS190</f>
        <v>95524.84999999986</v>
      </c>
      <c r="P202" s="326"/>
      <c r="Q202" s="372" t="s">
        <v>71</v>
      </c>
      <c r="R202" s="373">
        <f>R190-$AS190</f>
        <v>89887.849999999744</v>
      </c>
      <c r="S202" s="326"/>
      <c r="T202" s="372" t="s">
        <v>71</v>
      </c>
      <c r="U202" s="373">
        <f>U190-$AS190</f>
        <v>79551.649999999907</v>
      </c>
      <c r="V202" s="326"/>
      <c r="W202" s="372" t="s">
        <v>71</v>
      </c>
      <c r="X202" s="373">
        <f>X190-$AS190</f>
        <v>73251.949999999837</v>
      </c>
      <c r="Y202" s="326"/>
      <c r="Z202" s="372" t="s">
        <v>71</v>
      </c>
      <c r="AA202" s="373">
        <f>AA190-$AS190</f>
        <v>75462.949999999837</v>
      </c>
      <c r="AB202" s="326"/>
      <c r="AC202" s="372" t="s">
        <v>71</v>
      </c>
      <c r="AD202" s="373">
        <f>AD190-$AS190</f>
        <v>68120.449999999837</v>
      </c>
      <c r="AE202" s="326"/>
      <c r="AF202" s="372" t="s">
        <v>71</v>
      </c>
      <c r="AG202" s="373">
        <f>AG190-$AS190</f>
        <v>37861.849999999977</v>
      </c>
      <c r="AH202" s="326"/>
      <c r="AI202" s="372" t="s">
        <v>71</v>
      </c>
      <c r="AJ202" s="373">
        <f>AJ190-$AS190</f>
        <v>21664.84999999986</v>
      </c>
      <c r="AK202" s="326"/>
      <c r="AL202" s="372" t="s">
        <v>71</v>
      </c>
      <c r="AM202" s="373">
        <f>AM190-$AS190</f>
        <v>15458.84999999986</v>
      </c>
      <c r="AN202" s="326"/>
      <c r="AO202" s="372" t="s">
        <v>71</v>
      </c>
      <c r="AP202" s="373">
        <f>AP190-$AS190</f>
        <v>10982.249999999884</v>
      </c>
      <c r="AQ202" s="326"/>
      <c r="AR202" s="372" t="s">
        <v>71</v>
      </c>
      <c r="AS202" s="373"/>
      <c r="AT202" s="326"/>
      <c r="AU202" s="28"/>
      <c r="AV202" s="28"/>
      <c r="AW202" s="28"/>
      <c r="AX202" s="28"/>
      <c r="AY202" s="28"/>
      <c r="AZ202" s="28"/>
      <c r="BA202" s="28"/>
      <c r="BB202" s="28"/>
      <c r="BC202" s="28"/>
      <c r="BD202" s="28"/>
      <c r="BE202" s="28"/>
      <c r="BF202" s="28"/>
      <c r="BG202" s="28"/>
      <c r="BH202" s="28"/>
      <c r="BI202" s="28"/>
      <c r="BJ202" s="28"/>
      <c r="BK202" s="28"/>
      <c r="BL202" s="28"/>
    </row>
    <row r="203" spans="1:64" ht="18.75" hidden="1" thickBot="1">
      <c r="A203" s="28"/>
      <c r="B203" s="331"/>
      <c r="C203" s="335"/>
      <c r="D203" s="335"/>
      <c r="E203" s="372" t="s">
        <v>125</v>
      </c>
      <c r="F203" s="458">
        <f>F202/$AS190</f>
        <v>0.26963543149020947</v>
      </c>
      <c r="G203" s="326"/>
      <c r="H203" s="372" t="s">
        <v>125</v>
      </c>
      <c r="I203" s="458">
        <f>I202/$AS190</f>
        <v>0.22480320339561227</v>
      </c>
      <c r="J203" s="326"/>
      <c r="K203" s="372" t="s">
        <v>125</v>
      </c>
      <c r="L203" s="458">
        <f>L202/$AS190</f>
        <v>0.19113152262443864</v>
      </c>
      <c r="M203" s="326"/>
      <c r="N203" s="372" t="s">
        <v>125</v>
      </c>
      <c r="O203" s="458">
        <f>O202/$AS190</f>
        <v>0.17648504244192467</v>
      </c>
      <c r="P203" s="326"/>
      <c r="Q203" s="372" t="s">
        <v>125</v>
      </c>
      <c r="R203" s="458">
        <f>R202/$AS190</f>
        <v>0.16607051486878374</v>
      </c>
      <c r="S203" s="326"/>
      <c r="T203" s="372" t="s">
        <v>125</v>
      </c>
      <c r="U203" s="458">
        <f>U202/$AS190</f>
        <v>0.14697407351673561</v>
      </c>
      <c r="V203" s="326"/>
      <c r="W203" s="372" t="s">
        <v>125</v>
      </c>
      <c r="X203" s="458">
        <f>X202/$AS190</f>
        <v>0.13533518769936548</v>
      </c>
      <c r="Y203" s="326"/>
      <c r="Z203" s="372" t="s">
        <v>125</v>
      </c>
      <c r="AA203" s="458">
        <f>AA202/$AS190</f>
        <v>0.13942007690713809</v>
      </c>
      <c r="AB203" s="326"/>
      <c r="AC203" s="372" t="s">
        <v>125</v>
      </c>
      <c r="AD203" s="458">
        <f>AD202/$AS190</f>
        <v>0.12585458662759477</v>
      </c>
      <c r="AE203" s="326"/>
      <c r="AF203" s="372" t="s">
        <v>125</v>
      </c>
      <c r="AG203" s="458">
        <f>AG202/$AS190</f>
        <v>6.9950910199595095E-2</v>
      </c>
      <c r="AH203" s="326"/>
      <c r="AI203" s="372" t="s">
        <v>125</v>
      </c>
      <c r="AJ203" s="458">
        <f>AJ202/$AS190</f>
        <v>4.0026464022167141E-2</v>
      </c>
      <c r="AK203" s="326"/>
      <c r="AL203" s="372" t="s">
        <v>125</v>
      </c>
      <c r="AM203" s="458">
        <f>AM202/$AS190</f>
        <v>2.8560691781806792E-2</v>
      </c>
      <c r="AN203" s="326"/>
      <c r="AO203" s="372" t="s">
        <v>125</v>
      </c>
      <c r="AP203" s="458">
        <f>AP202/$AS190</f>
        <v>2.029003821893266E-2</v>
      </c>
      <c r="AQ203" s="326"/>
      <c r="AR203" s="372" t="s">
        <v>125</v>
      </c>
      <c r="AS203" s="374"/>
      <c r="AT203" s="326"/>
      <c r="AU203" s="28"/>
      <c r="AV203" s="28"/>
      <c r="AW203" s="28"/>
      <c r="AX203" s="28"/>
      <c r="AY203" s="28"/>
      <c r="AZ203" s="28"/>
      <c r="BA203" s="28"/>
      <c r="BB203" s="28"/>
      <c r="BC203" s="28"/>
      <c r="BD203" s="28"/>
      <c r="BE203" s="28"/>
      <c r="BF203" s="28"/>
      <c r="BG203" s="28"/>
      <c r="BH203" s="28"/>
      <c r="BI203" s="28"/>
      <c r="BJ203" s="28"/>
      <c r="BK203" s="28"/>
      <c r="BL203" s="28"/>
    </row>
    <row r="204" spans="1:64" ht="16.5" hidden="1" thickBot="1">
      <c r="A204" s="28"/>
      <c r="B204" s="331"/>
      <c r="C204" s="335"/>
      <c r="D204" s="335"/>
      <c r="E204" s="286"/>
      <c r="F204" s="286"/>
      <c r="G204" s="326"/>
      <c r="H204" s="286"/>
      <c r="I204" s="286"/>
      <c r="J204" s="326"/>
      <c r="K204" s="286"/>
      <c r="L204" s="286"/>
      <c r="M204" s="326"/>
      <c r="N204" s="286"/>
      <c r="O204" s="286"/>
      <c r="P204" s="326"/>
      <c r="Q204" s="286"/>
      <c r="R204" s="286"/>
      <c r="S204" s="326"/>
      <c r="T204" s="286"/>
      <c r="U204" s="286"/>
      <c r="V204" s="326"/>
      <c r="W204" s="286"/>
      <c r="X204" s="286"/>
      <c r="Y204" s="326"/>
      <c r="Z204" s="286"/>
      <c r="AA204" s="286"/>
      <c r="AB204" s="326"/>
      <c r="AC204" s="286"/>
      <c r="AD204" s="286"/>
      <c r="AE204" s="326"/>
      <c r="AF204" s="286"/>
      <c r="AG204" s="286"/>
      <c r="AH204" s="326"/>
      <c r="AI204" s="286"/>
      <c r="AJ204" s="286"/>
      <c r="AK204" s="326"/>
      <c r="AL204" s="286"/>
      <c r="AM204" s="286"/>
      <c r="AN204" s="326"/>
      <c r="AO204" s="286"/>
      <c r="AP204" s="286"/>
      <c r="AQ204" s="326"/>
      <c r="AR204" s="286"/>
      <c r="AS204" s="286"/>
      <c r="AT204" s="326"/>
      <c r="AU204" s="28"/>
      <c r="AV204" s="28"/>
      <c r="AW204" s="28"/>
      <c r="AX204" s="28"/>
      <c r="AY204" s="28"/>
      <c r="AZ204" s="28"/>
      <c r="BA204" s="28"/>
      <c r="BB204" s="28"/>
      <c r="BC204" s="28"/>
      <c r="BD204" s="28"/>
      <c r="BE204" s="28"/>
      <c r="BF204" s="28"/>
      <c r="BG204" s="28"/>
      <c r="BH204" s="28"/>
      <c r="BI204" s="28"/>
      <c r="BJ204" s="28"/>
      <c r="BK204" s="28"/>
      <c r="BL204" s="28"/>
    </row>
    <row r="205" spans="1:64" ht="18.75" hidden="1" thickBot="1">
      <c r="A205" s="28"/>
      <c r="B205" s="331"/>
      <c r="C205" s="335"/>
      <c r="D205" s="335"/>
      <c r="E205" s="267" t="s">
        <v>186</v>
      </c>
      <c r="F205" s="373">
        <f>(F190-E178-E180)-($AS190-$AR178-$AR180)</f>
        <v>139737.723</v>
      </c>
      <c r="G205" s="326"/>
      <c r="H205" s="267" t="s">
        <v>186</v>
      </c>
      <c r="I205" s="373">
        <f>(I190-H178-H180)-($AS190-$AR178-$AR180)</f>
        <v>115471.68999999983</v>
      </c>
      <c r="J205" s="326"/>
      <c r="K205" s="267" t="s">
        <v>186</v>
      </c>
      <c r="L205" s="373">
        <f>(L190-K178-K180)-($AS190-$AR178-$AR180)</f>
        <v>97246.449999999953</v>
      </c>
      <c r="M205" s="326"/>
      <c r="N205" s="267" t="s">
        <v>186</v>
      </c>
      <c r="O205" s="373">
        <f>(O190-N178-N180)-($AS190-$AR178-$AR180)</f>
        <v>89318.84999999986</v>
      </c>
      <c r="P205" s="326"/>
      <c r="Q205" s="267" t="s">
        <v>186</v>
      </c>
      <c r="R205" s="373">
        <f>(R190-Q178-Q180)-($AS190-$AR178-$AR180)</f>
        <v>83681.849999999744</v>
      </c>
      <c r="S205" s="326"/>
      <c r="T205" s="267" t="s">
        <v>186</v>
      </c>
      <c r="U205" s="373">
        <f>(U190-T178-T180)-($AS190-$AR178-$AR180)</f>
        <v>73345.649999999907</v>
      </c>
      <c r="V205" s="326"/>
      <c r="W205" s="267" t="s">
        <v>186</v>
      </c>
      <c r="X205" s="373">
        <f>(X190-W178-W180)-($AS190-$AR178-$AR180)</f>
        <v>67045.949999999837</v>
      </c>
      <c r="Y205" s="326"/>
      <c r="Z205" s="267" t="s">
        <v>186</v>
      </c>
      <c r="AA205" s="373">
        <f>(AA190-Z178-Z180)-($AS190-$AR178-$AR180)</f>
        <v>69256.949999999837</v>
      </c>
      <c r="AB205" s="326"/>
      <c r="AC205" s="267" t="s">
        <v>186</v>
      </c>
      <c r="AD205" s="373">
        <f>(AD190-AC178-AC180)-($AS190-$AR178-$AR180)</f>
        <v>61914.449999999837</v>
      </c>
      <c r="AE205" s="326"/>
      <c r="AF205" s="267" t="s">
        <v>186</v>
      </c>
      <c r="AG205" s="373">
        <f>(AG190-AF178-AF180)-($AS190-$AR178-$AR180)</f>
        <v>31655.849999999977</v>
      </c>
      <c r="AH205" s="326"/>
      <c r="AI205" s="267" t="s">
        <v>186</v>
      </c>
      <c r="AJ205" s="373">
        <f>(AJ190-AI178-AI180)-($AS190-$AR178-$AR180)</f>
        <v>15458.84999999986</v>
      </c>
      <c r="AK205" s="326"/>
      <c r="AL205" s="267" t="s">
        <v>186</v>
      </c>
      <c r="AM205" s="373">
        <f>(AM190-AL178-AL180)-($AS190-$AR178-$AR180)</f>
        <v>15458.84999999986</v>
      </c>
      <c r="AN205" s="326"/>
      <c r="AO205" s="267" t="s">
        <v>186</v>
      </c>
      <c r="AP205" s="373">
        <f>(AP190-AO178-AO180)-($AS190-$AR178-$AR180)</f>
        <v>10982.249999999884</v>
      </c>
      <c r="AQ205" s="326"/>
      <c r="AR205" s="267" t="s">
        <v>126</v>
      </c>
      <c r="AS205" s="373"/>
      <c r="AT205" s="326"/>
      <c r="AU205" s="28"/>
      <c r="AV205" s="28"/>
      <c r="AW205" s="28"/>
      <c r="AX205" s="28"/>
      <c r="AY205" s="28"/>
      <c r="AZ205" s="28"/>
      <c r="BA205" s="28"/>
      <c r="BB205" s="28"/>
      <c r="BC205" s="28"/>
      <c r="BD205" s="28"/>
      <c r="BE205" s="28"/>
      <c r="BF205" s="28"/>
      <c r="BG205" s="28"/>
      <c r="BH205" s="28"/>
      <c r="BI205" s="28"/>
      <c r="BJ205" s="28"/>
      <c r="BK205" s="28"/>
      <c r="BL205" s="28"/>
    </row>
    <row r="206" spans="1:64" ht="18.75" hidden="1" thickBot="1">
      <c r="A206" s="28"/>
      <c r="B206" s="331"/>
      <c r="C206" s="335"/>
      <c r="D206" s="335"/>
      <c r="E206" s="269" t="s">
        <v>185</v>
      </c>
      <c r="F206" s="374">
        <f>F205/($AS190-$AR178-$AR180)</f>
        <v>0.28915451757494848</v>
      </c>
      <c r="G206" s="326"/>
      <c r="H206" s="269" t="s">
        <v>185</v>
      </c>
      <c r="I206" s="374">
        <f>I205/($AS190-$AR178-$AR180)</f>
        <v>0.23894164080170358</v>
      </c>
      <c r="J206" s="326"/>
      <c r="K206" s="269" t="s">
        <v>185</v>
      </c>
      <c r="L206" s="374">
        <f>L205/($AS190-$AR178-$AR180)</f>
        <v>0.20122877152954849</v>
      </c>
      <c r="M206" s="326"/>
      <c r="N206" s="269" t="s">
        <v>185</v>
      </c>
      <c r="O206" s="374">
        <f>O205/($AS190-$AR178-$AR180)</f>
        <v>0.18482445847567694</v>
      </c>
      <c r="P206" s="326"/>
      <c r="Q206" s="269" t="s">
        <v>185</v>
      </c>
      <c r="R206" s="374">
        <f>R205/($AS190-$AR178-$AR180)</f>
        <v>0.17316000609605703</v>
      </c>
      <c r="S206" s="326"/>
      <c r="T206" s="269" t="s">
        <v>185</v>
      </c>
      <c r="U206" s="374">
        <f>U205/($AS190-$AR178-$AR180)</f>
        <v>0.15177165898124012</v>
      </c>
      <c r="V206" s="326"/>
      <c r="W206" s="269" t="s">
        <v>185</v>
      </c>
      <c r="X206" s="374">
        <f>X205/($AS190-$AR178-$AR180)</f>
        <v>0.13873590403075389</v>
      </c>
      <c r="Y206" s="326"/>
      <c r="Z206" s="269" t="s">
        <v>185</v>
      </c>
      <c r="AA206" s="374">
        <f>AA205/($AS190-$AR178-$AR180)</f>
        <v>0.14331105113228645</v>
      </c>
      <c r="AB206" s="326"/>
      <c r="AC206" s="269" t="s">
        <v>185</v>
      </c>
      <c r="AD206" s="374">
        <f>AD205/($AS190-$AR178-$AR180)</f>
        <v>0.12811746560854023</v>
      </c>
      <c r="AE206" s="326"/>
      <c r="AF206" s="269" t="s">
        <v>185</v>
      </c>
      <c r="AG206" s="374">
        <f>AG205/($AS190-$AR178-$AR180)</f>
        <v>6.5504373755789089E-2</v>
      </c>
      <c r="AH206" s="326"/>
      <c r="AI206" s="269" t="s">
        <v>185</v>
      </c>
      <c r="AJ206" s="374">
        <f>AJ205/($AS190-$AR178-$AR180)</f>
        <v>3.1988472533028549E-2</v>
      </c>
      <c r="AK206" s="326"/>
      <c r="AL206" s="269" t="s">
        <v>185</v>
      </c>
      <c r="AM206" s="374">
        <f>AM205/($AS190-$AR178-$AR180)</f>
        <v>3.1988472533028549E-2</v>
      </c>
      <c r="AN206" s="326"/>
      <c r="AO206" s="269" t="s">
        <v>185</v>
      </c>
      <c r="AP206" s="374">
        <f>AP205/($AS190-$AR178-$AR180)</f>
        <v>2.2725196406967674E-2</v>
      </c>
      <c r="AQ206" s="326"/>
      <c r="AR206" s="269" t="s">
        <v>117</v>
      </c>
      <c r="AS206" s="374"/>
      <c r="AT206" s="326"/>
      <c r="AU206" s="28"/>
      <c r="AV206" s="28"/>
      <c r="AW206" s="28"/>
      <c r="AX206" s="28"/>
      <c r="AY206" s="28"/>
      <c r="AZ206" s="28"/>
      <c r="BA206" s="28"/>
      <c r="BB206" s="28"/>
      <c r="BC206" s="28"/>
      <c r="BD206" s="28"/>
      <c r="BE206" s="28"/>
      <c r="BF206" s="28"/>
      <c r="BG206" s="28"/>
      <c r="BH206" s="28"/>
      <c r="BI206" s="28"/>
      <c r="BJ206" s="28"/>
      <c r="BK206" s="28"/>
      <c r="BL206" s="28"/>
    </row>
    <row r="207" spans="1:64" ht="16.5" hidden="1" thickBot="1">
      <c r="A207" s="28"/>
      <c r="B207" s="331"/>
      <c r="C207" s="335"/>
      <c r="D207" s="335"/>
      <c r="E207" s="286"/>
      <c r="F207" s="286"/>
      <c r="G207" s="326"/>
      <c r="H207" s="286"/>
      <c r="I207" s="286"/>
      <c r="J207" s="326"/>
      <c r="K207" s="286"/>
      <c r="L207" s="286"/>
      <c r="M207" s="326"/>
      <c r="N207" s="286"/>
      <c r="O207" s="286"/>
      <c r="P207" s="326"/>
      <c r="Q207" s="286"/>
      <c r="R207" s="286"/>
      <c r="S207" s="326"/>
      <c r="T207" s="286"/>
      <c r="U207" s="286"/>
      <c r="V207" s="326"/>
      <c r="W207" s="286"/>
      <c r="X207" s="286"/>
      <c r="Y207" s="326"/>
      <c r="Z207" s="286"/>
      <c r="AA207" s="286"/>
      <c r="AB207" s="326"/>
      <c r="AC207" s="286"/>
      <c r="AD207" s="286"/>
      <c r="AE207" s="326"/>
      <c r="AF207" s="286"/>
      <c r="AG207" s="286"/>
      <c r="AH207" s="326"/>
      <c r="AI207" s="286"/>
      <c r="AJ207" s="286"/>
      <c r="AK207" s="326"/>
      <c r="AL207" s="286"/>
      <c r="AM207" s="286"/>
      <c r="AN207" s="326"/>
      <c r="AO207" s="286"/>
      <c r="AP207" s="286"/>
      <c r="AQ207" s="326"/>
      <c r="AR207" s="286"/>
      <c r="AS207" s="286"/>
      <c r="AT207" s="326"/>
      <c r="AU207" s="28"/>
      <c r="AV207" s="28"/>
      <c r="AW207" s="28"/>
      <c r="AX207" s="28"/>
      <c r="AY207" s="28"/>
      <c r="AZ207" s="28"/>
      <c r="BA207" s="28"/>
      <c r="BB207" s="28"/>
      <c r="BC207" s="28"/>
      <c r="BD207" s="28"/>
      <c r="BE207" s="28"/>
      <c r="BF207" s="28"/>
      <c r="BG207" s="28"/>
      <c r="BH207" s="28"/>
      <c r="BI207" s="28"/>
      <c r="BJ207" s="28"/>
      <c r="BK207" s="28"/>
      <c r="BL207" s="28"/>
    </row>
    <row r="208" spans="1:64" ht="16.5" hidden="1" thickBot="1">
      <c r="A208" s="28"/>
      <c r="B208" s="331"/>
      <c r="C208" s="335"/>
      <c r="D208" s="335"/>
      <c r="E208" s="335" t="s">
        <v>127</v>
      </c>
      <c r="F208" s="337"/>
      <c r="G208" s="326"/>
      <c r="H208" s="335" t="s">
        <v>127</v>
      </c>
      <c r="I208" s="337"/>
      <c r="J208" s="326"/>
      <c r="K208" s="335" t="s">
        <v>127</v>
      </c>
      <c r="L208" s="337"/>
      <c r="M208" s="326"/>
      <c r="N208" s="335" t="s">
        <v>127</v>
      </c>
      <c r="O208" s="337"/>
      <c r="P208" s="326"/>
      <c r="Q208" s="335" t="s">
        <v>127</v>
      </c>
      <c r="R208" s="337"/>
      <c r="S208" s="326"/>
      <c r="T208" s="335" t="s">
        <v>127</v>
      </c>
      <c r="U208" s="337"/>
      <c r="V208" s="326"/>
      <c r="W208" s="335" t="s">
        <v>127</v>
      </c>
      <c r="X208" s="337"/>
      <c r="Y208" s="326"/>
      <c r="Z208" s="335" t="s">
        <v>127</v>
      </c>
      <c r="AA208" s="337"/>
      <c r="AB208" s="326"/>
      <c r="AC208" s="335" t="s">
        <v>127</v>
      </c>
      <c r="AD208" s="337"/>
      <c r="AE208" s="326"/>
      <c r="AF208" s="335" t="s">
        <v>127</v>
      </c>
      <c r="AG208" s="337"/>
      <c r="AH208" s="326"/>
      <c r="AI208" s="335" t="s">
        <v>127</v>
      </c>
      <c r="AJ208" s="337"/>
      <c r="AK208" s="326"/>
      <c r="AL208" s="335" t="s">
        <v>127</v>
      </c>
      <c r="AM208" s="337"/>
      <c r="AN208" s="326"/>
      <c r="AO208" s="335" t="s">
        <v>127</v>
      </c>
      <c r="AP208" s="337"/>
      <c r="AQ208" s="326"/>
      <c r="AR208" s="335" t="s">
        <v>127</v>
      </c>
      <c r="AS208" s="337"/>
      <c r="AT208" s="326"/>
      <c r="AU208" s="28"/>
      <c r="AV208" s="28"/>
      <c r="AW208" s="28"/>
      <c r="AX208" s="28"/>
      <c r="AY208" s="28"/>
      <c r="AZ208" s="28"/>
      <c r="BA208" s="28"/>
      <c r="BB208" s="28"/>
      <c r="BC208" s="28"/>
      <c r="BD208" s="28"/>
      <c r="BE208" s="28"/>
      <c r="BF208" s="28"/>
      <c r="BG208" s="28"/>
      <c r="BH208" s="28"/>
      <c r="BI208" s="28"/>
      <c r="BJ208" s="28"/>
      <c r="BK208" s="28"/>
      <c r="BL208" s="28"/>
    </row>
    <row r="209" spans="1:64" ht="16.5" hidden="1" thickBot="1">
      <c r="A209" s="28"/>
      <c r="B209" s="331"/>
      <c r="C209" s="335"/>
      <c r="D209" s="335"/>
      <c r="E209" s="284" t="s">
        <v>128</v>
      </c>
      <c r="F209" s="375">
        <f>(E160+E161+E162+E163+E164+E165+E166+E167+E168+E169+E170+E171+E172+E173+E174)*0.5</f>
        <v>399359.53397435904</v>
      </c>
      <c r="G209" s="326"/>
      <c r="H209" s="284" t="s">
        <v>128</v>
      </c>
      <c r="I209" s="375">
        <f>(H160+H161+H162+H163+H164+H165+H166+H167+H168+H169+H170+H171+H172+H173+H174)*0.5</f>
        <v>383804.38461538462</v>
      </c>
      <c r="J209" s="326"/>
      <c r="K209" s="284" t="s">
        <v>128</v>
      </c>
      <c r="L209" s="375">
        <f>(K160+K161+K162+K163+K164+K165+K166+K167+K168+K169+K170+K171+K172+K173+K174)*0.5</f>
        <v>372121.5384615385</v>
      </c>
      <c r="M209" s="326"/>
      <c r="N209" s="284" t="s">
        <v>128</v>
      </c>
      <c r="O209" s="375">
        <f>(N160+N161+N162+N163+N164+N165+N166+N167+N168+N169+N170+N171+N172+N173+N174)*0.5</f>
        <v>367039.74358974356</v>
      </c>
      <c r="P209" s="326"/>
      <c r="Q209" s="284" t="s">
        <v>128</v>
      </c>
      <c r="R209" s="375">
        <f>(Q160+Q161+Q162+Q163+Q164+Q165+Q166+Q167+Q168+Q169+Q170+Q171+Q172+Q173+Q174)*0.5</f>
        <v>363426.282051282</v>
      </c>
      <c r="S209" s="326"/>
      <c r="T209" s="284" t="s">
        <v>128</v>
      </c>
      <c r="U209" s="375">
        <f>(T160+T161+T162+T163+T164+T165+T166+T167+T168+T169+T170+T171+T172+T173+T174)*0.5</f>
        <v>356800.51282051287</v>
      </c>
      <c r="V209" s="326"/>
      <c r="W209" s="284" t="s">
        <v>128</v>
      </c>
      <c r="X209" s="375">
        <f>(W160+W161+W162+W163+W164+W165+W166+W167+W168+W169+W170+W171+W172+W173+W174)*0.5</f>
        <v>352762.24358974356</v>
      </c>
      <c r="Y209" s="326"/>
      <c r="Z209" s="284" t="s">
        <v>128</v>
      </c>
      <c r="AA209" s="375">
        <f>(Z160+Z161+Z162+Z163+Z164+Z165+Z166+Z167+Z168+Z169+Z170+Z171+Z172+Z173+Z174)*0.5</f>
        <v>354179.55128205125</v>
      </c>
      <c r="AB209" s="326"/>
      <c r="AC209" s="284" t="s">
        <v>128</v>
      </c>
      <c r="AD209" s="375">
        <f>(AC160+AC161+AC162+AC163+AC164+AC165+AC166+AC167+AC168+AC169+AC170+AC171+AC172+AC173+AC174)*0.5</f>
        <v>349472.8205128205</v>
      </c>
      <c r="AE209" s="326"/>
      <c r="AF209" s="284" t="s">
        <v>128</v>
      </c>
      <c r="AG209" s="375">
        <f>(AF160+AF161+AF162+AF163+AF164+AF165+AF166+AF167+AF168+AF169+AF170+AF171+AF172+AF173+AF174)*0.5</f>
        <v>330076.28205128212</v>
      </c>
      <c r="AH209" s="326"/>
      <c r="AI209" s="284" t="s">
        <v>128</v>
      </c>
      <c r="AJ209" s="375">
        <f>(AI160+AI161+AI162+AI163+AI164+AI165+AI166+AI167+AI168+AI169+AI170+AI171+AI172+AI173+AI174)*0.5</f>
        <v>319693.58974358975</v>
      </c>
      <c r="AK209" s="326"/>
      <c r="AL209" s="284" t="s">
        <v>128</v>
      </c>
      <c r="AM209" s="375">
        <f>(AL160+AL161+AL162+AL163+AL164+AL165+AL166+AL167+AL168+AL169+AL170+AL171+AL172+AL173+AL174)*0.5</f>
        <v>319693.58974358975</v>
      </c>
      <c r="AN209" s="326"/>
      <c r="AO209" s="284" t="s">
        <v>128</v>
      </c>
      <c r="AP209" s="375">
        <f>(AO160+AO161+AO162+AO163+AO164+AO165+AO166+AO167+AO168+AO169+AO170+AO171+AO172+AO173)*0.5</f>
        <v>316823.97435897437</v>
      </c>
      <c r="AQ209" s="326"/>
      <c r="AR209" s="284" t="s">
        <v>128</v>
      </c>
      <c r="AS209" s="375">
        <f>(AR160+AR161+AR162+AR163+AR164+AR165+AR166+AR167+AR168+AR169+AR170+AR171+AR172+AR173)*0.5</f>
        <v>309784.07051282056</v>
      </c>
      <c r="AT209" s="326"/>
      <c r="AU209" s="28"/>
      <c r="AV209" s="28"/>
      <c r="AW209" s="28"/>
      <c r="AX209" s="28"/>
      <c r="AY209" s="28"/>
      <c r="AZ209" s="28"/>
      <c r="BA209" s="28"/>
      <c r="BB209" s="28"/>
      <c r="BC209" s="28"/>
      <c r="BD209" s="28"/>
      <c r="BE209" s="28"/>
      <c r="BF209" s="28"/>
      <c r="BG209" s="28"/>
      <c r="BH209" s="28"/>
      <c r="BI209" s="28"/>
      <c r="BJ209" s="28"/>
      <c r="BK209" s="28"/>
      <c r="BL209" s="28"/>
    </row>
    <row r="210" spans="1:64" ht="16.5" hidden="1" thickBot="1">
      <c r="A210" s="28"/>
      <c r="B210" s="331"/>
      <c r="C210" s="335"/>
      <c r="D210" s="335"/>
      <c r="E210" s="284" t="s">
        <v>129</v>
      </c>
      <c r="F210" s="337"/>
      <c r="G210" s="326"/>
      <c r="H210" s="284" t="s">
        <v>129</v>
      </c>
      <c r="I210" s="337"/>
      <c r="J210" s="326"/>
      <c r="K210" s="284" t="s">
        <v>129</v>
      </c>
      <c r="L210" s="337"/>
      <c r="M210" s="326"/>
      <c r="N210" s="284" t="s">
        <v>129</v>
      </c>
      <c r="O210" s="337"/>
      <c r="P210" s="326"/>
      <c r="Q210" s="284" t="s">
        <v>129</v>
      </c>
      <c r="R210" s="337"/>
      <c r="S210" s="326"/>
      <c r="T210" s="284" t="s">
        <v>129</v>
      </c>
      <c r="U210" s="337"/>
      <c r="V210" s="326"/>
      <c r="W210" s="284" t="s">
        <v>129</v>
      </c>
      <c r="X210" s="337"/>
      <c r="Y210" s="326"/>
      <c r="Z210" s="284" t="s">
        <v>129</v>
      </c>
      <c r="AA210" s="337"/>
      <c r="AB210" s="326"/>
      <c r="AC210" s="284" t="s">
        <v>129</v>
      </c>
      <c r="AD210" s="337"/>
      <c r="AE210" s="326"/>
      <c r="AF210" s="284" t="s">
        <v>129</v>
      </c>
      <c r="AG210" s="337"/>
      <c r="AH210" s="326"/>
      <c r="AI210" s="284" t="s">
        <v>129</v>
      </c>
      <c r="AJ210" s="337"/>
      <c r="AK210" s="326"/>
      <c r="AL210" s="284" t="s">
        <v>129</v>
      </c>
      <c r="AM210" s="337"/>
      <c r="AN210" s="326"/>
      <c r="AO210" s="284" t="s">
        <v>129</v>
      </c>
      <c r="AP210" s="337"/>
      <c r="AQ210" s="326"/>
      <c r="AR210" s="284" t="s">
        <v>129</v>
      </c>
      <c r="AS210" s="337"/>
      <c r="AT210" s="326"/>
      <c r="AU210" s="28"/>
      <c r="AV210" s="28"/>
      <c r="AW210" s="28"/>
      <c r="AX210" s="28"/>
      <c r="AY210" s="28"/>
      <c r="AZ210" s="28"/>
      <c r="BA210" s="28"/>
      <c r="BB210" s="28"/>
      <c r="BC210" s="28"/>
      <c r="BD210" s="28"/>
      <c r="BE210" s="28"/>
      <c r="BF210" s="28"/>
      <c r="BG210" s="28"/>
      <c r="BH210" s="28"/>
      <c r="BI210" s="28"/>
      <c r="BJ210" s="28"/>
      <c r="BK210" s="28"/>
      <c r="BL210" s="28"/>
    </row>
    <row r="211" spans="1:64" ht="16.5" hidden="1" thickBot="1">
      <c r="A211" s="28"/>
      <c r="B211" s="331"/>
      <c r="C211" s="335"/>
      <c r="D211" s="335"/>
      <c r="E211" s="286" t="s">
        <v>130</v>
      </c>
      <c r="F211" s="286">
        <f>F209*0.78</f>
        <v>311500.43650000007</v>
      </c>
      <c r="G211" s="326"/>
      <c r="H211" s="286" t="s">
        <v>130</v>
      </c>
      <c r="I211" s="286">
        <f>I209*0.78</f>
        <v>299367.42000000004</v>
      </c>
      <c r="J211" s="326"/>
      <c r="K211" s="286" t="s">
        <v>130</v>
      </c>
      <c r="L211" s="286">
        <f>L209*0.78</f>
        <v>290254.80000000005</v>
      </c>
      <c r="M211" s="326"/>
      <c r="N211" s="286" t="s">
        <v>130</v>
      </c>
      <c r="O211" s="286">
        <f>O209*0.78</f>
        <v>286291</v>
      </c>
      <c r="P211" s="326"/>
      <c r="Q211" s="286" t="s">
        <v>130</v>
      </c>
      <c r="R211" s="286">
        <f>R209*0.78</f>
        <v>283472.5</v>
      </c>
      <c r="S211" s="326"/>
      <c r="T211" s="286" t="s">
        <v>130</v>
      </c>
      <c r="U211" s="286">
        <f>U209*0.78</f>
        <v>278304.40000000002</v>
      </c>
      <c r="V211" s="326"/>
      <c r="W211" s="286" t="s">
        <v>130</v>
      </c>
      <c r="X211" s="286">
        <f>X209*0.78</f>
        <v>275154.55</v>
      </c>
      <c r="Y211" s="326"/>
      <c r="Z211" s="286" t="s">
        <v>130</v>
      </c>
      <c r="AA211" s="286">
        <f>AA209*0.78</f>
        <v>276260.05</v>
      </c>
      <c r="AB211" s="326"/>
      <c r="AC211" s="286" t="s">
        <v>130</v>
      </c>
      <c r="AD211" s="286">
        <f>AD209*0.78</f>
        <v>272588.79999999999</v>
      </c>
      <c r="AE211" s="326"/>
      <c r="AF211" s="286" t="s">
        <v>130</v>
      </c>
      <c r="AG211" s="286">
        <f>AG209*0.78</f>
        <v>257459.50000000006</v>
      </c>
      <c r="AH211" s="326"/>
      <c r="AI211" s="286" t="s">
        <v>130</v>
      </c>
      <c r="AJ211" s="286">
        <f>AJ209*0.78</f>
        <v>249361</v>
      </c>
      <c r="AK211" s="326"/>
      <c r="AL211" s="286" t="s">
        <v>130</v>
      </c>
      <c r="AM211" s="286">
        <f>AM209*0.78</f>
        <v>249361</v>
      </c>
      <c r="AN211" s="326"/>
      <c r="AO211" s="286" t="s">
        <v>130</v>
      </c>
      <c r="AP211" s="286">
        <f>AP209*0.78</f>
        <v>247122.7</v>
      </c>
      <c r="AQ211" s="326"/>
      <c r="AR211" s="286" t="s">
        <v>130</v>
      </c>
      <c r="AS211" s="286">
        <f>AS209*0.78</f>
        <v>241631.57500000004</v>
      </c>
      <c r="AT211" s="326"/>
      <c r="AU211" s="28"/>
      <c r="AV211" s="28"/>
      <c r="AW211" s="28"/>
      <c r="AX211" s="28"/>
      <c r="AY211" s="28"/>
      <c r="AZ211" s="28"/>
      <c r="BA211" s="28"/>
      <c r="BB211" s="28"/>
      <c r="BC211" s="28"/>
      <c r="BD211" s="28"/>
      <c r="BE211" s="28"/>
      <c r="BF211" s="28"/>
      <c r="BG211" s="28"/>
      <c r="BH211" s="28"/>
      <c r="BI211" s="28"/>
      <c r="BJ211" s="28"/>
      <c r="BK211" s="28"/>
      <c r="BL211" s="28"/>
    </row>
    <row r="212" spans="1:64" ht="16.5" hidden="1" thickBot="1">
      <c r="A212" s="28"/>
      <c r="B212" s="331"/>
      <c r="C212" s="335"/>
      <c r="D212" s="335"/>
      <c r="E212" s="284" t="s">
        <v>131</v>
      </c>
      <c r="F212" s="299"/>
      <c r="G212" s="326"/>
      <c r="H212" s="284" t="s">
        <v>131</v>
      </c>
      <c r="I212" s="299"/>
      <c r="J212" s="326"/>
      <c r="K212" s="284" t="s">
        <v>131</v>
      </c>
      <c r="L212" s="299"/>
      <c r="M212" s="326"/>
      <c r="N212" s="284" t="s">
        <v>131</v>
      </c>
      <c r="O212" s="299"/>
      <c r="P212" s="326"/>
      <c r="Q212" s="284" t="s">
        <v>131</v>
      </c>
      <c r="R212" s="299"/>
      <c r="S212" s="326"/>
      <c r="T212" s="284" t="s">
        <v>131</v>
      </c>
      <c r="U212" s="299"/>
      <c r="V212" s="326"/>
      <c r="W212" s="284" t="s">
        <v>131</v>
      </c>
      <c r="X212" s="299"/>
      <c r="Y212" s="326"/>
      <c r="Z212" s="284" t="s">
        <v>131</v>
      </c>
      <c r="AA212" s="299"/>
      <c r="AB212" s="326"/>
      <c r="AC212" s="284" t="s">
        <v>131</v>
      </c>
      <c r="AD212" s="299"/>
      <c r="AE212" s="326"/>
      <c r="AF212" s="284" t="s">
        <v>131</v>
      </c>
      <c r="AG212" s="299"/>
      <c r="AH212" s="326"/>
      <c r="AI212" s="284" t="s">
        <v>131</v>
      </c>
      <c r="AJ212" s="299"/>
      <c r="AK212" s="326"/>
      <c r="AL212" s="284" t="s">
        <v>131</v>
      </c>
      <c r="AM212" s="299"/>
      <c r="AN212" s="326"/>
      <c r="AO212" s="284" t="s">
        <v>131</v>
      </c>
      <c r="AP212" s="299"/>
      <c r="AQ212" s="326"/>
      <c r="AR212" s="284" t="s">
        <v>131</v>
      </c>
      <c r="AS212" s="299"/>
      <c r="AT212" s="326"/>
      <c r="AU212" s="28"/>
      <c r="AV212" s="28"/>
      <c r="AW212" s="28"/>
      <c r="AX212" s="28"/>
      <c r="AY212" s="28"/>
      <c r="AZ212" s="28"/>
      <c r="BA212" s="28"/>
      <c r="BB212" s="28"/>
      <c r="BC212" s="28"/>
      <c r="BD212" s="28"/>
      <c r="BE212" s="28"/>
      <c r="BF212" s="28"/>
      <c r="BG212" s="28"/>
      <c r="BH212" s="28"/>
      <c r="BI212" s="28"/>
      <c r="BJ212" s="28"/>
      <c r="BK212" s="28"/>
      <c r="BL212" s="28"/>
    </row>
    <row r="213" spans="1:64" ht="16.5" hidden="1" thickBot="1">
      <c r="A213" s="28"/>
      <c r="B213" s="331"/>
      <c r="C213" s="335"/>
      <c r="D213" s="335"/>
      <c r="E213" s="376">
        <v>502</v>
      </c>
      <c r="F213" s="375">
        <f>-(totalremmar25+F209+E172*1.07)*0.19</f>
        <v>-206255.90536034471</v>
      </c>
      <c r="G213" s="326"/>
      <c r="H213" s="376">
        <v>502</v>
      </c>
      <c r="I213" s="375">
        <f>-(totalremmar25+I209+H172*1.07)*0.19</f>
        <v>-200337.60265952852</v>
      </c>
      <c r="J213" s="326"/>
      <c r="K213" s="376">
        <v>502</v>
      </c>
      <c r="L213" s="375">
        <f>-(totalremmar25+L209+K172*1.07)*0.19</f>
        <v>-196229.91547798415</v>
      </c>
      <c r="M213" s="326"/>
      <c r="N213" s="376">
        <v>502</v>
      </c>
      <c r="O213" s="375">
        <f>-(totalremmar25+O209+N172*1.07)*0.19</f>
        <v>-195662.95490754396</v>
      </c>
      <c r="P213" s="326"/>
      <c r="Q213" s="376">
        <v>502</v>
      </c>
      <c r="R213" s="375">
        <f>-(totalremmar25+R209+Q172*1.07)*0.19</f>
        <v>-195711.07171743875</v>
      </c>
      <c r="S213" s="326"/>
      <c r="T213" s="376">
        <v>502</v>
      </c>
      <c r="U213" s="375">
        <f>-(totalremmar25+U209+T172*1.07)*0.19</f>
        <v>-193824.82983274246</v>
      </c>
      <c r="V213" s="326"/>
      <c r="W213" s="376">
        <v>502</v>
      </c>
      <c r="X213" s="375">
        <f>-(totalremmar25+X209+W172*1.07)*0.19</f>
        <v>-193114.92678369561</v>
      </c>
      <c r="Y213" s="326"/>
      <c r="Z213" s="376">
        <v>502</v>
      </c>
      <c r="AA213" s="375">
        <f>-(totalremmar25+AA209+Z172*1.07)*0.19</f>
        <v>-195415.20029206324</v>
      </c>
      <c r="AB213" s="326"/>
      <c r="AC213" s="376">
        <v>502</v>
      </c>
      <c r="AD213" s="375">
        <f>-(totalremmar25+AD209+AC172*1.07)*0.19</f>
        <v>-195518.20517250008</v>
      </c>
      <c r="AE213" s="326"/>
      <c r="AF213" s="376">
        <v>502</v>
      </c>
      <c r="AG213" s="375">
        <f>-(totalremmar25+AG209+AF172*1.07)*0.19</f>
        <v>-188143.48076923078</v>
      </c>
      <c r="AH213" s="326"/>
      <c r="AI213" s="376">
        <v>502</v>
      </c>
      <c r="AJ213" s="375">
        <f>-(totalremfeb25+AJ209+AI172*1.07)*0.19</f>
        <v>-182225.34615384616</v>
      </c>
      <c r="AK213" s="326"/>
      <c r="AL213" s="376">
        <v>502</v>
      </c>
      <c r="AM213" s="375">
        <f>-(totalremfeb25+AM209+AL172*1.07)*0.19</f>
        <v>-182225.34615384616</v>
      </c>
      <c r="AN213" s="326"/>
      <c r="AO213" s="376">
        <v>502</v>
      </c>
      <c r="AP213" s="375">
        <f>-(totalremene25+AP209+AO172*1.07)*0.19</f>
        <v>-180589.66538461536</v>
      </c>
      <c r="AQ213" s="326"/>
      <c r="AR213" s="376">
        <v>502</v>
      </c>
      <c r="AS213" s="375">
        <f>-(totalremdic24+AS209+AR172*1.07)*0.19</f>
        <v>-176576.92019230771</v>
      </c>
      <c r="AT213" s="326"/>
      <c r="AU213" s="28"/>
      <c r="AV213" s="28"/>
      <c r="AW213" s="28"/>
      <c r="AX213" s="28"/>
      <c r="AY213" s="28"/>
      <c r="AZ213" s="28"/>
      <c r="BA213" s="28"/>
      <c r="BB213" s="28"/>
      <c r="BC213" s="28"/>
      <c r="BD213" s="28"/>
      <c r="BE213" s="28"/>
      <c r="BF213" s="28"/>
      <c r="BG213" s="28"/>
      <c r="BH213" s="28"/>
      <c r="BI213" s="28"/>
      <c r="BJ213" s="28"/>
      <c r="BK213" s="28"/>
      <c r="BL213" s="28"/>
    </row>
    <row r="214" spans="1:64" ht="16.5" hidden="1" thickBot="1">
      <c r="A214" s="28"/>
      <c r="B214" s="331"/>
      <c r="C214" s="335"/>
      <c r="D214" s="335"/>
      <c r="E214" s="376">
        <v>505</v>
      </c>
      <c r="F214" s="375">
        <f>-(totalremmar25+F209+E172*1.07)*0.03</f>
        <v>-32566.721899001794</v>
      </c>
      <c r="G214" s="326"/>
      <c r="H214" s="376">
        <v>505</v>
      </c>
      <c r="I214" s="375">
        <f>-(totalremmar25+I209+H172*1.07)*0.03</f>
        <v>-31632.253051504504</v>
      </c>
      <c r="J214" s="326"/>
      <c r="K214" s="376">
        <v>505</v>
      </c>
      <c r="L214" s="375">
        <f>-(totalremmar25+L209+K172*1.07)*0.03</f>
        <v>-30983.670864944866</v>
      </c>
      <c r="M214" s="326"/>
      <c r="N214" s="376">
        <v>505</v>
      </c>
      <c r="O214" s="375">
        <f>-(totalremmar25+O209+N172*1.07)*0.03</f>
        <v>-30894.150774875361</v>
      </c>
      <c r="P214" s="326"/>
      <c r="Q214" s="376">
        <v>505</v>
      </c>
      <c r="R214" s="375">
        <f>-(totalremmar25+R209+Q172*1.07)*0.03</f>
        <v>-30901.74816591138</v>
      </c>
      <c r="S214" s="326"/>
      <c r="T214" s="376">
        <v>505</v>
      </c>
      <c r="U214" s="375">
        <f>-(totalremmar25+U209+T172*1.07)*0.03</f>
        <v>-30603.920499906701</v>
      </c>
      <c r="V214" s="326"/>
      <c r="W214" s="376">
        <v>505</v>
      </c>
      <c r="X214" s="375">
        <f>-(totalremmar25+X209+W172*1.07)*0.03</f>
        <v>-30491.83054479404</v>
      </c>
      <c r="Y214" s="326"/>
      <c r="Z214" s="376">
        <v>505</v>
      </c>
      <c r="AA214" s="375">
        <f>-(totalremmar25+AA209+Z172*1.07)*0.03</f>
        <v>-30855.031625062613</v>
      </c>
      <c r="AB214" s="326"/>
      <c r="AC214" s="376">
        <v>505</v>
      </c>
      <c r="AD214" s="375">
        <f>-(totalremmar25+AD209+AC172*1.07)*0.03</f>
        <v>-30871.295553552642</v>
      </c>
      <c r="AE214" s="326"/>
      <c r="AF214" s="376">
        <v>505</v>
      </c>
      <c r="AG214" s="375">
        <f>-(totalremmar25+AG209+AF172*1.07)*0.03</f>
        <v>-29706.865384615383</v>
      </c>
      <c r="AH214" s="326"/>
      <c r="AI214" s="376">
        <v>505</v>
      </c>
      <c r="AJ214" s="375">
        <f>-(totalremfeb25+AJ209+AI172*1.07)*0.03</f>
        <v>-28772.423076923078</v>
      </c>
      <c r="AK214" s="326"/>
      <c r="AL214" s="376">
        <v>505</v>
      </c>
      <c r="AM214" s="375">
        <f>-(totalremfeb25+AM209+AL172*1.07)*0.03</f>
        <v>-28772.423076923078</v>
      </c>
      <c r="AN214" s="326"/>
      <c r="AO214" s="376">
        <v>505</v>
      </c>
      <c r="AP214" s="375">
        <f>-(totalremene25+AP209+AO172*1.07)*0.03</f>
        <v>-28514.15769230769</v>
      </c>
      <c r="AQ214" s="326"/>
      <c r="AR214" s="376">
        <v>505</v>
      </c>
      <c r="AS214" s="375">
        <f>-(totalremdic24+AS209+AR172*1.07)*0.03</f>
        <v>-27880.566346153846</v>
      </c>
      <c r="AT214" s="326"/>
      <c r="AU214" s="28"/>
      <c r="AV214" s="28"/>
      <c r="AW214" s="28"/>
      <c r="AX214" s="28"/>
      <c r="AY214" s="28"/>
      <c r="AZ214" s="28"/>
      <c r="BA214" s="28"/>
      <c r="BB214" s="28"/>
      <c r="BC214" s="28"/>
      <c r="BD214" s="28"/>
      <c r="BE214" s="28"/>
      <c r="BF214" s="28"/>
      <c r="BG214" s="28"/>
      <c r="BH214" s="28"/>
      <c r="BI214" s="28"/>
      <c r="BJ214" s="28"/>
      <c r="BK214" s="28"/>
      <c r="BL214" s="28"/>
    </row>
    <row r="215" spans="1:64" ht="16.5" hidden="1" thickBot="1">
      <c r="A215" s="28"/>
      <c r="B215" s="331"/>
      <c r="C215" s="335"/>
      <c r="D215" s="335"/>
      <c r="E215" s="337"/>
      <c r="F215" s="337"/>
      <c r="G215" s="326"/>
      <c r="H215" s="337"/>
      <c r="I215" s="337"/>
      <c r="J215" s="326"/>
      <c r="K215" s="337"/>
      <c r="L215" s="337"/>
      <c r="M215" s="326"/>
      <c r="N215" s="337"/>
      <c r="O215" s="337"/>
      <c r="P215" s="326"/>
      <c r="Q215" s="337"/>
      <c r="R215" s="337"/>
      <c r="S215" s="326"/>
      <c r="T215" s="337"/>
      <c r="U215" s="337"/>
      <c r="V215" s="326"/>
      <c r="W215" s="337"/>
      <c r="X215" s="337"/>
      <c r="Y215" s="326"/>
      <c r="Z215" s="337"/>
      <c r="AA215" s="337"/>
      <c r="AB215" s="326"/>
      <c r="AC215" s="337"/>
      <c r="AD215" s="337"/>
      <c r="AE215" s="326"/>
      <c r="AF215" s="337"/>
      <c r="AG215" s="337"/>
      <c r="AH215" s="326"/>
      <c r="AI215" s="337"/>
      <c r="AJ215" s="337"/>
      <c r="AK215" s="326"/>
      <c r="AL215" s="337"/>
      <c r="AM215" s="337"/>
      <c r="AN215" s="326"/>
      <c r="AO215" s="337"/>
      <c r="AP215" s="337"/>
      <c r="AQ215" s="326"/>
      <c r="AR215" s="337"/>
      <c r="AS215" s="337"/>
      <c r="AT215" s="326"/>
      <c r="AU215" s="28"/>
      <c r="AV215" s="28"/>
      <c r="AW215" s="28"/>
      <c r="AX215" s="28"/>
      <c r="AY215" s="28"/>
      <c r="AZ215" s="28"/>
      <c r="BA215" s="28"/>
      <c r="BB215" s="28"/>
      <c r="BC215" s="28"/>
      <c r="BD215" s="28"/>
      <c r="BE215" s="28"/>
      <c r="BF215" s="28"/>
      <c r="BG215" s="28"/>
      <c r="BH215" s="28"/>
      <c r="BI215" s="28"/>
      <c r="BJ215" s="28"/>
      <c r="BK215" s="28"/>
      <c r="BL215" s="28"/>
    </row>
    <row r="216" spans="1:64" ht="18.75" hidden="1" thickBot="1">
      <c r="A216" s="28"/>
      <c r="B216" s="331"/>
      <c r="C216" s="335"/>
      <c r="D216" s="335"/>
      <c r="E216" s="377" t="s">
        <v>132</v>
      </c>
      <c r="F216" s="299"/>
      <c r="G216" s="326"/>
      <c r="H216" s="377" t="s">
        <v>132</v>
      </c>
      <c r="I216" s="299"/>
      <c r="J216" s="326"/>
      <c r="K216" s="377" t="s">
        <v>132</v>
      </c>
      <c r="L216" s="299"/>
      <c r="M216" s="326"/>
      <c r="N216" s="377" t="s">
        <v>132</v>
      </c>
      <c r="O216" s="299"/>
      <c r="P216" s="326"/>
      <c r="Q216" s="377" t="s">
        <v>132</v>
      </c>
      <c r="R216" s="299"/>
      <c r="S216" s="326"/>
      <c r="T216" s="377" t="s">
        <v>132</v>
      </c>
      <c r="U216" s="299"/>
      <c r="V216" s="326"/>
      <c r="W216" s="377" t="s">
        <v>132</v>
      </c>
      <c r="X216" s="299"/>
      <c r="Y216" s="326"/>
      <c r="Z216" s="377" t="s">
        <v>132</v>
      </c>
      <c r="AA216" s="299"/>
      <c r="AB216" s="326"/>
      <c r="AC216" s="377" t="s">
        <v>132</v>
      </c>
      <c r="AD216" s="299"/>
      <c r="AE216" s="326"/>
      <c r="AF216" s="377" t="s">
        <v>132</v>
      </c>
      <c r="AG216" s="299"/>
      <c r="AH216" s="326"/>
      <c r="AI216" s="377" t="s">
        <v>132</v>
      </c>
      <c r="AJ216" s="299"/>
      <c r="AK216" s="326"/>
      <c r="AL216" s="377" t="s">
        <v>132</v>
      </c>
      <c r="AM216" s="299"/>
      <c r="AN216" s="326"/>
      <c r="AO216" s="377" t="s">
        <v>132</v>
      </c>
      <c r="AP216" s="299"/>
      <c r="AQ216" s="326"/>
      <c r="AR216" s="377" t="s">
        <v>132</v>
      </c>
      <c r="AS216" s="299"/>
      <c r="AT216" s="326"/>
      <c r="AU216" s="28"/>
      <c r="AV216" s="459"/>
      <c r="AW216" s="28"/>
      <c r="AX216" s="28"/>
      <c r="AY216" s="459"/>
      <c r="AZ216" s="28"/>
      <c r="BA216" s="28"/>
      <c r="BB216" s="28"/>
      <c r="BC216" s="28"/>
      <c r="BD216" s="28"/>
      <c r="BE216" s="28"/>
      <c r="BF216" s="28"/>
      <c r="BG216" s="28"/>
      <c r="BH216" s="28"/>
      <c r="BI216" s="28"/>
      <c r="BJ216" s="28"/>
      <c r="BK216" s="28"/>
      <c r="BL216" s="28"/>
    </row>
    <row r="217" spans="1:64" ht="18.75" hidden="1" thickBot="1">
      <c r="A217" s="28"/>
      <c r="B217" s="331"/>
      <c r="C217" s="335"/>
      <c r="D217" s="335"/>
      <c r="E217" s="377"/>
      <c r="F217" s="336">
        <f>E181+F209+F210+F213+F214</f>
        <v>1023461.9746637306</v>
      </c>
      <c r="G217" s="326"/>
      <c r="H217" s="377"/>
      <c r="I217" s="336">
        <f>H181+I209+I210+I213+I214</f>
        <v>983649.298135121</v>
      </c>
      <c r="J217" s="326"/>
      <c r="K217" s="377"/>
      <c r="L217" s="336">
        <f>K181+L209+L210+L213+L214</f>
        <v>953357.02904168656</v>
      </c>
      <c r="M217" s="326"/>
      <c r="N217" s="377"/>
      <c r="O217" s="336">
        <f>N181+O209+O210+O213+O214</f>
        <v>938768.12508681149</v>
      </c>
      <c r="P217" s="326"/>
      <c r="Q217" s="377"/>
      <c r="R217" s="336">
        <f>Q181+R209+R210+R213+R214</f>
        <v>927872.02627049584</v>
      </c>
      <c r="S217" s="326"/>
      <c r="T217" s="377"/>
      <c r="U217" s="336">
        <f>T181+U209+U210+U213+U214</f>
        <v>910178.7881288894</v>
      </c>
      <c r="V217" s="326"/>
      <c r="W217" s="377"/>
      <c r="X217" s="336">
        <f>W181+X209+X210+X213+X214</f>
        <v>898885.97344074107</v>
      </c>
      <c r="Y217" s="326"/>
      <c r="Z217" s="377"/>
      <c r="AA217" s="336">
        <f>Z181+AA209+AA210+AA213+AA214</f>
        <v>900474.421929028</v>
      </c>
      <c r="AB217" s="326"/>
      <c r="AC217" s="377"/>
      <c r="AD217" s="336">
        <f>AC181+AD209+AD210+AD213+AD214</f>
        <v>886234.96081240871</v>
      </c>
      <c r="AE217" s="326"/>
      <c r="AF217" s="377"/>
      <c r="AG217" s="336">
        <f>AF181+AG209+AG210+AG213+AG214</f>
        <v>836584.50000000035</v>
      </c>
      <c r="AH217" s="326"/>
      <c r="AI217" s="377"/>
      <c r="AJ217" s="336">
        <f>AI181+AJ209+AJ210+AJ213+AJ214</f>
        <v>812289</v>
      </c>
      <c r="AK217" s="326"/>
      <c r="AL217" s="377"/>
      <c r="AM217" s="336">
        <f>AL181+AM209+AM210+AM213+AM214</f>
        <v>806083</v>
      </c>
      <c r="AN217" s="326"/>
      <c r="AO217" s="377"/>
      <c r="AP217" s="336">
        <f>AO181+AP209+AP210+AP213+AP214</f>
        <v>799368.1</v>
      </c>
      <c r="AQ217" s="326"/>
      <c r="AR217" s="377"/>
      <c r="AS217" s="336">
        <f>AR181+AS209+AS210+AS213+AS214</f>
        <v>782894.72500000021</v>
      </c>
      <c r="AT217" s="326"/>
      <c r="AU217" s="28"/>
      <c r="AV217" s="459"/>
      <c r="AW217" s="28"/>
      <c r="AX217" s="28"/>
      <c r="AY217" s="459"/>
      <c r="AZ217" s="28"/>
      <c r="BA217" s="28"/>
      <c r="BB217" s="28"/>
      <c r="BC217" s="28"/>
      <c r="BD217" s="28"/>
      <c r="BE217" s="28"/>
      <c r="BF217" s="28"/>
      <c r="BG217" s="28"/>
      <c r="BH217" s="28"/>
      <c r="BI217" s="28"/>
      <c r="BJ217" s="28"/>
      <c r="BK217" s="28"/>
      <c r="BL217" s="28"/>
    </row>
    <row r="218" spans="1:64" ht="18.75" hidden="1" thickBot="1">
      <c r="A218" s="28"/>
      <c r="B218" s="331"/>
      <c r="C218" s="335"/>
      <c r="D218" s="335"/>
      <c r="E218" s="378" t="s">
        <v>133</v>
      </c>
      <c r="F218" s="379"/>
      <c r="G218" s="326"/>
      <c r="H218" s="378" t="s">
        <v>133</v>
      </c>
      <c r="I218" s="379"/>
      <c r="J218" s="326"/>
      <c r="K218" s="378" t="s">
        <v>133</v>
      </c>
      <c r="L218" s="379"/>
      <c r="M218" s="326"/>
      <c r="N218" s="378" t="s">
        <v>133</v>
      </c>
      <c r="O218" s="379"/>
      <c r="P218" s="326"/>
      <c r="Q218" s="378" t="s">
        <v>133</v>
      </c>
      <c r="R218" s="379"/>
      <c r="S218" s="326"/>
      <c r="T218" s="378" t="s">
        <v>133</v>
      </c>
      <c r="U218" s="379"/>
      <c r="V218" s="326"/>
      <c r="W218" s="378" t="s">
        <v>133</v>
      </c>
      <c r="X218" s="379"/>
      <c r="Y218" s="326"/>
      <c r="Z218" s="378" t="s">
        <v>133</v>
      </c>
      <c r="AA218" s="379"/>
      <c r="AB218" s="326"/>
      <c r="AC218" s="378" t="s">
        <v>133</v>
      </c>
      <c r="AD218" s="379"/>
      <c r="AE218" s="326"/>
      <c r="AF218" s="378" t="s">
        <v>133</v>
      </c>
      <c r="AG218" s="379"/>
      <c r="AH218" s="326"/>
      <c r="AI218" s="378" t="s">
        <v>133</v>
      </c>
      <c r="AJ218" s="379"/>
      <c r="AK218" s="326"/>
      <c r="AL218" s="378" t="s">
        <v>133</v>
      </c>
      <c r="AM218" s="379"/>
      <c r="AN218" s="326"/>
      <c r="AO218" s="378" t="s">
        <v>133</v>
      </c>
      <c r="AP218" s="379"/>
      <c r="AQ218" s="326"/>
      <c r="AR218" s="378" t="s">
        <v>133</v>
      </c>
      <c r="AS218" s="379"/>
      <c r="AT218" s="326"/>
      <c r="AU218" s="28"/>
      <c r="AV218" s="459"/>
      <c r="AW218" s="28"/>
      <c r="AX218" s="28"/>
      <c r="AY218" s="459"/>
      <c r="AZ218" s="28"/>
      <c r="BA218" s="28"/>
      <c r="BB218" s="28"/>
      <c r="BC218" s="28"/>
      <c r="BD218" s="28"/>
      <c r="BE218" s="28"/>
      <c r="BF218" s="28"/>
      <c r="BG218" s="28"/>
      <c r="BH218" s="28"/>
      <c r="BI218" s="28"/>
      <c r="BJ218" s="28"/>
      <c r="BK218" s="28"/>
      <c r="BL218" s="28"/>
    </row>
    <row r="219" spans="1:64" ht="16.5" hidden="1" thickBot="1">
      <c r="A219" s="28"/>
      <c r="B219" s="331"/>
      <c r="C219" s="335"/>
      <c r="D219" s="335"/>
      <c r="E219" s="286"/>
      <c r="F219" s="380">
        <f>F217-F190+F186</f>
        <v>336255.10166373046</v>
      </c>
      <c r="G219" s="326"/>
      <c r="H219" s="286"/>
      <c r="I219" s="380">
        <f>I217-I190+I186</f>
        <v>320708.45813512104</v>
      </c>
      <c r="J219" s="326"/>
      <c r="K219" s="286"/>
      <c r="L219" s="380">
        <f>L217-L190+L186</f>
        <v>308641.42904168647</v>
      </c>
      <c r="M219" s="326"/>
      <c r="N219" s="286"/>
      <c r="O219" s="380">
        <f>O217-O190+O186</f>
        <v>301980.12508681149</v>
      </c>
      <c r="P219" s="326"/>
      <c r="Q219" s="286"/>
      <c r="R219" s="380">
        <f>R217-R190+R186</f>
        <v>296721.02627049596</v>
      </c>
      <c r="S219" s="326"/>
      <c r="T219" s="286"/>
      <c r="U219" s="380">
        <f>U217-U190+U186</f>
        <v>289363.98812888935</v>
      </c>
      <c r="V219" s="326"/>
      <c r="W219" s="286"/>
      <c r="X219" s="380">
        <f>X217-X190+X186</f>
        <v>284370.8734407411</v>
      </c>
      <c r="Y219" s="326"/>
      <c r="Z219" s="286"/>
      <c r="AA219" s="380">
        <f>AA217-AA190+AA186</f>
        <v>283748.32192902802</v>
      </c>
      <c r="AB219" s="326"/>
      <c r="AC219" s="286"/>
      <c r="AD219" s="380">
        <f>AD217-AD190+AD186</f>
        <v>276851.36081240873</v>
      </c>
      <c r="AE219" s="326"/>
      <c r="AF219" s="286"/>
      <c r="AG219" s="380">
        <f>AG217-AG190+AG186</f>
        <v>257459.50000000023</v>
      </c>
      <c r="AH219" s="326"/>
      <c r="AI219" s="286"/>
      <c r="AJ219" s="380">
        <f>AJ217-AJ190+AJ186</f>
        <v>249361</v>
      </c>
      <c r="AK219" s="326"/>
      <c r="AL219" s="286"/>
      <c r="AM219" s="380">
        <f>AM217-AM190+AM186</f>
        <v>249361</v>
      </c>
      <c r="AN219" s="326"/>
      <c r="AO219" s="286"/>
      <c r="AP219" s="380">
        <f>AP217-AP190+AP186</f>
        <v>247122.69999999995</v>
      </c>
      <c r="AQ219" s="326"/>
      <c r="AR219" s="286"/>
      <c r="AS219" s="380">
        <f>AS217-AS190+AS186</f>
        <v>241631.57500000007</v>
      </c>
      <c r="AT219" s="326"/>
      <c r="AU219" s="28"/>
      <c r="AV219" s="28"/>
      <c r="AW219" s="28"/>
      <c r="AX219" s="28"/>
      <c r="AY219" s="28"/>
      <c r="AZ219" s="28"/>
      <c r="BA219" s="28"/>
      <c r="BB219" s="28"/>
      <c r="BC219" s="28"/>
      <c r="BD219" s="28"/>
      <c r="BE219" s="28"/>
      <c r="BF219" s="28"/>
      <c r="BG219" s="28"/>
      <c r="BH219" s="28"/>
      <c r="BI219" s="28"/>
      <c r="BJ219" s="28"/>
      <c r="BK219" s="28"/>
      <c r="BL219" s="28"/>
    </row>
    <row r="220" spans="1:64" ht="27" hidden="1" thickBot="1">
      <c r="A220" s="28"/>
      <c r="B220" s="286"/>
      <c r="C220" s="286"/>
      <c r="D220" s="286"/>
      <c r="E220" s="21">
        <v>45992</v>
      </c>
      <c r="F220" s="22">
        <f>(1+Aumentodic25respene25)*(1+Aumentoene25respdic24)-1</f>
        <v>0.29963870703408513</v>
      </c>
      <c r="G220" s="20"/>
      <c r="H220" s="21">
        <v>45962</v>
      </c>
      <c r="I220" s="22">
        <f>(1+Aumentonov25respene25)*(1+Aumentoene25respdic24)-1</f>
        <v>0.26794020198447344</v>
      </c>
      <c r="J220" s="20"/>
      <c r="K220" s="21">
        <v>45931</v>
      </c>
      <c r="L220" s="22" cm="1">
        <f t="array" ref="L220">(1+Aumentooct25respene25)*(1+Aumentoene25respdic24)-1</f>
        <v>0.24050593609017179</v>
      </c>
      <c r="M220" s="20"/>
      <c r="N220" s="21">
        <v>45901</v>
      </c>
      <c r="O220" s="22" cm="1">
        <f t="array" ref="O220">(1+Aumentosep25respene25)*(1+Aumentoene25respdic24)-1</f>
        <v>0.21545725853450493</v>
      </c>
      <c r="P220" s="20"/>
      <c r="Q220" s="21">
        <v>45870</v>
      </c>
      <c r="R220" s="22" cm="1">
        <f t="array" ref="R220">(1+Aumentoago25respene25)*(1+Aumentoene25respdic24)-1</f>
        <v>0.19279416931747306</v>
      </c>
      <c r="S220" s="20"/>
      <c r="T220" s="21">
        <v>45839</v>
      </c>
      <c r="U220" s="22">
        <f>(1+Aumentojul25respene25)*(1+Aumentoene25respdic24)-1</f>
        <v>0.17246852876408125</v>
      </c>
      <c r="V220" s="20"/>
      <c r="W220" s="21">
        <v>45809</v>
      </c>
      <c r="X220" s="22">
        <f>(1+Aumentojun25respene25)*(1+Aumentoene25respdic24)-1</f>
        <v>0.15535219987701421</v>
      </c>
      <c r="Y220" s="20"/>
      <c r="Z220" s="21">
        <v>45778</v>
      </c>
      <c r="AA220" s="22" cm="1">
        <f t="array" ref="AA220">(1+Aumentomay25respene25)*(1+Aumentoene25respdic24)-1</f>
        <v>0.13930564154538927</v>
      </c>
      <c r="AB220" s="20"/>
      <c r="AC220" s="21">
        <v>45748</v>
      </c>
      <c r="AD220" s="22">
        <f>(1+Aumentoabr25respene25)*(1+Aumentoene25respdic24)-1</f>
        <v>0.10935206599302227</v>
      </c>
      <c r="AE220" s="20"/>
      <c r="AF220" s="21">
        <v>45717</v>
      </c>
      <c r="AG220" s="22">
        <f>(1+Aumentomar25respene25)*(1+Aumentoene25respdic24)-1</f>
        <v>6.9770555441680093E-2</v>
      </c>
      <c r="AH220" s="20"/>
      <c r="AI220" s="787" t="s">
        <v>201</v>
      </c>
      <c r="AJ220" s="20"/>
      <c r="AK220" s="20"/>
      <c r="AL220" s="21" t="s">
        <v>200</v>
      </c>
      <c r="AM220" s="22">
        <f>(1+Aumentofeb25respene25)*(1+Aumentoene25respdic24)-1</f>
        <v>4.522515072791311E-2</v>
      </c>
      <c r="AN220" s="20"/>
      <c r="AO220" s="21">
        <v>45658</v>
      </c>
      <c r="AP220" s="22">
        <v>2.2725196406967674E-2</v>
      </c>
      <c r="AQ220" s="20"/>
      <c r="AR220" s="728">
        <v>45627</v>
      </c>
      <c r="AS220" s="729">
        <f>Aumentodic24</f>
        <v>1.1820279278367574</v>
      </c>
      <c r="AT220" s="20"/>
      <c r="AU220" s="460"/>
      <c r="AV220" s="460"/>
      <c r="AW220" s="461"/>
      <c r="AX220" s="462"/>
      <c r="AY220" s="461"/>
      <c r="AZ220" s="461"/>
      <c r="BA220" s="28"/>
      <c r="BB220" s="28"/>
      <c r="BC220" s="28"/>
      <c r="BD220" s="28"/>
      <c r="BE220" s="28"/>
      <c r="BF220" s="28"/>
      <c r="BG220" s="28"/>
      <c r="BH220" s="28"/>
      <c r="BI220" s="28"/>
      <c r="BJ220" s="28"/>
      <c r="BK220" s="28"/>
      <c r="BL220" s="28"/>
    </row>
    <row r="221" spans="1:64" ht="13.5" thickBot="1">
      <c r="A221" s="152"/>
      <c r="B221" s="381"/>
      <c r="C221" s="152"/>
      <c r="D221" s="152"/>
      <c r="E221" s="152"/>
      <c r="F221" s="152"/>
      <c r="G221" s="152"/>
      <c r="H221" s="152"/>
      <c r="I221" s="152"/>
      <c r="J221" s="152"/>
      <c r="K221" s="152"/>
      <c r="L221" s="152"/>
      <c r="M221" s="152"/>
      <c r="N221" s="152"/>
      <c r="O221" s="152"/>
      <c r="P221" s="152"/>
      <c r="Q221" s="152"/>
      <c r="R221" s="152"/>
      <c r="S221" s="152"/>
      <c r="T221" s="152"/>
      <c r="U221" s="152"/>
      <c r="V221" s="152"/>
    </row>
    <row r="222" spans="1:64" ht="12.75">
      <c r="A222" s="28"/>
      <c r="B222" s="28"/>
      <c r="C222" s="28"/>
      <c r="D222" s="28"/>
      <c r="E222" s="382"/>
      <c r="F222" s="382"/>
      <c r="G222" s="383"/>
      <c r="H222" s="821"/>
      <c r="I222" s="452" t="str">
        <f>canthormed&amp;" horas med"</f>
        <v>36 horas med</v>
      </c>
      <c r="J222" s="826">
        <f>porantighormed</f>
        <v>1.2</v>
      </c>
      <c r="K222" s="827"/>
      <c r="L222" s="854"/>
      <c r="M222" s="854"/>
      <c r="N222" s="854"/>
      <c r="O222" s="854"/>
      <c r="P222" s="854"/>
    </row>
    <row r="223" spans="1:64" ht="15">
      <c r="A223" s="28"/>
      <c r="B223" s="28"/>
      <c r="C223" s="28"/>
      <c r="D223" s="28"/>
      <c r="E223" s="384"/>
      <c r="F223" s="384"/>
      <c r="G223" s="384"/>
      <c r="H223" s="833">
        <v>45627</v>
      </c>
      <c r="I223" s="561">
        <v>45658</v>
      </c>
      <c r="J223" s="561">
        <v>45689</v>
      </c>
      <c r="K223" s="561">
        <v>45717</v>
      </c>
      <c r="L223" s="834">
        <v>45748</v>
      </c>
      <c r="M223" s="834">
        <v>45778</v>
      </c>
      <c r="N223" s="834">
        <v>45809</v>
      </c>
      <c r="O223" s="834">
        <v>45839</v>
      </c>
      <c r="P223" s="834">
        <v>45870</v>
      </c>
      <c r="Q223" s="834">
        <v>45901</v>
      </c>
      <c r="R223" s="834">
        <v>45931</v>
      </c>
      <c r="S223" s="834">
        <v>45962</v>
      </c>
      <c r="T223" s="834">
        <v>45992</v>
      </c>
    </row>
    <row r="224" spans="1:64" ht="23.25">
      <c r="A224" s="28"/>
      <c r="B224" s="28"/>
      <c r="C224" s="737" t="s">
        <v>134</v>
      </c>
      <c r="E224" s="385"/>
      <c r="F224" s="385"/>
      <c r="G224" s="385"/>
      <c r="H224" s="780">
        <f>AR229</f>
        <v>1293325.6408008032</v>
      </c>
      <c r="I224" s="776">
        <f>AO229</f>
        <v>1322416.9119952423</v>
      </c>
      <c r="J224" s="828">
        <f>AL229</f>
        <v>1348958.0841031382</v>
      </c>
      <c r="K224" s="828">
        <f>AF229</f>
        <v>1440400.1841114338</v>
      </c>
      <c r="L224" s="829">
        <f>AC229</f>
        <v>1487091.0955724299</v>
      </c>
      <c r="M224" s="829">
        <f>Z229</f>
        <v>1522424.6069166202</v>
      </c>
      <c r="N224" s="829">
        <f>W229</f>
        <v>1541353.1590174683</v>
      </c>
      <c r="O224" s="829">
        <f>T229</f>
        <v>1561543.7539986749</v>
      </c>
      <c r="P224" s="829">
        <f>Q229</f>
        <v>1585520.9630559399</v>
      </c>
      <c r="Q224" s="829">
        <f>N229</f>
        <v>1612254.5893960686</v>
      </c>
      <c r="R224" s="829">
        <f>K229</f>
        <v>1641802.2816667377</v>
      </c>
      <c r="S224" s="829">
        <f>H229</f>
        <v>1674164.0398679459</v>
      </c>
      <c r="T224" s="829">
        <f>E229</f>
        <v>1711555.9409199944</v>
      </c>
    </row>
    <row r="225" spans="1:64" ht="14.25">
      <c r="A225" s="28"/>
      <c r="B225" s="28"/>
      <c r="C225" s="28"/>
      <c r="D225" s="28"/>
      <c r="E225" s="386"/>
      <c r="F225" s="387"/>
      <c r="G225" s="386"/>
      <c r="H225" s="780" t="s">
        <v>71</v>
      </c>
      <c r="I225" s="254">
        <f t="shared" ref="I225:O225" si="297">I224-$H224</f>
        <v>29091.271194439149</v>
      </c>
      <c r="J225" s="254">
        <f t="shared" si="297"/>
        <v>55632.443302334985</v>
      </c>
      <c r="K225" s="254">
        <f t="shared" si="297"/>
        <v>147074.5433106306</v>
      </c>
      <c r="L225" s="824">
        <f t="shared" si="297"/>
        <v>193765.45477162674</v>
      </c>
      <c r="M225" s="824">
        <f t="shared" si="297"/>
        <v>229098.96611581696</v>
      </c>
      <c r="N225" s="824">
        <f t="shared" si="297"/>
        <v>248027.51821666514</v>
      </c>
      <c r="O225" s="824">
        <f t="shared" si="297"/>
        <v>268218.11319787172</v>
      </c>
      <c r="P225" s="824">
        <f t="shared" ref="P225:Q225" si="298">P224-$H224</f>
        <v>292195.32225513668</v>
      </c>
      <c r="Q225" s="824">
        <f t="shared" si="298"/>
        <v>318928.94859526539</v>
      </c>
      <c r="R225" s="824">
        <f t="shared" ref="R225:S225" si="299">R224-$H224</f>
        <v>348476.64086593455</v>
      </c>
      <c r="S225" s="824">
        <f t="shared" si="299"/>
        <v>380838.39906714275</v>
      </c>
      <c r="T225" s="824">
        <f t="shared" ref="T225" si="300">T224-$H224</f>
        <v>418230.30011919118</v>
      </c>
    </row>
    <row r="226" spans="1:64">
      <c r="A226" s="28"/>
      <c r="B226" s="959" t="s">
        <v>135</v>
      </c>
      <c r="C226" s="950"/>
      <c r="D226" s="388">
        <v>36</v>
      </c>
      <c r="E226" s="389"/>
      <c r="F226" s="390"/>
      <c r="G226" s="389"/>
      <c r="H226" s="781" t="s">
        <v>74</v>
      </c>
      <c r="I226" s="777">
        <f t="shared" ref="I226:O226" si="301">I225/$H224</f>
        <v>2.2493384710463464E-2</v>
      </c>
      <c r="J226" s="777">
        <f t="shared" si="301"/>
        <v>4.3015031595514036E-2</v>
      </c>
      <c r="K226" s="777">
        <f t="shared" si="301"/>
        <v>0.1137181067712883</v>
      </c>
      <c r="L226" s="825">
        <f t="shared" si="301"/>
        <v>0.14981954169844708</v>
      </c>
      <c r="M226" s="825">
        <f t="shared" si="301"/>
        <v>0.17713942945874261</v>
      </c>
      <c r="N226" s="825">
        <f t="shared" si="301"/>
        <v>0.19177499493715372</v>
      </c>
      <c r="O226" s="825">
        <f t="shared" si="301"/>
        <v>0.20738637257032655</v>
      </c>
      <c r="P226" s="825">
        <f t="shared" ref="P226:Q226" si="302">P225/$H224</f>
        <v>0.22592556200634417</v>
      </c>
      <c r="Q226" s="825">
        <f t="shared" si="302"/>
        <v>0.24659601459520319</v>
      </c>
      <c r="R226" s="825">
        <f t="shared" ref="R226:S226" si="303">R225/$H224</f>
        <v>0.26944230429867938</v>
      </c>
      <c r="S226" s="825">
        <f t="shared" si="303"/>
        <v>0.29446443111677173</v>
      </c>
      <c r="T226" s="825">
        <f t="shared" ref="T226" si="304">T225/$H224</f>
        <v>0.32337586677724162</v>
      </c>
    </row>
    <row r="227" spans="1:64" ht="16.5" thickBot="1">
      <c r="A227" s="28"/>
      <c r="B227" s="959" t="s">
        <v>136</v>
      </c>
      <c r="C227" s="950"/>
      <c r="D227" s="391">
        <v>25</v>
      </c>
      <c r="E227" s="392"/>
      <c r="G227" s="393"/>
      <c r="H227" s="782" t="s">
        <v>75</v>
      </c>
      <c r="I227" s="255"/>
      <c r="J227" s="831"/>
      <c r="K227" s="831"/>
      <c r="L227" s="832"/>
      <c r="M227" s="832"/>
      <c r="N227" s="832"/>
      <c r="O227" s="832"/>
      <c r="P227" s="832"/>
      <c r="Q227" s="832"/>
      <c r="R227" s="832"/>
      <c r="S227" s="832"/>
      <c r="T227" s="832"/>
    </row>
    <row r="228" spans="1:64" ht="24" thickBot="1">
      <c r="A228" s="28"/>
      <c r="B228" s="28"/>
      <c r="C228" s="28"/>
      <c r="D228" s="394">
        <f>LOOKUP(D227,D33:D44,E33:E44)</f>
        <v>1.2</v>
      </c>
      <c r="E228" s="395" t="s">
        <v>77</v>
      </c>
      <c r="F228" s="177"/>
      <c r="G228" s="178"/>
      <c r="H228" s="395" t="s">
        <v>77</v>
      </c>
      <c r="I228" s="177"/>
      <c r="J228" s="178"/>
      <c r="K228" s="395" t="s">
        <v>77</v>
      </c>
      <c r="L228" s="177"/>
      <c r="M228" s="178"/>
      <c r="N228" s="395" t="s">
        <v>77</v>
      </c>
      <c r="O228" s="177"/>
      <c r="P228" s="178"/>
      <c r="Q228" s="395" t="s">
        <v>77</v>
      </c>
      <c r="R228" s="177"/>
      <c r="S228" s="178"/>
      <c r="T228" s="395" t="s">
        <v>77</v>
      </c>
      <c r="U228" s="177"/>
      <c r="V228" s="178"/>
      <c r="W228" s="395" t="s">
        <v>77</v>
      </c>
      <c r="X228" s="177"/>
      <c r="Y228" s="178"/>
      <c r="Z228" s="395" t="s">
        <v>77</v>
      </c>
      <c r="AA228" s="177"/>
      <c r="AB228" s="178"/>
      <c r="AC228" s="395" t="s">
        <v>77</v>
      </c>
      <c r="AD228" s="177"/>
      <c r="AE228" s="178"/>
      <c r="AF228" s="395" t="s">
        <v>77</v>
      </c>
      <c r="AG228" s="177"/>
      <c r="AH228" s="178"/>
      <c r="AI228" s="395" t="s">
        <v>77</v>
      </c>
      <c r="AJ228" s="177"/>
      <c r="AK228" s="178"/>
      <c r="AL228" s="395" t="s">
        <v>77</v>
      </c>
      <c r="AM228" s="177"/>
      <c r="AN228" s="178"/>
      <c r="AO228" s="395" t="s">
        <v>77</v>
      </c>
      <c r="AP228" s="177"/>
      <c r="AQ228" s="178"/>
      <c r="AR228" s="395" t="s">
        <v>77</v>
      </c>
      <c r="AS228" s="177"/>
      <c r="AT228" s="178"/>
      <c r="AU228" s="28"/>
      <c r="AV228" s="28"/>
      <c r="AW228" s="28"/>
      <c r="AX228" s="28"/>
      <c r="AY228" s="28"/>
      <c r="AZ228" s="28"/>
      <c r="BA228" s="28"/>
      <c r="BB228" s="28"/>
      <c r="BC228" s="28"/>
      <c r="BD228" s="28"/>
      <c r="BE228" s="28"/>
      <c r="BF228" s="28"/>
    </row>
    <row r="229" spans="1:64" ht="26.25" thickBot="1">
      <c r="A229" s="28"/>
      <c r="B229" s="396" t="s">
        <v>137</v>
      </c>
      <c r="C229" s="397"/>
      <c r="D229" s="398"/>
      <c r="E229" s="399">
        <f>F265</f>
        <v>1711555.9409199944</v>
      </c>
      <c r="F229" s="181"/>
      <c r="G229" s="400"/>
      <c r="H229" s="399">
        <f>I265</f>
        <v>1674164.0398679459</v>
      </c>
      <c r="I229" s="181"/>
      <c r="J229" s="400"/>
      <c r="K229" s="399">
        <f>L265</f>
        <v>1641802.2816667377</v>
      </c>
      <c r="L229" s="181"/>
      <c r="M229" s="400"/>
      <c r="N229" s="399">
        <f>O265</f>
        <v>1612254.5893960686</v>
      </c>
      <c r="O229" s="181"/>
      <c r="P229" s="400"/>
      <c r="Q229" s="399">
        <f>R265</f>
        <v>1585520.9630559399</v>
      </c>
      <c r="R229" s="181"/>
      <c r="S229" s="400"/>
      <c r="T229" s="399">
        <f>U265</f>
        <v>1561543.7539986749</v>
      </c>
      <c r="U229" s="181"/>
      <c r="V229" s="400"/>
      <c r="W229" s="399">
        <f>X265</f>
        <v>1541353.1590174683</v>
      </c>
      <c r="X229" s="181"/>
      <c r="Y229" s="400"/>
      <c r="Z229" s="399">
        <f>AA265</f>
        <v>1522424.6069166202</v>
      </c>
      <c r="AA229" s="181"/>
      <c r="AB229" s="400"/>
      <c r="AC229" s="399">
        <f>AD265</f>
        <v>1487091.0955724299</v>
      </c>
      <c r="AD229" s="181"/>
      <c r="AE229" s="400"/>
      <c r="AF229" s="399">
        <f>AG265</f>
        <v>1440400.1841114338</v>
      </c>
      <c r="AG229" s="181"/>
      <c r="AH229" s="400"/>
      <c r="AI229" s="399">
        <f>AJ265</f>
        <v>1411446.083889138</v>
      </c>
      <c r="AJ229" s="181"/>
      <c r="AK229" s="400"/>
      <c r="AL229" s="399">
        <f>AM265</f>
        <v>1348958.0841031382</v>
      </c>
      <c r="AM229" s="181"/>
      <c r="AN229" s="400"/>
      <c r="AO229" s="399">
        <f>AP265</f>
        <v>1322416.9119952423</v>
      </c>
      <c r="AP229" s="181"/>
      <c r="AQ229" s="400"/>
      <c r="AR229" s="399">
        <f>AS265</f>
        <v>1293325.6408008032</v>
      </c>
      <c r="AS229" s="181"/>
      <c r="AT229" s="400"/>
      <c r="AU229" s="28"/>
      <c r="AV229" s="28"/>
      <c r="AW229" s="28"/>
      <c r="AX229" s="28"/>
      <c r="AY229" s="28"/>
      <c r="AZ229" s="28"/>
      <c r="BA229" s="28"/>
      <c r="BB229" s="28"/>
      <c r="BC229" s="28"/>
      <c r="BD229" s="28"/>
      <c r="BE229" s="463"/>
      <c r="BF229" s="138"/>
    </row>
    <row r="230" spans="1:64" ht="16.5" thickTop="1">
      <c r="A230" s="28"/>
      <c r="B230" s="960" t="s">
        <v>138</v>
      </c>
      <c r="C230" s="946"/>
      <c r="D230" s="401">
        <v>36</v>
      </c>
      <c r="E230" s="743" t="s">
        <v>181</v>
      </c>
      <c r="F230" s="184"/>
      <c r="G230" s="402"/>
      <c r="H230" s="743" t="s">
        <v>181</v>
      </c>
      <c r="I230" s="184"/>
      <c r="J230" s="402"/>
      <c r="K230" s="743" t="s">
        <v>181</v>
      </c>
      <c r="L230" s="184"/>
      <c r="M230" s="402"/>
      <c r="N230" s="743" t="s">
        <v>181</v>
      </c>
      <c r="O230" s="184"/>
      <c r="P230" s="402"/>
      <c r="Q230" s="743" t="s">
        <v>181</v>
      </c>
      <c r="R230" s="184"/>
      <c r="S230" s="402"/>
      <c r="T230" s="743" t="s">
        <v>181</v>
      </c>
      <c r="U230" s="184"/>
      <c r="V230" s="402"/>
      <c r="W230" s="743" t="s">
        <v>181</v>
      </c>
      <c r="X230" s="184"/>
      <c r="Y230" s="402"/>
      <c r="Z230" s="743" t="s">
        <v>181</v>
      </c>
      <c r="AA230" s="184"/>
      <c r="AB230" s="402"/>
      <c r="AC230" s="743" t="s">
        <v>181</v>
      </c>
      <c r="AD230" s="184"/>
      <c r="AE230" s="402"/>
      <c r="AF230" s="743" t="s">
        <v>181</v>
      </c>
      <c r="AG230" s="184"/>
      <c r="AH230" s="402"/>
      <c r="AI230" s="743" t="s">
        <v>181</v>
      </c>
      <c r="AJ230" s="184"/>
      <c r="AK230" s="402"/>
      <c r="AL230" s="743" t="s">
        <v>181</v>
      </c>
      <c r="AM230" s="184"/>
      <c r="AN230" s="402"/>
      <c r="AO230" s="743" t="s">
        <v>181</v>
      </c>
      <c r="AP230" s="184"/>
      <c r="AQ230" s="402"/>
      <c r="AR230" s="743" t="s">
        <v>181</v>
      </c>
      <c r="AS230" s="184"/>
      <c r="AT230" s="402"/>
      <c r="AU230" s="28"/>
      <c r="AV230" s="28"/>
      <c r="AW230" s="28"/>
      <c r="AX230" s="28"/>
      <c r="AY230" s="28"/>
      <c r="AZ230" s="28"/>
      <c r="BA230" s="28"/>
      <c r="BB230" s="28"/>
      <c r="BC230" s="28"/>
      <c r="BD230" s="28"/>
      <c r="BE230" s="77"/>
      <c r="BF230" s="28"/>
    </row>
    <row r="231" spans="1:64" ht="18">
      <c r="A231" s="28"/>
      <c r="B231" s="960" t="s">
        <v>139</v>
      </c>
      <c r="C231" s="946"/>
      <c r="D231" s="401">
        <v>30</v>
      </c>
      <c r="E231" s="744">
        <f>E229-E254-E255</f>
        <v>1583143.9431339945</v>
      </c>
      <c r="F231" s="403"/>
      <c r="G231" s="189"/>
      <c r="H231" s="744">
        <f>H229-H254-H255</f>
        <v>1545752.042081946</v>
      </c>
      <c r="I231" s="403"/>
      <c r="J231" s="189"/>
      <c r="K231" s="744">
        <f>K229-K254-K255</f>
        <v>1513390.2838807378</v>
      </c>
      <c r="L231" s="403"/>
      <c r="M231" s="189"/>
      <c r="N231" s="744">
        <f>N229-N254-N255</f>
        <v>1483842.5916100687</v>
      </c>
      <c r="O231" s="403"/>
      <c r="P231" s="189"/>
      <c r="Q231" s="744">
        <f>Q229-Q254-Q255</f>
        <v>1457108.96526994</v>
      </c>
      <c r="R231" s="403"/>
      <c r="S231" s="189"/>
      <c r="T231" s="744">
        <f>T229-T254-T255</f>
        <v>1433131.756212675</v>
      </c>
      <c r="U231" s="403"/>
      <c r="V231" s="189"/>
      <c r="W231" s="744">
        <f>W229-W254-W255</f>
        <v>1412941.1612314684</v>
      </c>
      <c r="X231" s="403"/>
      <c r="Y231" s="189"/>
      <c r="Z231" s="744">
        <f>Z229-Z254-Z255</f>
        <v>1394012.6091306203</v>
      </c>
      <c r="AA231" s="403"/>
      <c r="AB231" s="189"/>
      <c r="AC231" s="744">
        <f>AC229-AC254-AC255</f>
        <v>1358679.09778643</v>
      </c>
      <c r="AD231" s="403"/>
      <c r="AE231" s="189"/>
      <c r="AF231" s="744">
        <f>AF229-AF254-AF255</f>
        <v>1311988.1863254339</v>
      </c>
      <c r="AG231" s="403"/>
      <c r="AH231" s="189"/>
      <c r="AI231" s="744">
        <f>AI229-AI254-AI255</f>
        <v>1283034.086103138</v>
      </c>
      <c r="AJ231" s="403"/>
      <c r="AK231" s="189"/>
      <c r="AL231" s="744">
        <f>AL229-AL254-AL255</f>
        <v>1232958.086103138</v>
      </c>
      <c r="AM231" s="403"/>
      <c r="AN231" s="189"/>
      <c r="AO231" s="744">
        <f>AO229-AO254-AO255</f>
        <v>1206416.9139952422</v>
      </c>
      <c r="AP231" s="403"/>
      <c r="AQ231" s="189"/>
      <c r="AR231" s="744">
        <f>AR229-AR254-AR255</f>
        <v>1177325.6428008031</v>
      </c>
      <c r="AS231" s="403"/>
      <c r="AT231" s="189"/>
      <c r="AU231" s="28"/>
      <c r="AV231" s="28"/>
      <c r="AW231" s="28"/>
      <c r="AX231" s="28"/>
      <c r="AY231" s="28"/>
      <c r="AZ231" s="28"/>
      <c r="BA231" s="28"/>
      <c r="BB231" s="28"/>
      <c r="BC231" s="28"/>
      <c r="BD231" s="28"/>
      <c r="BE231" s="77"/>
      <c r="BF231" s="28"/>
    </row>
    <row r="232" spans="1:64">
      <c r="A232" s="28"/>
      <c r="B232" s="961" t="s">
        <v>140</v>
      </c>
      <c r="C232" s="946"/>
      <c r="D232" s="401">
        <v>1</v>
      </c>
      <c r="E232" s="404"/>
      <c r="F232" s="404"/>
      <c r="G232" s="404"/>
      <c r="H232" s="404"/>
      <c r="I232" s="404"/>
      <c r="J232" s="404"/>
      <c r="K232" s="404"/>
      <c r="L232" s="404"/>
      <c r="M232" s="404"/>
      <c r="N232" s="404"/>
      <c r="O232" s="404"/>
      <c r="P232" s="404"/>
      <c r="Q232" s="404"/>
      <c r="R232" s="404"/>
      <c r="S232" s="404"/>
      <c r="T232" s="404"/>
      <c r="U232" s="404"/>
      <c r="V232" s="404"/>
      <c r="W232" s="404"/>
      <c r="X232" s="404"/>
      <c r="Y232" s="404"/>
      <c r="Z232" s="404"/>
      <c r="AA232" s="404"/>
      <c r="AB232" s="404"/>
      <c r="AC232" s="404"/>
      <c r="AD232" s="404"/>
      <c r="AE232" s="404"/>
      <c r="AF232" s="404"/>
      <c r="AG232" s="404"/>
      <c r="AH232" s="404"/>
      <c r="AI232" s="404"/>
      <c r="AJ232" s="404"/>
      <c r="AK232" s="404"/>
      <c r="AL232" s="404"/>
      <c r="AM232" s="404"/>
      <c r="AN232" s="404"/>
      <c r="AO232" s="404"/>
      <c r="AP232" s="404"/>
      <c r="AQ232" s="404"/>
      <c r="AR232" s="404"/>
      <c r="AS232" s="404"/>
      <c r="AT232" s="404"/>
      <c r="AU232" s="28"/>
      <c r="AV232" s="28"/>
      <c r="AW232" s="77"/>
      <c r="AX232" s="28"/>
      <c r="AY232" s="28"/>
      <c r="AZ232" s="28"/>
      <c r="BA232" s="28"/>
      <c r="BB232" s="28"/>
      <c r="BC232" s="28"/>
      <c r="BD232" s="28"/>
      <c r="BE232" s="28"/>
      <c r="BF232" s="28"/>
    </row>
    <row r="233" spans="1:64">
      <c r="A233" s="28"/>
      <c r="B233" s="55" t="s">
        <v>141</v>
      </c>
      <c r="D233" s="405">
        <v>15</v>
      </c>
      <c r="E233" s="405"/>
      <c r="F233" s="405"/>
      <c r="G233" s="405"/>
      <c r="H233" s="405"/>
      <c r="I233" s="405"/>
      <c r="J233" s="405"/>
      <c r="K233" s="405"/>
      <c r="L233" s="405"/>
      <c r="M233" s="405"/>
      <c r="N233" s="405"/>
      <c r="O233" s="405"/>
      <c r="P233" s="405"/>
      <c r="Q233" s="405"/>
      <c r="R233" s="405"/>
      <c r="S233" s="405"/>
      <c r="T233" s="405"/>
      <c r="U233" s="405"/>
      <c r="V233" s="405"/>
      <c r="W233" s="405"/>
      <c r="X233" s="405"/>
      <c r="Y233" s="405"/>
      <c r="Z233" s="405"/>
      <c r="AA233" s="405"/>
      <c r="AB233" s="405"/>
      <c r="AC233" s="405"/>
      <c r="AD233" s="405"/>
      <c r="AE233" s="405"/>
      <c r="AF233" s="405"/>
      <c r="AG233" s="405"/>
      <c r="AH233" s="405"/>
      <c r="AI233" s="405"/>
      <c r="AJ233" s="405"/>
      <c r="AK233" s="405"/>
      <c r="AL233" s="405"/>
      <c r="AM233" s="405"/>
      <c r="AN233" s="405"/>
      <c r="AO233" s="405"/>
      <c r="AP233" s="405"/>
      <c r="AQ233" s="405"/>
      <c r="AR233" s="405"/>
      <c r="AS233" s="405"/>
      <c r="AT233" s="405"/>
      <c r="AU233" s="28"/>
      <c r="AV233" s="28"/>
      <c r="AW233" s="28"/>
      <c r="AX233" s="28"/>
      <c r="AY233" s="28"/>
      <c r="AZ233" s="28"/>
      <c r="BA233" s="28"/>
      <c r="BB233" s="28"/>
      <c r="BC233" s="28"/>
      <c r="BD233" s="28"/>
      <c r="BE233" s="77"/>
      <c r="BF233" s="28"/>
    </row>
    <row r="234" spans="1:64">
      <c r="A234" s="28"/>
      <c r="B234" s="962" t="s">
        <v>142</v>
      </c>
      <c r="C234" s="963"/>
      <c r="D234" s="401">
        <v>0</v>
      </c>
      <c r="E234" s="404"/>
      <c r="F234" s="404"/>
      <c r="G234" s="406">
        <f>3/0.81</f>
        <v>3.7037037037037033</v>
      </c>
      <c r="H234" s="404"/>
      <c r="I234" s="404"/>
      <c r="J234" s="406">
        <f>3/0.81</f>
        <v>3.7037037037037033</v>
      </c>
      <c r="K234" s="404"/>
      <c r="L234" s="404"/>
      <c r="M234" s="406">
        <f>3/0.81</f>
        <v>3.7037037037037033</v>
      </c>
      <c r="N234" s="404"/>
      <c r="O234" s="404"/>
      <c r="P234" s="406">
        <f>3/0.81</f>
        <v>3.7037037037037033</v>
      </c>
      <c r="Q234" s="404"/>
      <c r="R234" s="404"/>
      <c r="S234" s="406">
        <f>3/0.81</f>
        <v>3.7037037037037033</v>
      </c>
      <c r="T234" s="404"/>
      <c r="U234" s="404"/>
      <c r="V234" s="406">
        <f>3/0.81</f>
        <v>3.7037037037037033</v>
      </c>
      <c r="W234" s="404"/>
      <c r="X234" s="404"/>
      <c r="Y234" s="406">
        <f>3/0.81</f>
        <v>3.7037037037037033</v>
      </c>
      <c r="Z234" s="404"/>
      <c r="AA234" s="404"/>
      <c r="AB234" s="406">
        <f>3/0.81</f>
        <v>3.7037037037037033</v>
      </c>
      <c r="AC234" s="404"/>
      <c r="AD234" s="404"/>
      <c r="AE234" s="406">
        <f>3/0.81</f>
        <v>3.7037037037037033</v>
      </c>
      <c r="AF234" s="404"/>
      <c r="AG234" s="404"/>
      <c r="AH234" s="406">
        <f>3/0.81</f>
        <v>3.7037037037037033</v>
      </c>
      <c r="AI234" s="404"/>
      <c r="AJ234" s="404"/>
      <c r="AK234" s="406">
        <f>3/0.81</f>
        <v>3.7037037037037033</v>
      </c>
      <c r="AL234" s="404"/>
      <c r="AM234" s="404"/>
      <c r="AN234" s="406">
        <f>3/0.81</f>
        <v>3.7037037037037033</v>
      </c>
      <c r="AO234" s="404"/>
      <c r="AP234" s="404"/>
      <c r="AQ234" s="406">
        <f>3/0.81</f>
        <v>3.7037037037037033</v>
      </c>
      <c r="AR234" s="404"/>
      <c r="AS234" s="404"/>
      <c r="AT234" s="406">
        <f>3/0.81</f>
        <v>3.7037037037037033</v>
      </c>
      <c r="AU234" s="28"/>
      <c r="AV234" s="28"/>
      <c r="AW234" s="28"/>
      <c r="AX234" s="28"/>
      <c r="AY234" s="28"/>
      <c r="AZ234" s="28"/>
      <c r="BA234" s="28"/>
      <c r="BB234" s="28"/>
      <c r="BC234" s="28"/>
      <c r="BD234" s="28"/>
      <c r="BE234" s="77"/>
      <c r="BF234" s="28"/>
    </row>
    <row r="235" spans="1:64" ht="12.75">
      <c r="A235" s="28"/>
      <c r="B235" s="28"/>
      <c r="C235" s="28"/>
      <c r="D235" s="407"/>
      <c r="E235" s="407"/>
      <c r="F235" s="407"/>
      <c r="G235" s="407"/>
      <c r="H235" s="407"/>
      <c r="I235" s="407"/>
      <c r="J235" s="407"/>
      <c r="K235" s="407"/>
      <c r="L235" s="407"/>
      <c r="M235" s="407"/>
      <c r="N235" s="407"/>
      <c r="O235" s="407"/>
      <c r="P235" s="407"/>
      <c r="Q235" s="407"/>
      <c r="R235" s="407"/>
      <c r="S235" s="407"/>
      <c r="T235" s="407"/>
      <c r="U235" s="407"/>
      <c r="V235" s="407"/>
      <c r="W235" s="407"/>
      <c r="X235" s="407"/>
      <c r="Y235" s="407"/>
      <c r="Z235" s="407"/>
      <c r="AA235" s="407"/>
      <c r="AB235" s="407"/>
      <c r="AC235" s="407"/>
      <c r="AD235" s="407"/>
      <c r="AE235" s="407"/>
      <c r="AF235" s="407"/>
      <c r="AG235" s="407"/>
      <c r="AH235" s="407"/>
      <c r="AI235" s="407"/>
      <c r="AJ235" s="407"/>
      <c r="AK235" s="407"/>
      <c r="AL235" s="407"/>
      <c r="AM235" s="407"/>
      <c r="AN235" s="407"/>
      <c r="AO235" s="407"/>
      <c r="AP235" s="407"/>
      <c r="AQ235" s="407"/>
      <c r="AR235" s="407"/>
      <c r="AS235" s="407"/>
      <c r="AT235" s="407"/>
      <c r="AU235" s="28"/>
      <c r="AV235" s="28"/>
      <c r="AW235" s="28"/>
      <c r="AX235" s="28"/>
      <c r="AY235" s="28"/>
      <c r="AZ235" s="28"/>
      <c r="BA235" s="28"/>
      <c r="BB235" s="28"/>
      <c r="BC235" s="28"/>
      <c r="BD235" s="964" t="s">
        <v>134</v>
      </c>
      <c r="BE235" s="946"/>
      <c r="BF235" s="946"/>
    </row>
    <row r="236" spans="1:64" ht="18">
      <c r="A236" s="28"/>
      <c r="B236" s="965" t="s">
        <v>79</v>
      </c>
      <c r="C236" s="966"/>
      <c r="D236" s="408">
        <f>canthormed*64.73</f>
        <v>2330.2800000000002</v>
      </c>
      <c r="E236" s="409"/>
      <c r="F236" s="409"/>
      <c r="G236" s="409"/>
      <c r="H236" s="409"/>
      <c r="I236" s="409"/>
      <c r="J236" s="409"/>
      <c r="K236" s="409"/>
      <c r="L236" s="409"/>
      <c r="M236" s="409"/>
      <c r="N236" s="409"/>
      <c r="O236" s="409"/>
      <c r="P236" s="409"/>
      <c r="Q236" s="409"/>
      <c r="R236" s="409"/>
      <c r="S236" s="409"/>
      <c r="T236" s="409"/>
      <c r="U236" s="409"/>
      <c r="V236" s="409"/>
      <c r="W236" s="409"/>
      <c r="X236" s="409"/>
      <c r="Y236" s="409"/>
      <c r="Z236" s="409"/>
      <c r="AA236" s="409"/>
      <c r="AB236" s="409"/>
      <c r="AC236" s="409"/>
      <c r="AD236" s="409"/>
      <c r="AE236" s="409"/>
      <c r="AF236" s="409"/>
      <c r="AG236" s="409"/>
      <c r="AH236" s="409"/>
      <c r="AI236" s="409"/>
      <c r="AJ236" s="409"/>
      <c r="AK236" s="409"/>
      <c r="AL236" s="409"/>
      <c r="AM236" s="409"/>
      <c r="AN236" s="409"/>
      <c r="AO236" s="409"/>
      <c r="AP236" s="409"/>
      <c r="AQ236" s="409"/>
      <c r="AR236" s="409"/>
      <c r="AS236" s="409"/>
      <c r="AT236" s="409"/>
      <c r="AU236" s="28"/>
      <c r="AV236" s="28"/>
      <c r="AW236" s="28"/>
      <c r="AX236" s="28"/>
      <c r="AY236" s="28"/>
      <c r="AZ236" s="28"/>
      <c r="BA236" s="28"/>
      <c r="BB236" s="28"/>
      <c r="BC236" s="28"/>
      <c r="BD236" s="28"/>
      <c r="BE236" s="36"/>
      <c r="BF236" s="36"/>
    </row>
    <row r="237" spans="1:64" ht="18">
      <c r="A237" s="28"/>
      <c r="B237" s="36"/>
      <c r="C237" s="37"/>
      <c r="D237" s="36"/>
      <c r="E237" s="882"/>
      <c r="F237" s="882"/>
      <c r="G237" s="882"/>
      <c r="H237" s="879"/>
      <c r="I237" s="879"/>
      <c r="J237" s="879"/>
      <c r="K237" s="877"/>
      <c r="L237" s="877"/>
      <c r="M237" s="877"/>
      <c r="N237" s="866"/>
      <c r="O237" s="866"/>
      <c r="P237" s="866"/>
      <c r="Q237" s="864"/>
      <c r="R237" s="864"/>
      <c r="S237" s="864"/>
      <c r="T237" s="848"/>
      <c r="U237" s="848"/>
      <c r="V237" s="848"/>
      <c r="W237" s="846"/>
      <c r="X237" s="846"/>
      <c r="Y237" s="846"/>
      <c r="Z237" s="815"/>
      <c r="AA237" s="815"/>
      <c r="AB237" s="815"/>
      <c r="AC237" s="813"/>
      <c r="AD237" s="813"/>
      <c r="AE237" s="813"/>
      <c r="AF237" s="750"/>
      <c r="AG237" s="750"/>
      <c r="AH237" s="750"/>
      <c r="AI237" s="752"/>
      <c r="AJ237" s="752"/>
      <c r="AK237" s="752"/>
      <c r="AL237" s="750"/>
      <c r="AM237" s="750"/>
      <c r="AN237" s="750"/>
      <c r="AO237" s="716"/>
      <c r="AP237" s="716"/>
      <c r="AQ237" s="716"/>
      <c r="AR237" s="716"/>
      <c r="AS237" s="716"/>
      <c r="AT237" s="716"/>
      <c r="AU237" s="28"/>
      <c r="AV237" s="28"/>
      <c r="AW237" s="28"/>
      <c r="AX237" s="28"/>
      <c r="AY237" s="28"/>
      <c r="AZ237" s="28"/>
      <c r="BA237" s="28"/>
      <c r="BB237" s="28"/>
      <c r="BC237" s="28"/>
      <c r="BD237" s="28"/>
      <c r="BE237" s="36"/>
      <c r="BF237" s="36"/>
    </row>
    <row r="238" spans="1:64" ht="18">
      <c r="A238" s="28"/>
      <c r="B238" s="410"/>
      <c r="C238" s="28"/>
      <c r="D238" s="410"/>
      <c r="E238" s="21">
        <v>45992</v>
      </c>
      <c r="F238" s="22">
        <f>(1+Aumentodic25respene25)*(1+Aumentoene25respdic24)-1</f>
        <v>0.29963870703408513</v>
      </c>
      <c r="G238" s="20"/>
      <c r="H238" s="21">
        <v>45962</v>
      </c>
      <c r="I238" s="22">
        <f>(1+Aumentonov25respene25)*(1+Aumentoene25respdic24)-1</f>
        <v>0.26794020198447344</v>
      </c>
      <c r="J238" s="20"/>
      <c r="K238" s="21">
        <v>45931</v>
      </c>
      <c r="L238" s="22" cm="1">
        <f t="array" ref="L238">(1+Aumentooct25respene25)*(1+Aumentoene25respdic24)-1</f>
        <v>0.24050593609017179</v>
      </c>
      <c r="M238" s="20"/>
      <c r="N238" s="21">
        <v>45901</v>
      </c>
      <c r="O238" s="22" cm="1">
        <f t="array" ref="O238">(1+Aumentosep25respene25)*(1+Aumentoene25respdic24)-1</f>
        <v>0.21545725853450493</v>
      </c>
      <c r="P238" s="20"/>
      <c r="Q238" s="21">
        <v>45870</v>
      </c>
      <c r="R238" s="22" cm="1">
        <f t="array" ref="R238">(1+Aumentoago25respene25)*(1+Aumentoene25respdic24)-1</f>
        <v>0.19279416931747306</v>
      </c>
      <c r="S238" s="20"/>
      <c r="T238" s="21">
        <v>45839</v>
      </c>
      <c r="U238" s="22">
        <f>(1+Aumentojul25respene25)*(1+Aumentoene25respdic24)-1</f>
        <v>0.17246852876408125</v>
      </c>
      <c r="V238" s="20"/>
      <c r="W238" s="21">
        <v>45809</v>
      </c>
      <c r="X238" s="22">
        <f>(1+Aumentojun25respene25)*(1+Aumentoene25respdic24)-1</f>
        <v>0.15535219987701421</v>
      </c>
      <c r="Y238" s="20"/>
      <c r="Z238" s="21">
        <v>45778</v>
      </c>
      <c r="AA238" s="22" cm="1">
        <f t="array" ref="AA238">(1+Aumentomay25respene25)*(1+Aumentoene25respdic24)-1</f>
        <v>0.13930564154538927</v>
      </c>
      <c r="AB238" s="20"/>
      <c r="AC238" s="21">
        <v>45748</v>
      </c>
      <c r="AD238" s="22">
        <f>(1+Aumentoabr25respene25)*(1+Aumentoene25respdic24)-1</f>
        <v>0.10935206599302227</v>
      </c>
      <c r="AE238" s="20"/>
      <c r="AF238" s="21">
        <v>45717</v>
      </c>
      <c r="AG238" s="22">
        <f>(1+Aumentomar25respene25)*(1+Aumentoene25respdic24)-1</f>
        <v>6.9770555441680093E-2</v>
      </c>
      <c r="AH238" s="20"/>
      <c r="AI238" s="787" t="s">
        <v>201</v>
      </c>
      <c r="AJ238" s="20"/>
      <c r="AK238" s="20"/>
      <c r="AL238" s="21" t="s">
        <v>200</v>
      </c>
      <c r="AM238" s="22">
        <f>(1+Aumentofeb25respene25)*(1+Aumentoene25respdic24)-1</f>
        <v>4.522515072791311E-2</v>
      </c>
      <c r="AN238" s="20"/>
      <c r="AO238" s="21">
        <v>45658</v>
      </c>
      <c r="AP238" s="22">
        <v>2.2725196406967674E-2</v>
      </c>
      <c r="AQ238" s="20"/>
      <c r="AR238" s="728">
        <v>45627</v>
      </c>
      <c r="AS238" s="729">
        <f>Aumentodic24</f>
        <v>1.1820279278367574</v>
      </c>
      <c r="AT238" s="20"/>
      <c r="AU238" s="28"/>
      <c r="AV238" s="28"/>
      <c r="AW238" s="28"/>
      <c r="AX238" s="28"/>
      <c r="AY238" s="28"/>
      <c r="AZ238" s="28"/>
      <c r="BA238" s="28"/>
      <c r="BB238" s="28"/>
      <c r="BC238" s="28"/>
      <c r="BD238" s="28"/>
      <c r="BE238" s="28"/>
      <c r="BF238" s="28"/>
      <c r="BG238" s="28"/>
      <c r="BH238" s="28"/>
      <c r="BI238" s="28"/>
      <c r="BJ238" s="28"/>
      <c r="BK238" s="33"/>
      <c r="BL238" s="33"/>
    </row>
    <row r="239" spans="1:64" ht="12.75">
      <c r="A239" s="28"/>
      <c r="B239" s="411" t="s">
        <v>82</v>
      </c>
      <c r="C239" s="412" t="s">
        <v>83</v>
      </c>
      <c r="D239" s="413" t="s">
        <v>84</v>
      </c>
      <c r="E239" s="413"/>
      <c r="F239" s="413"/>
      <c r="G239" s="413"/>
      <c r="H239" s="413"/>
      <c r="I239" s="413"/>
      <c r="J239" s="413"/>
      <c r="K239" s="413"/>
      <c r="L239" s="413"/>
      <c r="M239" s="413"/>
      <c r="N239" s="413"/>
      <c r="O239" s="413"/>
      <c r="P239" s="413"/>
      <c r="Q239" s="413"/>
      <c r="R239" s="413"/>
      <c r="S239" s="413"/>
      <c r="T239" s="413"/>
      <c r="U239" s="413"/>
      <c r="V239" s="413"/>
      <c r="W239" s="413"/>
      <c r="X239" s="413"/>
      <c r="Y239" s="413"/>
      <c r="Z239" s="413"/>
      <c r="AA239" s="413"/>
      <c r="AB239" s="413"/>
      <c r="AC239" s="413"/>
      <c r="AD239" s="413"/>
      <c r="AE239" s="413"/>
      <c r="AF239" s="413"/>
      <c r="AG239" s="413"/>
      <c r="AH239" s="413"/>
      <c r="AI239" s="413"/>
      <c r="AJ239" s="413"/>
      <c r="AK239" s="413"/>
      <c r="AL239" s="413"/>
      <c r="AM239" s="413"/>
      <c r="AN239" s="413"/>
      <c r="AO239" s="413"/>
      <c r="AP239" s="413"/>
      <c r="AQ239" s="413"/>
      <c r="AR239" s="413"/>
      <c r="AS239" s="413"/>
      <c r="AT239" s="413"/>
      <c r="AU239" s="28"/>
      <c r="AV239" s="28"/>
      <c r="AW239" s="28"/>
      <c r="AX239" s="28"/>
      <c r="AY239" s="28"/>
      <c r="AZ239" s="28"/>
      <c r="BA239" s="28"/>
      <c r="BB239" s="28"/>
      <c r="BC239" s="28"/>
      <c r="BD239" s="28"/>
      <c r="BE239" s="28"/>
      <c r="BF239" s="28"/>
      <c r="BG239" s="28"/>
      <c r="BH239" s="28"/>
      <c r="BI239" s="28"/>
      <c r="BJ239" s="28"/>
      <c r="BK239" s="33"/>
      <c r="BL239" s="33"/>
    </row>
    <row r="240" spans="1:64" ht="15">
      <c r="A240" s="28"/>
      <c r="B240" s="414">
        <v>4</v>
      </c>
      <c r="C240" s="415">
        <f>canthormed</f>
        <v>36</v>
      </c>
      <c r="D240" s="416" t="s">
        <v>143</v>
      </c>
      <c r="E240" s="754">
        <f t="shared" ref="E240:E249" si="305">E300</f>
        <v>615258.64407461567</v>
      </c>
      <c r="F240" s="418"/>
      <c r="G240" s="419"/>
      <c r="H240" s="754">
        <f t="shared" ref="H240:H249" si="306">H300</f>
        <v>600252.33568255184</v>
      </c>
      <c r="I240" s="418"/>
      <c r="J240" s="419"/>
      <c r="K240" s="754">
        <f t="shared" ref="K240:K249" si="307">K300</f>
        <v>587264.74986816</v>
      </c>
      <c r="L240" s="418"/>
      <c r="M240" s="419"/>
      <c r="N240" s="754">
        <f t="shared" ref="N240:N249" si="308">N300</f>
        <v>575406.51934197592</v>
      </c>
      <c r="O240" s="418"/>
      <c r="P240" s="419"/>
      <c r="Q240" s="754">
        <f t="shared" ref="Q240:Q249" si="309">Q300</f>
        <v>564677.64410400006</v>
      </c>
      <c r="R240" s="418"/>
      <c r="S240" s="419"/>
      <c r="T240" s="754">
        <f t="shared" ref="T240:T249" si="310">T300</f>
        <v>555054.90384614398</v>
      </c>
      <c r="U240" s="418"/>
      <c r="V240" s="419"/>
      <c r="W240" s="754">
        <f t="shared" ref="W240:W249" si="311">W300</f>
        <v>546951.91254912002</v>
      </c>
      <c r="X240" s="418"/>
      <c r="Y240" s="419"/>
      <c r="Z240" s="754">
        <f t="shared" ref="Z240:Z249" si="312">Z300</f>
        <v>539355.42345600005</v>
      </c>
      <c r="AA240" s="418"/>
      <c r="AB240" s="419"/>
      <c r="AC240" s="754">
        <f t="shared" ref="AC240:AC249" si="313">AC300</f>
        <v>525175.20360000001</v>
      </c>
      <c r="AD240" s="418"/>
      <c r="AE240" s="419"/>
      <c r="AF240" s="754">
        <f t="shared" ref="AF240:AF249" si="314">AF300</f>
        <v>506436.95606400003</v>
      </c>
      <c r="AG240" s="418"/>
      <c r="AH240" s="419"/>
      <c r="AI240" s="754">
        <f t="shared" ref="AI240:AI249" si="315">AI300</f>
        <v>494816.94167320809</v>
      </c>
      <c r="AJ240" s="418"/>
      <c r="AK240" s="419"/>
      <c r="AL240" s="754">
        <f t="shared" ref="AL240:AL249" si="316">AL300</f>
        <v>494816.94167320809</v>
      </c>
      <c r="AM240" s="418"/>
      <c r="AN240" s="419"/>
      <c r="AO240" s="754">
        <f t="shared" ref="AO240:AO249" si="317">AO300</f>
        <v>484165.30496400001</v>
      </c>
      <c r="AP240" s="418"/>
      <c r="AQ240" s="419"/>
      <c r="AR240" s="417">
        <f t="shared" ref="AR240:AR249" si="318">AR300</f>
        <v>472438.17086400004</v>
      </c>
      <c r="AS240" s="418"/>
      <c r="AT240" s="419"/>
      <c r="AU240" s="28"/>
      <c r="AV240" s="28"/>
      <c r="AW240" s="28"/>
      <c r="AX240" s="28"/>
      <c r="AY240" s="28"/>
      <c r="AZ240" s="28"/>
      <c r="BA240" s="28"/>
      <c r="BB240" s="28"/>
      <c r="BC240" s="28"/>
      <c r="BD240" s="28"/>
      <c r="BE240" s="28"/>
      <c r="BF240" s="28"/>
      <c r="BG240" s="28"/>
      <c r="BH240" s="28"/>
      <c r="BI240" s="28"/>
      <c r="BJ240" s="28"/>
      <c r="BK240" s="33"/>
      <c r="BL240" s="33"/>
    </row>
    <row r="241" spans="1:64" ht="12.75">
      <c r="A241" s="28"/>
      <c r="B241" s="420">
        <v>10</v>
      </c>
      <c r="C241" s="421">
        <f>porantighormed</f>
        <v>1.2</v>
      </c>
      <c r="D241" s="422" t="s">
        <v>94</v>
      </c>
      <c r="E241" s="755">
        <f t="shared" si="305"/>
        <v>768310.37288953876</v>
      </c>
      <c r="F241" s="424"/>
      <c r="G241" s="419"/>
      <c r="H241" s="755">
        <f t="shared" si="306"/>
        <v>750302.80281906214</v>
      </c>
      <c r="I241" s="424"/>
      <c r="J241" s="419"/>
      <c r="K241" s="755">
        <f t="shared" si="307"/>
        <v>734717.699841792</v>
      </c>
      <c r="L241" s="424"/>
      <c r="M241" s="419"/>
      <c r="N241" s="755">
        <f t="shared" si="308"/>
        <v>720487.82321037108</v>
      </c>
      <c r="O241" s="424"/>
      <c r="P241" s="419"/>
      <c r="Q241" s="755">
        <f t="shared" si="309"/>
        <v>707613.17292480008</v>
      </c>
      <c r="R241" s="424"/>
      <c r="S241" s="419"/>
      <c r="T241" s="755">
        <f t="shared" si="310"/>
        <v>696065.88461537275</v>
      </c>
      <c r="U241" s="424"/>
      <c r="V241" s="419"/>
      <c r="W241" s="755">
        <f t="shared" si="311"/>
        <v>686342.29505894403</v>
      </c>
      <c r="X241" s="424"/>
      <c r="Y241" s="419"/>
      <c r="Z241" s="755">
        <f t="shared" si="312"/>
        <v>677226.50814719999</v>
      </c>
      <c r="AA241" s="424"/>
      <c r="AB241" s="419"/>
      <c r="AC241" s="755">
        <f t="shared" si="313"/>
        <v>660210.24431999994</v>
      </c>
      <c r="AD241" s="424"/>
      <c r="AE241" s="419"/>
      <c r="AF241" s="755">
        <f t="shared" si="314"/>
        <v>637724.34727679996</v>
      </c>
      <c r="AG241" s="424"/>
      <c r="AH241" s="419"/>
      <c r="AI241" s="755">
        <f t="shared" si="315"/>
        <v>623780.33000784973</v>
      </c>
      <c r="AJ241" s="424"/>
      <c r="AK241" s="419"/>
      <c r="AL241" s="755">
        <f t="shared" si="316"/>
        <v>593780.33000784973</v>
      </c>
      <c r="AM241" s="424"/>
      <c r="AN241" s="419"/>
      <c r="AO241" s="755">
        <f t="shared" si="317"/>
        <v>580998.36595679994</v>
      </c>
      <c r="AP241" s="424"/>
      <c r="AQ241" s="419"/>
      <c r="AR241" s="423">
        <f t="shared" si="318"/>
        <v>566925.80503679998</v>
      </c>
      <c r="AS241" s="424"/>
      <c r="AT241" s="419"/>
      <c r="AU241" s="28"/>
      <c r="AV241" s="28"/>
      <c r="AW241" s="28"/>
      <c r="AX241" s="28"/>
      <c r="AY241" s="28"/>
      <c r="AZ241" s="28"/>
      <c r="BA241" s="28"/>
      <c r="BB241" s="28"/>
      <c r="BC241" s="28"/>
      <c r="BD241" s="28"/>
      <c r="BE241" s="28"/>
      <c r="BF241" s="28"/>
      <c r="BG241" s="28"/>
      <c r="BH241" s="28"/>
      <c r="BI241" s="28"/>
      <c r="BJ241" s="28"/>
      <c r="BK241" s="33"/>
      <c r="BL241" s="33"/>
    </row>
    <row r="242" spans="1:64">
      <c r="A242" s="28"/>
      <c r="B242" s="414">
        <v>6</v>
      </c>
      <c r="C242" s="425">
        <f>C302</f>
        <v>36.000071933997596</v>
      </c>
      <c r="D242" s="416" t="s">
        <v>93</v>
      </c>
      <c r="E242" s="754">
        <f t="shared" si="305"/>
        <v>152707.78893920936</v>
      </c>
      <c r="F242" s="418"/>
      <c r="G242" s="419"/>
      <c r="H242" s="754">
        <f t="shared" si="306"/>
        <v>148983.20872117989</v>
      </c>
      <c r="I242" s="418"/>
      <c r="J242" s="419"/>
      <c r="K242" s="754">
        <f t="shared" si="307"/>
        <v>145759.67739419293</v>
      </c>
      <c r="L242" s="418"/>
      <c r="M242" s="419"/>
      <c r="N242" s="754">
        <f t="shared" si="308"/>
        <v>142816.45313911792</v>
      </c>
      <c r="O242" s="418"/>
      <c r="P242" s="419"/>
      <c r="Q242" s="754">
        <f t="shared" si="309"/>
        <v>140153.53595595478</v>
      </c>
      <c r="R242" s="418"/>
      <c r="S242" s="419"/>
      <c r="T242" s="754">
        <f t="shared" si="310"/>
        <v>137765.2694239699</v>
      </c>
      <c r="U242" s="418"/>
      <c r="V242" s="419"/>
      <c r="W242" s="754">
        <f t="shared" si="311"/>
        <v>135754.09760756159</v>
      </c>
      <c r="X242" s="418"/>
      <c r="Y242" s="419"/>
      <c r="Z242" s="754">
        <f t="shared" si="312"/>
        <v>133868.62402967882</v>
      </c>
      <c r="AA242" s="418"/>
      <c r="AB242" s="419"/>
      <c r="AC242" s="754">
        <f t="shared" si="313"/>
        <v>130349.07335096426</v>
      </c>
      <c r="AD242" s="418"/>
      <c r="AE242" s="419"/>
      <c r="AF242" s="754">
        <f t="shared" si="314"/>
        <v>125698.23852552001</v>
      </c>
      <c r="AG242" s="418"/>
      <c r="AH242" s="419"/>
      <c r="AI242" s="754">
        <f t="shared" si="315"/>
        <v>122814.14892264002</v>
      </c>
      <c r="AJ242" s="418"/>
      <c r="AK242" s="419"/>
      <c r="AL242" s="754">
        <f t="shared" si="316"/>
        <v>122814.14892264002</v>
      </c>
      <c r="AM242" s="418"/>
      <c r="AN242" s="419"/>
      <c r="AO242" s="754">
        <f t="shared" si="317"/>
        <v>120170.40012000001</v>
      </c>
      <c r="AP242" s="418"/>
      <c r="AQ242" s="419"/>
      <c r="AR242" s="417">
        <f t="shared" si="318"/>
        <v>117259.03616858955</v>
      </c>
      <c r="AS242" s="418"/>
      <c r="AT242" s="419"/>
      <c r="AU242" s="28"/>
      <c r="AV242" s="28"/>
      <c r="AW242" s="28"/>
      <c r="AX242" s="28"/>
      <c r="AY242" s="28"/>
      <c r="AZ242" s="28"/>
      <c r="BA242" s="28"/>
      <c r="BB242" s="28"/>
      <c r="BC242" s="28"/>
      <c r="BD242" s="28"/>
      <c r="BE242" s="28"/>
      <c r="BF242" s="28"/>
      <c r="BG242" s="28"/>
      <c r="BH242" s="28"/>
      <c r="BI242" s="28"/>
      <c r="BJ242" s="28"/>
      <c r="BK242" s="33"/>
      <c r="BL242" s="33"/>
    </row>
    <row r="243" spans="1:64" ht="12.75">
      <c r="A243" s="28"/>
      <c r="B243" s="420">
        <v>14</v>
      </c>
      <c r="C243" s="421">
        <v>7.0000000000000007E-2</v>
      </c>
      <c r="D243" s="422" t="s">
        <v>144</v>
      </c>
      <c r="E243" s="755">
        <f t="shared" si="305"/>
        <v>10689.545225744656</v>
      </c>
      <c r="F243" s="424"/>
      <c r="G243" s="419"/>
      <c r="H243" s="755">
        <f t="shared" si="306"/>
        <v>10428.824610482594</v>
      </c>
      <c r="I243" s="424"/>
      <c r="J243" s="419"/>
      <c r="K243" s="755">
        <f t="shared" si="307"/>
        <v>10203.177417593506</v>
      </c>
      <c r="L243" s="424"/>
      <c r="M243" s="419"/>
      <c r="N243" s="755">
        <f t="shared" si="308"/>
        <v>9997.1517197382545</v>
      </c>
      <c r="O243" s="424"/>
      <c r="P243" s="419"/>
      <c r="Q243" s="755">
        <f t="shared" si="309"/>
        <v>9810.7475169168356</v>
      </c>
      <c r="R243" s="424"/>
      <c r="S243" s="419"/>
      <c r="T243" s="755">
        <f t="shared" si="310"/>
        <v>9643.5688596778946</v>
      </c>
      <c r="U243" s="424"/>
      <c r="V243" s="419"/>
      <c r="W243" s="755">
        <f t="shared" si="311"/>
        <v>9502.786832529313</v>
      </c>
      <c r="X243" s="424"/>
      <c r="Y243" s="419"/>
      <c r="Z243" s="755">
        <f t="shared" si="312"/>
        <v>9370.8036820775178</v>
      </c>
      <c r="AA243" s="424"/>
      <c r="AB243" s="419"/>
      <c r="AC243" s="755">
        <f t="shared" si="313"/>
        <v>9124.4351345674986</v>
      </c>
      <c r="AD243" s="424"/>
      <c r="AE243" s="419"/>
      <c r="AF243" s="755">
        <f t="shared" si="314"/>
        <v>8798.8766967864012</v>
      </c>
      <c r="AG243" s="424"/>
      <c r="AH243" s="419"/>
      <c r="AI243" s="755">
        <f t="shared" si="315"/>
        <v>8596.9904245848011</v>
      </c>
      <c r="AJ243" s="424"/>
      <c r="AK243" s="419"/>
      <c r="AL243" s="755">
        <f t="shared" si="316"/>
        <v>8596.9904245848011</v>
      </c>
      <c r="AM243" s="424"/>
      <c r="AN243" s="419"/>
      <c r="AO243" s="755">
        <f t="shared" si="317"/>
        <v>8411.928008400002</v>
      </c>
      <c r="AP243" s="424"/>
      <c r="AQ243" s="419"/>
      <c r="AR243" s="423">
        <f t="shared" si="318"/>
        <v>8208.1325318012696</v>
      </c>
      <c r="AS243" s="424"/>
      <c r="AT243" s="419"/>
      <c r="AU243" s="28"/>
      <c r="AV243" s="28"/>
      <c r="AW243" s="28"/>
      <c r="AX243" s="28"/>
      <c r="AY243" s="28"/>
      <c r="AZ243" s="28"/>
      <c r="BA243" s="28"/>
      <c r="BB243" s="28"/>
      <c r="BC243" s="28"/>
      <c r="BD243" s="28"/>
      <c r="BE243" s="28"/>
      <c r="BF243" s="28"/>
      <c r="BG243" s="28"/>
      <c r="BH243" s="28"/>
      <c r="BI243" s="28"/>
      <c r="BJ243" s="28"/>
      <c r="BK243" s="33"/>
      <c r="BL243" s="33"/>
    </row>
    <row r="244" spans="1:64">
      <c r="A244" s="28"/>
      <c r="B244" s="414">
        <v>18</v>
      </c>
      <c r="C244" s="425">
        <f>C304</f>
        <v>18</v>
      </c>
      <c r="D244" s="426" t="s">
        <v>145</v>
      </c>
      <c r="E244" s="754">
        <f t="shared" si="305"/>
        <v>61229.049642095211</v>
      </c>
      <c r="F244" s="418"/>
      <c r="G244" s="419"/>
      <c r="H244" s="754">
        <f t="shared" si="306"/>
        <v>59735.658187409972</v>
      </c>
      <c r="I244" s="418"/>
      <c r="J244" s="419"/>
      <c r="K244" s="754">
        <f t="shared" si="307"/>
        <v>58443.165112799979</v>
      </c>
      <c r="L244" s="418"/>
      <c r="M244" s="419"/>
      <c r="N244" s="754">
        <f t="shared" si="308"/>
        <v>57263.06274032998</v>
      </c>
      <c r="O244" s="418"/>
      <c r="P244" s="419"/>
      <c r="Q244" s="754">
        <f t="shared" si="309"/>
        <v>56195.35106999999</v>
      </c>
      <c r="R244" s="418"/>
      <c r="S244" s="419"/>
      <c r="T244" s="754">
        <f t="shared" si="310"/>
        <v>55237.762127999995</v>
      </c>
      <c r="U244" s="418"/>
      <c r="V244" s="419"/>
      <c r="W244" s="754">
        <f t="shared" si="311"/>
        <v>54431.371439999988</v>
      </c>
      <c r="X244" s="418"/>
      <c r="Y244" s="419"/>
      <c r="Z244" s="754">
        <f t="shared" si="312"/>
        <v>53675.380170000004</v>
      </c>
      <c r="AA244" s="418"/>
      <c r="AB244" s="419"/>
      <c r="AC244" s="754">
        <f t="shared" si="313"/>
        <v>52264.196466000001</v>
      </c>
      <c r="AD244" s="418"/>
      <c r="AE244" s="419"/>
      <c r="AF244" s="754">
        <f t="shared" si="314"/>
        <v>50399.418000000005</v>
      </c>
      <c r="AG244" s="418"/>
      <c r="AH244" s="419"/>
      <c r="AI244" s="754">
        <f t="shared" si="315"/>
        <v>49243.025999999998</v>
      </c>
      <c r="AJ244" s="418"/>
      <c r="AK244" s="419"/>
      <c r="AL244" s="754">
        <f t="shared" si="316"/>
        <v>49243.025999999998</v>
      </c>
      <c r="AM244" s="418"/>
      <c r="AN244" s="419"/>
      <c r="AO244" s="754">
        <f t="shared" si="317"/>
        <v>48183</v>
      </c>
      <c r="AP244" s="418"/>
      <c r="AQ244" s="419"/>
      <c r="AR244" s="417">
        <f t="shared" si="318"/>
        <v>47016.4783244348</v>
      </c>
      <c r="AS244" s="418"/>
      <c r="AT244" s="419"/>
      <c r="AU244" s="28"/>
      <c r="AV244" s="28"/>
      <c r="AW244" s="28"/>
      <c r="AX244" s="28"/>
      <c r="AY244" s="28"/>
      <c r="AZ244" s="28"/>
      <c r="BA244" s="28"/>
      <c r="BB244" s="28"/>
      <c r="BC244" s="28"/>
      <c r="BD244" s="28"/>
      <c r="BE244" s="28"/>
      <c r="BF244" s="28"/>
      <c r="BG244" s="28"/>
      <c r="BH244" s="28"/>
      <c r="BI244" s="28"/>
      <c r="BJ244" s="28"/>
      <c r="BK244" s="33"/>
      <c r="BL244" s="33"/>
    </row>
    <row r="245" spans="1:64" ht="12.75">
      <c r="A245" s="28"/>
      <c r="B245" s="420">
        <v>188</v>
      </c>
      <c r="C245" s="421">
        <v>7.0000000000000007E-2</v>
      </c>
      <c r="D245" s="422" t="s">
        <v>96</v>
      </c>
      <c r="E245" s="755">
        <f t="shared" si="305"/>
        <v>122092.71695899009</v>
      </c>
      <c r="F245" s="424"/>
      <c r="G245" s="419"/>
      <c r="H245" s="755">
        <f t="shared" si="306"/>
        <v>119217.28483803909</v>
      </c>
      <c r="I245" s="424"/>
      <c r="J245" s="419"/>
      <c r="K245" s="755">
        <f t="shared" si="307"/>
        <v>116728.67002028289</v>
      </c>
      <c r="L245" s="424"/>
      <c r="M245" s="419"/>
      <c r="N245" s="755">
        <f t="shared" si="308"/>
        <v>114456.45649102716</v>
      </c>
      <c r="O245" s="424"/>
      <c r="P245" s="419"/>
      <c r="Q245" s="755">
        <f t="shared" si="309"/>
        <v>112400.644250272</v>
      </c>
      <c r="R245" s="424"/>
      <c r="S245" s="419"/>
      <c r="T245" s="755">
        <f t="shared" si="310"/>
        <v>110556.79411047218</v>
      </c>
      <c r="U245" s="424"/>
      <c r="V245" s="419"/>
      <c r="W245" s="755">
        <f t="shared" si="311"/>
        <v>109004.14018185217</v>
      </c>
      <c r="X245" s="424"/>
      <c r="Y245" s="419"/>
      <c r="Z245" s="755">
        <f t="shared" si="312"/>
        <v>107548.53808540801</v>
      </c>
      <c r="AA245" s="424"/>
      <c r="AB245" s="419"/>
      <c r="AC245" s="755">
        <f t="shared" si="313"/>
        <v>104831.39621584001</v>
      </c>
      <c r="AD245" s="424"/>
      <c r="AE245" s="419"/>
      <c r="AF245" s="755">
        <f t="shared" si="314"/>
        <v>101240.87053875203</v>
      </c>
      <c r="AG245" s="424"/>
      <c r="AH245" s="419"/>
      <c r="AI245" s="755">
        <f t="shared" si="315"/>
        <v>99014.303641098973</v>
      </c>
      <c r="AJ245" s="424"/>
      <c r="AK245" s="419"/>
      <c r="AL245" s="755">
        <f t="shared" si="316"/>
        <v>94814.303641098973</v>
      </c>
      <c r="AM245" s="424"/>
      <c r="AN245" s="419"/>
      <c r="AO245" s="755">
        <f t="shared" si="317"/>
        <v>92773.291233951997</v>
      </c>
      <c r="AP245" s="424"/>
      <c r="AQ245" s="419"/>
      <c r="AR245" s="423">
        <f t="shared" si="318"/>
        <v>90537.128666444871</v>
      </c>
      <c r="AS245" s="424"/>
      <c r="AT245" s="419"/>
      <c r="AU245" s="28"/>
      <c r="AV245" s="28"/>
      <c r="AW245" s="28"/>
      <c r="AX245" s="28"/>
      <c r="AY245" s="28"/>
      <c r="AZ245" s="28"/>
      <c r="BA245" s="28"/>
      <c r="BB245" s="28"/>
      <c r="BC245" s="28"/>
      <c r="BD245" s="28"/>
      <c r="BE245" s="28"/>
      <c r="BF245" s="28"/>
      <c r="BG245" s="28"/>
      <c r="BH245" s="28"/>
      <c r="BI245" s="28"/>
      <c r="BJ245" s="28"/>
      <c r="BK245" s="33"/>
      <c r="BL245" s="33"/>
    </row>
    <row r="246" spans="1:64" ht="15">
      <c r="A246" s="28"/>
      <c r="B246" s="427">
        <v>78</v>
      </c>
      <c r="C246" s="428">
        <v>0.2</v>
      </c>
      <c r="D246" s="429" t="s">
        <v>99</v>
      </c>
      <c r="E246" s="754">
        <f t="shared" si="305"/>
        <v>128051.72881492315</v>
      </c>
      <c r="F246" s="418"/>
      <c r="G246" s="419"/>
      <c r="H246" s="754">
        <f t="shared" si="306"/>
        <v>125050.46713651037</v>
      </c>
      <c r="I246" s="418"/>
      <c r="J246" s="419"/>
      <c r="K246" s="754">
        <f t="shared" si="307"/>
        <v>122452.949973632</v>
      </c>
      <c r="L246" s="418"/>
      <c r="M246" s="419"/>
      <c r="N246" s="754">
        <f t="shared" si="308"/>
        <v>120081.30386839519</v>
      </c>
      <c r="O246" s="418"/>
      <c r="P246" s="419"/>
      <c r="Q246" s="754">
        <f t="shared" si="309"/>
        <v>117935.52882080001</v>
      </c>
      <c r="R246" s="418"/>
      <c r="S246" s="419"/>
      <c r="T246" s="754">
        <f t="shared" si="310"/>
        <v>116010.9807692288</v>
      </c>
      <c r="U246" s="418"/>
      <c r="V246" s="419"/>
      <c r="W246" s="754">
        <f t="shared" si="311"/>
        <v>114390.382509824</v>
      </c>
      <c r="X246" s="418"/>
      <c r="Y246" s="419"/>
      <c r="Z246" s="754">
        <f t="shared" si="312"/>
        <v>112871.08469120001</v>
      </c>
      <c r="AA246" s="418"/>
      <c r="AB246" s="419"/>
      <c r="AC246" s="754">
        <f t="shared" si="313"/>
        <v>110035.04072</v>
      </c>
      <c r="AD246" s="418"/>
      <c r="AE246" s="419"/>
      <c r="AF246" s="754">
        <f t="shared" si="314"/>
        <v>106287.39121280001</v>
      </c>
      <c r="AG246" s="418"/>
      <c r="AH246" s="419"/>
      <c r="AI246" s="754">
        <f t="shared" si="315"/>
        <v>103963.38833464163</v>
      </c>
      <c r="AJ246" s="418"/>
      <c r="AK246" s="419"/>
      <c r="AL246" s="754">
        <f t="shared" si="316"/>
        <v>98963.388334641626</v>
      </c>
      <c r="AM246" s="418"/>
      <c r="AN246" s="419"/>
      <c r="AO246" s="754">
        <f t="shared" si="317"/>
        <v>96833.060992800005</v>
      </c>
      <c r="AP246" s="418"/>
      <c r="AQ246" s="419"/>
      <c r="AR246" s="417">
        <f t="shared" si="318"/>
        <v>94487.634172800012</v>
      </c>
      <c r="AS246" s="418"/>
      <c r="AT246" s="419"/>
      <c r="AU246" s="28"/>
      <c r="AV246" s="28"/>
      <c r="AW246" s="28"/>
      <c r="AX246" s="28"/>
      <c r="AY246" s="28"/>
      <c r="AZ246" s="28"/>
      <c r="BA246" s="28"/>
      <c r="BB246" s="28"/>
      <c r="BC246" s="28"/>
      <c r="BD246" s="28"/>
      <c r="BE246" s="28"/>
      <c r="BF246" s="28"/>
      <c r="BG246" s="28"/>
      <c r="BH246" s="28"/>
      <c r="BI246" s="28"/>
      <c r="BJ246" s="28"/>
      <c r="BK246" s="33"/>
      <c r="BL246" s="33"/>
    </row>
    <row r="247" spans="1:64">
      <c r="A247" s="28"/>
      <c r="B247" s="420">
        <v>29</v>
      </c>
      <c r="C247" s="430">
        <f>C307</f>
        <v>0</v>
      </c>
      <c r="D247" s="422" t="s">
        <v>102</v>
      </c>
      <c r="E247" s="755">
        <f t="shared" si="305"/>
        <v>0</v>
      </c>
      <c r="F247" s="431" t="s">
        <v>146</v>
      </c>
      <c r="G247" s="419"/>
      <c r="H247" s="755">
        <f t="shared" si="306"/>
        <v>0</v>
      </c>
      <c r="I247" s="431" t="s">
        <v>146</v>
      </c>
      <c r="J247" s="419"/>
      <c r="K247" s="755">
        <f t="shared" si="307"/>
        <v>0</v>
      </c>
      <c r="L247" s="431" t="s">
        <v>146</v>
      </c>
      <c r="M247" s="419"/>
      <c r="N247" s="755">
        <f t="shared" si="308"/>
        <v>0</v>
      </c>
      <c r="O247" s="431" t="s">
        <v>146</v>
      </c>
      <c r="P247" s="419"/>
      <c r="Q247" s="755">
        <f t="shared" si="309"/>
        <v>0</v>
      </c>
      <c r="R247" s="431" t="s">
        <v>146</v>
      </c>
      <c r="S247" s="419"/>
      <c r="T247" s="755">
        <f t="shared" si="310"/>
        <v>0</v>
      </c>
      <c r="U247" s="431" t="s">
        <v>146</v>
      </c>
      <c r="V247" s="419"/>
      <c r="W247" s="755">
        <f t="shared" si="311"/>
        <v>0</v>
      </c>
      <c r="X247" s="431" t="s">
        <v>146</v>
      </c>
      <c r="Y247" s="419"/>
      <c r="Z247" s="755">
        <f t="shared" si="312"/>
        <v>0</v>
      </c>
      <c r="AA247" s="431" t="s">
        <v>146</v>
      </c>
      <c r="AB247" s="419"/>
      <c r="AC247" s="755">
        <f t="shared" si="313"/>
        <v>0</v>
      </c>
      <c r="AD247" s="431" t="s">
        <v>146</v>
      </c>
      <c r="AE247" s="419"/>
      <c r="AF247" s="755">
        <f t="shared" si="314"/>
        <v>0</v>
      </c>
      <c r="AG247" s="431" t="s">
        <v>146</v>
      </c>
      <c r="AH247" s="419"/>
      <c r="AI247" s="755">
        <f t="shared" si="315"/>
        <v>0</v>
      </c>
      <c r="AJ247" s="431" t="s">
        <v>146</v>
      </c>
      <c r="AK247" s="419"/>
      <c r="AL247" s="755">
        <f t="shared" si="316"/>
        <v>0</v>
      </c>
      <c r="AM247" s="431" t="s">
        <v>146</v>
      </c>
      <c r="AN247" s="419"/>
      <c r="AO247" s="755">
        <f t="shared" si="317"/>
        <v>0</v>
      </c>
      <c r="AP247" s="431" t="s">
        <v>146</v>
      </c>
      <c r="AQ247" s="419"/>
      <c r="AR247" s="423">
        <f t="shared" si="318"/>
        <v>0</v>
      </c>
      <c r="AS247" s="431" t="s">
        <v>146</v>
      </c>
      <c r="AT247" s="419"/>
      <c r="AU247" s="28"/>
      <c r="AV247" s="28"/>
      <c r="AW247" s="28"/>
      <c r="AX247" s="28"/>
      <c r="AY247" s="28"/>
      <c r="AZ247" s="28"/>
      <c r="BA247" s="28"/>
      <c r="BB247" s="28"/>
      <c r="BC247" s="28"/>
      <c r="BD247" s="28"/>
      <c r="BE247" s="28"/>
      <c r="BF247" s="28"/>
      <c r="BG247" s="28"/>
      <c r="BH247" s="28"/>
      <c r="BI247" s="28"/>
      <c r="BJ247" s="28"/>
      <c r="BK247" s="33"/>
      <c r="BL247" s="33"/>
    </row>
    <row r="248" spans="1:64">
      <c r="A248" s="28"/>
      <c r="B248" s="414">
        <v>117</v>
      </c>
      <c r="C248" s="432"/>
      <c r="D248" s="416" t="s">
        <v>101</v>
      </c>
      <c r="E248" s="754">
        <f t="shared" si="305"/>
        <v>43246.518843155973</v>
      </c>
      <c r="F248" s="881"/>
      <c r="G248" s="419"/>
      <c r="H248" s="754">
        <f t="shared" si="306"/>
        <v>42191.725700639981</v>
      </c>
      <c r="I248" s="878"/>
      <c r="J248" s="419"/>
      <c r="K248" s="754">
        <f t="shared" si="307"/>
        <v>41278.828531199986</v>
      </c>
      <c r="L248" s="876"/>
      <c r="M248" s="419"/>
      <c r="N248" s="754">
        <f t="shared" si="308"/>
        <v>40445.313724319989</v>
      </c>
      <c r="O248" s="865"/>
      <c r="P248" s="419"/>
      <c r="Q248" s="754">
        <f t="shared" si="309"/>
        <v>39691.181279999997</v>
      </c>
      <c r="R248" s="863"/>
      <c r="S248" s="419"/>
      <c r="T248" s="754">
        <f t="shared" si="310"/>
        <v>39014.829311999994</v>
      </c>
      <c r="U248" s="847"/>
      <c r="V248" s="419"/>
      <c r="W248" s="754">
        <f t="shared" si="311"/>
        <v>38445.269759999996</v>
      </c>
      <c r="X248" s="845"/>
      <c r="Y248" s="419"/>
      <c r="Z248" s="754">
        <f t="shared" si="312"/>
        <v>37911.307679999998</v>
      </c>
      <c r="AA248" s="814"/>
      <c r="AB248" s="419"/>
      <c r="AC248" s="754">
        <f t="shared" si="313"/>
        <v>36914.578463999998</v>
      </c>
      <c r="AD248" s="812"/>
      <c r="AE248" s="419"/>
      <c r="AF248" s="754">
        <f t="shared" si="314"/>
        <v>35597.472000000002</v>
      </c>
      <c r="AG248" s="748"/>
      <c r="AH248" s="419"/>
      <c r="AI248" s="754">
        <f t="shared" si="315"/>
        <v>34780.703999999998</v>
      </c>
      <c r="AJ248" s="751"/>
      <c r="AK248" s="419"/>
      <c r="AL248" s="754">
        <f t="shared" si="316"/>
        <v>34780.703999999998</v>
      </c>
      <c r="AM248" s="748"/>
      <c r="AN248" s="419"/>
      <c r="AO248" s="754">
        <f t="shared" si="317"/>
        <v>34032</v>
      </c>
      <c r="AP248" s="715"/>
      <c r="AQ248" s="419"/>
      <c r="AR248" s="417">
        <f t="shared" si="318"/>
        <v>33207.85812943583</v>
      </c>
      <c r="AS248" s="715"/>
      <c r="AT248" s="419"/>
      <c r="AU248" s="28"/>
      <c r="AV248" s="28"/>
      <c r="AW248" s="28"/>
      <c r="AX248" s="28"/>
      <c r="AY248" s="28"/>
      <c r="AZ248" s="28"/>
      <c r="BA248" s="28"/>
      <c r="BB248" s="28"/>
      <c r="BC248" s="28"/>
      <c r="BD248" s="28"/>
      <c r="BE248" s="28"/>
      <c r="BF248" s="28"/>
      <c r="BG248" s="28"/>
      <c r="BH248" s="28"/>
      <c r="BI248" s="28"/>
      <c r="BJ248" s="28"/>
      <c r="BK248" s="33"/>
      <c r="BL248" s="33"/>
    </row>
    <row r="249" spans="1:64" ht="16.5" thickBot="1">
      <c r="A249" s="28"/>
      <c r="B249" s="433">
        <v>38</v>
      </c>
      <c r="C249" s="434">
        <f>D233</f>
        <v>15</v>
      </c>
      <c r="D249" s="435" t="s">
        <v>147</v>
      </c>
      <c r="E249" s="755">
        <f t="shared" si="305"/>
        <v>103085.35657838669</v>
      </c>
      <c r="F249" s="424"/>
      <c r="G249" s="419"/>
      <c r="H249" s="755">
        <f t="shared" si="306"/>
        <v>100571.07958866995</v>
      </c>
      <c r="I249" s="424"/>
      <c r="J249" s="419"/>
      <c r="K249" s="755">
        <f t="shared" si="307"/>
        <v>98395.035533599963</v>
      </c>
      <c r="L249" s="424"/>
      <c r="M249" s="419"/>
      <c r="N249" s="755">
        <f t="shared" si="308"/>
        <v>96408.212700709977</v>
      </c>
      <c r="O249" s="424"/>
      <c r="P249" s="419"/>
      <c r="Q249" s="755">
        <f t="shared" si="309"/>
        <v>94610.611089999991</v>
      </c>
      <c r="R249" s="424"/>
      <c r="S249" s="419"/>
      <c r="T249" s="755">
        <f t="shared" si="310"/>
        <v>92998.412335999994</v>
      </c>
      <c r="U249" s="424"/>
      <c r="V249" s="419"/>
      <c r="W249" s="755">
        <f t="shared" si="311"/>
        <v>91640.771279999986</v>
      </c>
      <c r="X249" s="424"/>
      <c r="Y249" s="419"/>
      <c r="Z249" s="755">
        <f t="shared" si="312"/>
        <v>90367.982790000009</v>
      </c>
      <c r="AA249" s="424"/>
      <c r="AB249" s="419"/>
      <c r="AC249" s="755">
        <f t="shared" si="313"/>
        <v>87992.110941999999</v>
      </c>
      <c r="AD249" s="424"/>
      <c r="AE249" s="419"/>
      <c r="AF249" s="755">
        <f t="shared" si="314"/>
        <v>84852.566000000006</v>
      </c>
      <c r="AG249" s="424"/>
      <c r="AH249" s="419"/>
      <c r="AI249" s="755">
        <f t="shared" si="315"/>
        <v>82905.661999999997</v>
      </c>
      <c r="AJ249" s="424"/>
      <c r="AK249" s="419"/>
      <c r="AL249" s="755">
        <f t="shared" si="316"/>
        <v>82905.661999999997</v>
      </c>
      <c r="AM249" s="424"/>
      <c r="AN249" s="419"/>
      <c r="AO249" s="755">
        <f t="shared" si="317"/>
        <v>81121</v>
      </c>
      <c r="AP249" s="424"/>
      <c r="AQ249" s="419"/>
      <c r="AR249" s="423">
        <f t="shared" si="318"/>
        <v>79311.605850313033</v>
      </c>
      <c r="AS249" s="424"/>
      <c r="AT249" s="419"/>
      <c r="AU249" s="28"/>
      <c r="AV249" s="28"/>
      <c r="AW249" s="28"/>
      <c r="AX249" s="28"/>
      <c r="AY249" s="28"/>
      <c r="AZ249" s="28"/>
      <c r="BA249" s="28"/>
      <c r="BB249" s="28"/>
      <c r="BC249" s="28"/>
      <c r="BD249" s="28"/>
      <c r="BE249" s="28"/>
      <c r="BF249" s="28"/>
      <c r="BG249" s="28"/>
      <c r="BH249" s="28"/>
      <c r="BI249" s="28"/>
      <c r="BJ249" s="28"/>
      <c r="BK249" s="33"/>
      <c r="BL249" s="33"/>
    </row>
    <row r="250" spans="1:64" s="748" customFormat="1" ht="16.5" thickBot="1">
      <c r="A250" s="28"/>
      <c r="B250" s="763">
        <v>25</v>
      </c>
      <c r="C250" s="810">
        <v>1</v>
      </c>
      <c r="D250" s="765" t="s">
        <v>197</v>
      </c>
      <c r="E250" s="766">
        <f>E310</f>
        <v>25000</v>
      </c>
      <c r="F250" s="424"/>
      <c r="G250" s="419"/>
      <c r="H250" s="766">
        <f>H310</f>
        <v>25000</v>
      </c>
      <c r="I250" s="424"/>
      <c r="J250" s="419"/>
      <c r="K250" s="766">
        <f>K310</f>
        <v>25000</v>
      </c>
      <c r="L250" s="424"/>
      <c r="M250" s="419"/>
      <c r="N250" s="766">
        <f>N310</f>
        <v>25000</v>
      </c>
      <c r="O250" s="424"/>
      <c r="P250" s="419"/>
      <c r="Q250" s="766">
        <f>Q310</f>
        <v>25000</v>
      </c>
      <c r="R250" s="424"/>
      <c r="S250" s="419"/>
      <c r="T250" s="766">
        <f>T310</f>
        <v>25000</v>
      </c>
      <c r="U250" s="424"/>
      <c r="V250" s="419"/>
      <c r="W250" s="766">
        <f>W310</f>
        <v>25000</v>
      </c>
      <c r="X250" s="424"/>
      <c r="Y250" s="419"/>
      <c r="Z250" s="766">
        <f>Z310</f>
        <v>25000</v>
      </c>
      <c r="AA250" s="424"/>
      <c r="AB250" s="419"/>
      <c r="AC250" s="766">
        <f>AC310</f>
        <v>25000</v>
      </c>
      <c r="AD250" s="424"/>
      <c r="AE250" s="419"/>
      <c r="AF250" s="766">
        <f>AF310</f>
        <v>25000</v>
      </c>
      <c r="AG250" s="424"/>
      <c r="AH250" s="419"/>
      <c r="AI250" s="766">
        <f>AI310</f>
        <v>25000</v>
      </c>
      <c r="AJ250" s="424"/>
      <c r="AK250" s="419"/>
      <c r="AL250" s="755"/>
      <c r="AM250" s="424"/>
      <c r="AN250" s="419"/>
      <c r="AO250" s="755"/>
      <c r="AP250" s="424"/>
      <c r="AQ250" s="419"/>
      <c r="AR250" s="423"/>
      <c r="AS250" s="424"/>
      <c r="AT250" s="419"/>
      <c r="AU250" s="28"/>
      <c r="AV250" s="28"/>
      <c r="AW250" s="28"/>
      <c r="AX250" s="28"/>
      <c r="AY250" s="28"/>
      <c r="AZ250" s="28"/>
      <c r="BA250" s="28"/>
      <c r="BB250" s="28"/>
      <c r="BC250" s="28"/>
      <c r="BD250" s="28"/>
      <c r="BE250" s="28"/>
      <c r="BF250" s="28"/>
      <c r="BG250" s="28"/>
      <c r="BH250" s="28"/>
      <c r="BI250" s="28"/>
      <c r="BJ250" s="28"/>
      <c r="BK250" s="749"/>
      <c r="BL250" s="749"/>
    </row>
    <row r="251" spans="1:64">
      <c r="A251" s="28"/>
      <c r="B251" s="433"/>
      <c r="C251" s="434"/>
      <c r="D251" s="435"/>
      <c r="E251" s="755"/>
      <c r="F251" s="424"/>
      <c r="G251" s="419"/>
      <c r="H251" s="755"/>
      <c r="I251" s="424"/>
      <c r="J251" s="419"/>
      <c r="K251" s="755"/>
      <c r="L251" s="424"/>
      <c r="M251" s="419"/>
      <c r="N251" s="755"/>
      <c r="O251" s="424"/>
      <c r="P251" s="419"/>
      <c r="Q251" s="755"/>
      <c r="R251" s="424"/>
      <c r="S251" s="419"/>
      <c r="T251" s="755"/>
      <c r="U251" s="424"/>
      <c r="V251" s="419"/>
      <c r="W251" s="755"/>
      <c r="X251" s="424"/>
      <c r="Y251" s="419"/>
      <c r="Z251" s="755"/>
      <c r="AA251" s="424"/>
      <c r="AB251" s="419"/>
      <c r="AC251" s="755"/>
      <c r="AD251" s="424"/>
      <c r="AE251" s="419"/>
      <c r="AF251" s="755"/>
      <c r="AG251" s="424"/>
      <c r="AH251" s="419"/>
      <c r="AI251" s="755"/>
      <c r="AJ251" s="424"/>
      <c r="AK251" s="419"/>
      <c r="AL251" s="755"/>
      <c r="AM251" s="424"/>
      <c r="AN251" s="419"/>
      <c r="AO251" s="755"/>
      <c r="AP251" s="424"/>
      <c r="AQ251" s="419"/>
      <c r="AR251" s="423"/>
      <c r="AS251" s="424"/>
      <c r="AT251" s="419"/>
      <c r="AU251" s="28"/>
      <c r="AV251" s="28"/>
      <c r="AW251" s="28"/>
      <c r="AX251" s="28"/>
      <c r="AY251" s="28"/>
      <c r="AZ251" s="28"/>
      <c r="BA251" s="28"/>
      <c r="BB251" s="28"/>
      <c r="BC251" s="28"/>
      <c r="BD251" s="28"/>
      <c r="BE251" s="28"/>
      <c r="BF251" s="28"/>
      <c r="BG251" s="28"/>
      <c r="BH251" s="28"/>
      <c r="BI251" s="28"/>
      <c r="BJ251" s="28"/>
      <c r="BK251" s="33"/>
      <c r="BL251" s="33"/>
    </row>
    <row r="252" spans="1:64">
      <c r="A252" s="28"/>
      <c r="B252" s="427"/>
      <c r="C252" s="436"/>
      <c r="D252" s="437" t="s">
        <v>148</v>
      </c>
      <c r="E252" s="756">
        <f>E311</f>
        <v>2029671.7219666594</v>
      </c>
      <c r="F252" s="418"/>
      <c r="G252" s="419"/>
      <c r="H252" s="756">
        <f>H311</f>
        <v>1981733.3872845459</v>
      </c>
      <c r="I252" s="418"/>
      <c r="J252" s="419"/>
      <c r="K252" s="756">
        <f>K311</f>
        <v>1940243.9536932535</v>
      </c>
      <c r="L252" s="418"/>
      <c r="M252" s="419"/>
      <c r="N252" s="756">
        <f>N311</f>
        <v>1902362.2969359856</v>
      </c>
      <c r="O252" s="418"/>
      <c r="P252" s="419"/>
      <c r="Q252" s="756">
        <f>Q311</f>
        <v>1868088.4170127437</v>
      </c>
      <c r="R252" s="418"/>
      <c r="S252" s="419"/>
      <c r="T252" s="756">
        <f>T311</f>
        <v>1837348.4054008655</v>
      </c>
      <c r="U252" s="418"/>
      <c r="V252" s="419"/>
      <c r="W252" s="756">
        <f>W311</f>
        <v>1811463.0272198315</v>
      </c>
      <c r="X252" s="418"/>
      <c r="Y252" s="419"/>
      <c r="Z252" s="756">
        <f>Z311</f>
        <v>1787195.6527315644</v>
      </c>
      <c r="AA252" s="418"/>
      <c r="AB252" s="419"/>
      <c r="AC252" s="756">
        <f>AC311</f>
        <v>1741896.2792133719</v>
      </c>
      <c r="AD252" s="418"/>
      <c r="AE252" s="419"/>
      <c r="AF252" s="756">
        <f>AF311</f>
        <v>1682036.1363146589</v>
      </c>
      <c r="AG252" s="418"/>
      <c r="AH252" s="419"/>
      <c r="AI252" s="756">
        <f>AI311</f>
        <v>1644915.4950040232</v>
      </c>
      <c r="AJ252" s="418"/>
      <c r="AK252" s="419"/>
      <c r="AL252" s="756">
        <f>AL311</f>
        <v>1580715.4950040232</v>
      </c>
      <c r="AM252" s="418"/>
      <c r="AN252" s="419"/>
      <c r="AO252" s="756">
        <f>AO311</f>
        <v>1546688.3512759516</v>
      </c>
      <c r="AP252" s="418"/>
      <c r="AQ252" s="419"/>
      <c r="AR252" s="438">
        <f>AR311</f>
        <v>1509391.8497446193</v>
      </c>
      <c r="AS252" s="418"/>
      <c r="AT252" s="419"/>
      <c r="AU252" s="28"/>
      <c r="AV252" s="28"/>
      <c r="AW252" s="28"/>
      <c r="AX252" s="28"/>
      <c r="AY252" s="28"/>
      <c r="AZ252" s="28"/>
      <c r="BA252" s="28"/>
      <c r="BB252" s="28"/>
      <c r="BC252" s="28"/>
      <c r="BD252" s="28"/>
      <c r="BE252" s="28"/>
      <c r="BF252" s="28"/>
      <c r="BG252" s="28"/>
      <c r="BH252" s="28"/>
      <c r="BI252" s="28"/>
      <c r="BJ252" s="28"/>
      <c r="BK252" s="33"/>
      <c r="BL252" s="33"/>
    </row>
    <row r="253" spans="1:64" ht="15">
      <c r="A253" s="28"/>
      <c r="B253" s="439" t="s">
        <v>149</v>
      </c>
      <c r="C253" s="440"/>
      <c r="D253" s="441"/>
      <c r="E253" s="442">
        <v>0</v>
      </c>
      <c r="F253" s="424"/>
      <c r="G253" s="419"/>
      <c r="H253" s="442">
        <v>0</v>
      </c>
      <c r="I253" s="424"/>
      <c r="J253" s="419"/>
      <c r="K253" s="442">
        <v>0</v>
      </c>
      <c r="L253" s="424"/>
      <c r="M253" s="419"/>
      <c r="N253" s="442">
        <v>0</v>
      </c>
      <c r="O253" s="424"/>
      <c r="P253" s="419"/>
      <c r="Q253" s="442">
        <v>0</v>
      </c>
      <c r="R253" s="424"/>
      <c r="S253" s="419"/>
      <c r="T253" s="442">
        <v>0</v>
      </c>
      <c r="U253" s="424"/>
      <c r="V253" s="419"/>
      <c r="W253" s="442">
        <v>0</v>
      </c>
      <c r="X253" s="424"/>
      <c r="Y253" s="419"/>
      <c r="Z253" s="442">
        <v>0</v>
      </c>
      <c r="AA253" s="424"/>
      <c r="AB253" s="419"/>
      <c r="AC253" s="442">
        <v>0</v>
      </c>
      <c r="AD253" s="424"/>
      <c r="AE253" s="419"/>
      <c r="AF253" s="442">
        <v>0</v>
      </c>
      <c r="AG253" s="424"/>
      <c r="AH253" s="419"/>
      <c r="AI253" s="442">
        <v>0</v>
      </c>
      <c r="AJ253" s="424"/>
      <c r="AK253" s="419"/>
      <c r="AL253" s="442">
        <v>0</v>
      </c>
      <c r="AM253" s="424"/>
      <c r="AN253" s="419"/>
      <c r="AO253" s="442">
        <v>0</v>
      </c>
      <c r="AP253" s="424"/>
      <c r="AQ253" s="419"/>
      <c r="AR253" s="442">
        <v>0</v>
      </c>
      <c r="AS253" s="424"/>
      <c r="AT253" s="419"/>
      <c r="AU253" s="28"/>
      <c r="AV253" s="28"/>
      <c r="AW253" s="28"/>
      <c r="AX253" s="28"/>
      <c r="AY253" s="28"/>
      <c r="AZ253" s="28"/>
      <c r="BA253" s="28"/>
      <c r="BB253" s="28"/>
      <c r="BC253" s="28"/>
      <c r="BD253" s="28"/>
      <c r="BE253" s="28"/>
      <c r="BF253" s="28"/>
      <c r="BG253" s="28"/>
      <c r="BH253" s="28"/>
      <c r="BI253" s="28"/>
      <c r="BJ253" s="28"/>
      <c r="BK253" s="33"/>
      <c r="BL253" s="33"/>
    </row>
    <row r="254" spans="1:64">
      <c r="A254" s="28"/>
      <c r="B254" s="427">
        <v>184</v>
      </c>
      <c r="C254" s="443">
        <f>C313</f>
        <v>30</v>
      </c>
      <c r="D254" s="429" t="s">
        <v>196</v>
      </c>
      <c r="E254" s="417">
        <f t="shared" ref="E254:E257" si="319">E313</f>
        <v>73504.798892999999</v>
      </c>
      <c r="F254" s="418"/>
      <c r="G254" s="419"/>
      <c r="H254" s="417">
        <f t="shared" ref="H254:H257" si="320">H313</f>
        <v>73504.798892999999</v>
      </c>
      <c r="I254" s="418"/>
      <c r="J254" s="419"/>
      <c r="K254" s="417">
        <f t="shared" ref="K254:K257" si="321">K313</f>
        <v>73504.798892999999</v>
      </c>
      <c r="L254" s="418"/>
      <c r="M254" s="419"/>
      <c r="N254" s="417">
        <f t="shared" ref="N254:N257" si="322">N313</f>
        <v>73504.798892999999</v>
      </c>
      <c r="O254" s="418"/>
      <c r="P254" s="419"/>
      <c r="Q254" s="417">
        <f t="shared" ref="Q254:Q257" si="323">Q313</f>
        <v>73504.798892999999</v>
      </c>
      <c r="R254" s="418"/>
      <c r="S254" s="419"/>
      <c r="T254" s="417">
        <f t="shared" ref="T254:T257" si="324">T313</f>
        <v>73504.798892999999</v>
      </c>
      <c r="U254" s="418"/>
      <c r="V254" s="419"/>
      <c r="W254" s="417">
        <f t="shared" ref="W254:W257" si="325">W313</f>
        <v>73504.798892999999</v>
      </c>
      <c r="X254" s="418"/>
      <c r="Y254" s="419"/>
      <c r="Z254" s="417">
        <f t="shared" ref="Z254:Z257" si="326">Z313</f>
        <v>73504.798892999999</v>
      </c>
      <c r="AA254" s="418"/>
      <c r="AB254" s="419"/>
      <c r="AC254" s="417">
        <f t="shared" ref="AC254:AC257" si="327">AC313</f>
        <v>73504.798892999999</v>
      </c>
      <c r="AD254" s="418"/>
      <c r="AE254" s="419"/>
      <c r="AF254" s="417">
        <f t="shared" ref="AF254:AF257" si="328">AF313</f>
        <v>73504.798892999999</v>
      </c>
      <c r="AG254" s="418"/>
      <c r="AH254" s="419"/>
      <c r="AI254" s="417">
        <f t="shared" ref="AI254:AI257" si="329">AI313</f>
        <v>73504.798892999999</v>
      </c>
      <c r="AJ254" s="418"/>
      <c r="AK254" s="419"/>
      <c r="AL254" s="417">
        <f t="shared" ref="AL254:AL257" si="330">AL313</f>
        <v>66399.998999999996</v>
      </c>
      <c r="AM254" s="418"/>
      <c r="AN254" s="419"/>
      <c r="AO254" s="417">
        <f t="shared" ref="AO254:AO257" si="331">AO313</f>
        <v>66399.998999999996</v>
      </c>
      <c r="AP254" s="418"/>
      <c r="AQ254" s="419"/>
      <c r="AR254" s="417">
        <f t="shared" ref="AR254:AR257" si="332">AR313</f>
        <v>66399.998999999996</v>
      </c>
      <c r="AS254" s="418"/>
      <c r="AT254" s="419"/>
      <c r="AU254" s="28"/>
      <c r="AV254" s="28"/>
      <c r="AW254" s="28"/>
      <c r="AX254" s="28"/>
      <c r="AY254" s="28"/>
      <c r="AZ254" s="28"/>
      <c r="BA254" s="28"/>
      <c r="BB254" s="28"/>
      <c r="BC254" s="28"/>
      <c r="BD254" s="28"/>
      <c r="BE254" s="28"/>
      <c r="BF254" s="28"/>
      <c r="BG254" s="28"/>
      <c r="BH254" s="28"/>
      <c r="BI254" s="28"/>
      <c r="BJ254" s="28"/>
      <c r="BK254" s="33"/>
      <c r="BL254" s="33"/>
    </row>
    <row r="255" spans="1:64">
      <c r="A255" s="28"/>
      <c r="B255" s="427">
        <v>204</v>
      </c>
      <c r="C255" s="443">
        <f>C314</f>
        <v>30.000000000000004</v>
      </c>
      <c r="D255" s="429" t="s">
        <v>195</v>
      </c>
      <c r="E255" s="417">
        <f t="shared" si="319"/>
        <v>54907.198893000001</v>
      </c>
      <c r="F255" s="418"/>
      <c r="G255" s="419"/>
      <c r="H255" s="417">
        <f t="shared" si="320"/>
        <v>54907.198893000001</v>
      </c>
      <c r="I255" s="418"/>
      <c r="J255" s="419"/>
      <c r="K255" s="417">
        <f t="shared" si="321"/>
        <v>54907.198893000001</v>
      </c>
      <c r="L255" s="418"/>
      <c r="M255" s="419"/>
      <c r="N255" s="417">
        <f t="shared" si="322"/>
        <v>54907.198893000001</v>
      </c>
      <c r="O255" s="418"/>
      <c r="P255" s="419"/>
      <c r="Q255" s="417">
        <f t="shared" si="323"/>
        <v>54907.198893000001</v>
      </c>
      <c r="R255" s="418"/>
      <c r="S255" s="419"/>
      <c r="T255" s="417">
        <f t="shared" si="324"/>
        <v>54907.198893000001</v>
      </c>
      <c r="U255" s="418"/>
      <c r="V255" s="419"/>
      <c r="W255" s="417">
        <f t="shared" si="325"/>
        <v>54907.198893000001</v>
      </c>
      <c r="X255" s="418"/>
      <c r="Y255" s="419"/>
      <c r="Z255" s="417">
        <f t="shared" si="326"/>
        <v>54907.198893000001</v>
      </c>
      <c r="AA255" s="418"/>
      <c r="AB255" s="419"/>
      <c r="AC255" s="417">
        <f t="shared" si="327"/>
        <v>54907.198893000001</v>
      </c>
      <c r="AD255" s="418"/>
      <c r="AE255" s="419"/>
      <c r="AF255" s="417">
        <f t="shared" si="328"/>
        <v>54907.198893000001</v>
      </c>
      <c r="AG255" s="418"/>
      <c r="AH255" s="419"/>
      <c r="AI255" s="417">
        <f t="shared" si="329"/>
        <v>54907.198893000001</v>
      </c>
      <c r="AJ255" s="418"/>
      <c r="AK255" s="419"/>
      <c r="AL255" s="417">
        <f t="shared" si="330"/>
        <v>49599.999000000003</v>
      </c>
      <c r="AM255" s="418"/>
      <c r="AN255" s="419"/>
      <c r="AO255" s="417">
        <f t="shared" si="331"/>
        <v>49599.999000000003</v>
      </c>
      <c r="AP255" s="418"/>
      <c r="AQ255" s="419"/>
      <c r="AR255" s="417">
        <f t="shared" si="332"/>
        <v>49599.999000000003</v>
      </c>
      <c r="AS255" s="418"/>
      <c r="AT255" s="419"/>
      <c r="AU255" s="28"/>
      <c r="AV255" s="28"/>
      <c r="AW255" s="28"/>
      <c r="AX255" s="28"/>
      <c r="AY255" s="28"/>
      <c r="AZ255" s="28"/>
      <c r="BA255" s="28"/>
      <c r="BB255" s="28"/>
      <c r="BC255" s="28"/>
      <c r="BD255" s="28"/>
      <c r="BE255" s="28"/>
      <c r="BF255" s="28"/>
      <c r="BG255" s="28"/>
      <c r="BH255" s="28"/>
      <c r="BI255" s="28"/>
      <c r="BJ255" s="28"/>
      <c r="BK255" s="33"/>
      <c r="BL255" s="33"/>
    </row>
    <row r="256" spans="1:64" ht="12.75">
      <c r="A256" s="28"/>
      <c r="B256" s="444"/>
      <c r="C256" s="445"/>
      <c r="D256" s="429"/>
      <c r="E256" s="417">
        <f t="shared" si="319"/>
        <v>0</v>
      </c>
      <c r="F256" s="418"/>
      <c r="G256" s="419"/>
      <c r="H256" s="417">
        <f t="shared" si="320"/>
        <v>0</v>
      </c>
      <c r="I256" s="418"/>
      <c r="J256" s="419"/>
      <c r="K256" s="417">
        <f t="shared" si="321"/>
        <v>0</v>
      </c>
      <c r="L256" s="418"/>
      <c r="M256" s="419"/>
      <c r="N256" s="417">
        <f t="shared" si="322"/>
        <v>0</v>
      </c>
      <c r="O256" s="418"/>
      <c r="P256" s="419"/>
      <c r="Q256" s="417">
        <f t="shared" si="323"/>
        <v>0</v>
      </c>
      <c r="R256" s="418"/>
      <c r="S256" s="419"/>
      <c r="T256" s="417">
        <f t="shared" si="324"/>
        <v>0</v>
      </c>
      <c r="U256" s="418"/>
      <c r="V256" s="419"/>
      <c r="W256" s="417">
        <f t="shared" si="325"/>
        <v>0</v>
      </c>
      <c r="X256" s="418"/>
      <c r="Y256" s="419"/>
      <c r="Z256" s="417">
        <f t="shared" si="326"/>
        <v>0</v>
      </c>
      <c r="AA256" s="418"/>
      <c r="AB256" s="419"/>
      <c r="AC256" s="417">
        <f t="shared" si="327"/>
        <v>0</v>
      </c>
      <c r="AD256" s="418"/>
      <c r="AE256" s="419"/>
      <c r="AF256" s="417">
        <f t="shared" si="328"/>
        <v>0</v>
      </c>
      <c r="AG256" s="418"/>
      <c r="AH256" s="419"/>
      <c r="AI256" s="417">
        <f t="shared" si="329"/>
        <v>0</v>
      </c>
      <c r="AJ256" s="418"/>
      <c r="AK256" s="419"/>
      <c r="AL256" s="417">
        <f t="shared" si="330"/>
        <v>0</v>
      </c>
      <c r="AM256" s="418"/>
      <c r="AN256" s="419"/>
      <c r="AO256" s="417">
        <f t="shared" si="331"/>
        <v>0</v>
      </c>
      <c r="AP256" s="418"/>
      <c r="AQ256" s="419"/>
      <c r="AR256" s="417">
        <f t="shared" si="332"/>
        <v>0</v>
      </c>
      <c r="AS256" s="418"/>
      <c r="AT256" s="419"/>
      <c r="AU256" s="28"/>
      <c r="AV256" s="28"/>
      <c r="AW256" s="28"/>
      <c r="AX256" s="28"/>
      <c r="AY256" s="28"/>
      <c r="AZ256" s="28"/>
      <c r="BA256" s="28"/>
      <c r="BB256" s="28"/>
      <c r="BC256" s="28"/>
      <c r="BD256" s="28"/>
      <c r="BE256" s="28"/>
      <c r="BF256" s="28"/>
      <c r="BG256" s="28"/>
      <c r="BH256" s="28"/>
      <c r="BI256" s="28"/>
      <c r="BJ256" s="28"/>
      <c r="BK256" s="33"/>
      <c r="BL256" s="33"/>
    </row>
    <row r="257" spans="1:64" ht="15">
      <c r="A257" s="28"/>
      <c r="B257" s="420"/>
      <c r="C257" s="446"/>
      <c r="D257" s="447" t="s">
        <v>150</v>
      </c>
      <c r="E257" s="448">
        <f t="shared" si="319"/>
        <v>2158083.7197526596</v>
      </c>
      <c r="F257" s="424"/>
      <c r="G257" s="419"/>
      <c r="H257" s="448">
        <f t="shared" si="320"/>
        <v>2110145.3850705461</v>
      </c>
      <c r="I257" s="424"/>
      <c r="J257" s="419"/>
      <c r="K257" s="448">
        <f t="shared" si="321"/>
        <v>2068655.9514792534</v>
      </c>
      <c r="L257" s="424"/>
      <c r="M257" s="419"/>
      <c r="N257" s="448">
        <f t="shared" si="322"/>
        <v>2030774.2947219855</v>
      </c>
      <c r="O257" s="424"/>
      <c r="P257" s="419"/>
      <c r="Q257" s="448">
        <f t="shared" si="323"/>
        <v>1996500.4147987436</v>
      </c>
      <c r="R257" s="424"/>
      <c r="S257" s="419"/>
      <c r="T257" s="448">
        <f t="shared" si="324"/>
        <v>1965760.4031868654</v>
      </c>
      <c r="U257" s="424"/>
      <c r="V257" s="419"/>
      <c r="W257" s="448">
        <f t="shared" si="325"/>
        <v>1939875.0250058314</v>
      </c>
      <c r="X257" s="424"/>
      <c r="Y257" s="419"/>
      <c r="Z257" s="448">
        <f t="shared" si="326"/>
        <v>1915607.6505175643</v>
      </c>
      <c r="AA257" s="424"/>
      <c r="AB257" s="419"/>
      <c r="AC257" s="448">
        <f t="shared" si="327"/>
        <v>1870308.2769993718</v>
      </c>
      <c r="AD257" s="424"/>
      <c r="AE257" s="419"/>
      <c r="AF257" s="448">
        <f t="shared" si="328"/>
        <v>1810448.1341006588</v>
      </c>
      <c r="AG257" s="424"/>
      <c r="AH257" s="419"/>
      <c r="AI257" s="448">
        <f t="shared" si="329"/>
        <v>1773327.4927900231</v>
      </c>
      <c r="AJ257" s="424"/>
      <c r="AK257" s="419"/>
      <c r="AL257" s="448">
        <f t="shared" si="330"/>
        <v>1696715.4930040233</v>
      </c>
      <c r="AM257" s="424"/>
      <c r="AN257" s="419"/>
      <c r="AO257" s="448">
        <f t="shared" si="331"/>
        <v>1662688.3492759517</v>
      </c>
      <c r="AP257" s="424"/>
      <c r="AQ257" s="419"/>
      <c r="AR257" s="448">
        <f t="shared" si="332"/>
        <v>1625391.8477446195</v>
      </c>
      <c r="AS257" s="424"/>
      <c r="AT257" s="419"/>
      <c r="AU257" s="28"/>
      <c r="AV257" s="28"/>
      <c r="AW257" s="28"/>
      <c r="AX257" s="28"/>
      <c r="AY257" s="28"/>
      <c r="AZ257" s="28"/>
      <c r="BA257" s="28"/>
      <c r="BB257" s="28"/>
      <c r="BC257" s="28"/>
      <c r="BD257" s="28"/>
      <c r="BE257" s="28"/>
      <c r="BF257" s="28"/>
      <c r="BG257" s="28"/>
      <c r="BH257" s="28"/>
      <c r="BI257" s="28"/>
      <c r="BJ257" s="28"/>
      <c r="BK257" s="33"/>
      <c r="BL257" s="33"/>
    </row>
    <row r="258" spans="1:64" ht="15">
      <c r="A258" s="28"/>
      <c r="B258" s="427">
        <v>440</v>
      </c>
      <c r="C258" s="449"/>
      <c r="D258" s="429" t="s">
        <v>108</v>
      </c>
      <c r="E258" s="450">
        <v>0</v>
      </c>
      <c r="F258" s="451">
        <f t="shared" ref="F258:F263" si="333">F317</f>
        <v>0</v>
      </c>
      <c r="G258" s="419"/>
      <c r="H258" s="450">
        <v>0</v>
      </c>
      <c r="I258" s="451">
        <f t="shared" ref="I258:I263" si="334">I317</f>
        <v>0</v>
      </c>
      <c r="J258" s="419"/>
      <c r="K258" s="450">
        <v>0</v>
      </c>
      <c r="L258" s="451">
        <f t="shared" ref="L258:L263" si="335">L317</f>
        <v>0</v>
      </c>
      <c r="M258" s="419"/>
      <c r="N258" s="450">
        <v>0</v>
      </c>
      <c r="O258" s="451">
        <f t="shared" ref="O258:O263" si="336">O317</f>
        <v>0</v>
      </c>
      <c r="P258" s="419"/>
      <c r="Q258" s="450">
        <v>0</v>
      </c>
      <c r="R258" s="451">
        <f t="shared" ref="R258:R263" si="337">R317</f>
        <v>0</v>
      </c>
      <c r="S258" s="419"/>
      <c r="T258" s="450">
        <v>0</v>
      </c>
      <c r="U258" s="451">
        <f t="shared" ref="U258:U263" si="338">U317</f>
        <v>0</v>
      </c>
      <c r="V258" s="419"/>
      <c r="W258" s="450">
        <v>0</v>
      </c>
      <c r="X258" s="451">
        <f t="shared" ref="X258:X263" si="339">X317</f>
        <v>0</v>
      </c>
      <c r="Y258" s="419"/>
      <c r="Z258" s="450">
        <v>0</v>
      </c>
      <c r="AA258" s="451">
        <f t="shared" ref="AA258:AA263" si="340">AA317</f>
        <v>0</v>
      </c>
      <c r="AB258" s="419"/>
      <c r="AC258" s="450">
        <v>0</v>
      </c>
      <c r="AD258" s="451">
        <f t="shared" ref="AD258:AD263" si="341">AD317</f>
        <v>0</v>
      </c>
      <c r="AE258" s="419"/>
      <c r="AF258" s="450">
        <v>0</v>
      </c>
      <c r="AG258" s="451">
        <f t="shared" ref="AG258:AG263" si="342">AG317</f>
        <v>0</v>
      </c>
      <c r="AH258" s="419"/>
      <c r="AI258" s="450">
        <v>0</v>
      </c>
      <c r="AJ258" s="451">
        <f t="shared" ref="AJ258:AJ263" si="343">AJ317</f>
        <v>0</v>
      </c>
      <c r="AK258" s="419"/>
      <c r="AL258" s="450">
        <v>0</v>
      </c>
      <c r="AM258" s="451">
        <f t="shared" ref="AM258:AM263" si="344">AM317</f>
        <v>0</v>
      </c>
      <c r="AN258" s="419"/>
      <c r="AO258" s="450">
        <v>0</v>
      </c>
      <c r="AP258" s="451">
        <f t="shared" ref="AP258:AP263" si="345">AP317</f>
        <v>0</v>
      </c>
      <c r="AQ258" s="419"/>
      <c r="AR258" s="450">
        <v>0</v>
      </c>
      <c r="AS258" s="451">
        <f t="shared" ref="AS258:AS263" si="346">AS317</f>
        <v>0</v>
      </c>
      <c r="AT258" s="419"/>
      <c r="AU258" s="28"/>
      <c r="AV258" s="28"/>
      <c r="AW258" s="28"/>
      <c r="AX258" s="28"/>
      <c r="AY258" s="28"/>
      <c r="AZ258" s="28"/>
      <c r="BA258" s="28"/>
      <c r="BB258" s="28"/>
      <c r="BC258" s="28"/>
      <c r="BD258" s="28"/>
      <c r="BE258" s="28"/>
      <c r="BF258" s="28"/>
      <c r="BG258" s="28"/>
      <c r="BH258" s="28"/>
      <c r="BI258" s="28"/>
      <c r="BJ258" s="33"/>
      <c r="BK258" s="33"/>
    </row>
    <row r="259" spans="1:64" ht="12.75">
      <c r="A259" s="28"/>
      <c r="B259" s="420">
        <v>502</v>
      </c>
      <c r="C259" s="218" t="s">
        <v>109</v>
      </c>
      <c r="D259" s="423" t="s">
        <v>151</v>
      </c>
      <c r="E259" s="423"/>
      <c r="F259" s="465">
        <f t="shared" si="333"/>
        <v>-385637.62717366527</v>
      </c>
      <c r="G259" s="419"/>
      <c r="H259" s="423"/>
      <c r="I259" s="465">
        <f t="shared" si="334"/>
        <v>-376529.34358406375</v>
      </c>
      <c r="J259" s="419"/>
      <c r="K259" s="423"/>
      <c r="L259" s="465">
        <f t="shared" si="335"/>
        <v>-368646.35120171809</v>
      </c>
      <c r="M259" s="419"/>
      <c r="N259" s="423"/>
      <c r="O259" s="465">
        <f t="shared" si="336"/>
        <v>-361448.83641783724</v>
      </c>
      <c r="P259" s="419"/>
      <c r="Q259" s="423"/>
      <c r="R259" s="465">
        <f t="shared" si="337"/>
        <v>-354936.79923242133</v>
      </c>
      <c r="S259" s="419"/>
      <c r="T259" s="423"/>
      <c r="U259" s="465">
        <f t="shared" si="338"/>
        <v>-349096.19702616445</v>
      </c>
      <c r="V259" s="419"/>
      <c r="W259" s="423"/>
      <c r="X259" s="465">
        <f t="shared" si="339"/>
        <v>-344177.97517176799</v>
      </c>
      <c r="Y259" s="419"/>
      <c r="Z259" s="423"/>
      <c r="AA259" s="465">
        <f t="shared" si="340"/>
        <v>-339567.17401899723</v>
      </c>
      <c r="AB259" s="419"/>
      <c r="AC259" s="423"/>
      <c r="AD259" s="465">
        <f t="shared" si="341"/>
        <v>-330960.29305054067</v>
      </c>
      <c r="AE259" s="419"/>
      <c r="AF259" s="423"/>
      <c r="AG259" s="465">
        <f t="shared" si="342"/>
        <v>-319586.86589978519</v>
      </c>
      <c r="AH259" s="419"/>
      <c r="AI259" s="423"/>
      <c r="AJ259" s="465">
        <f t="shared" si="343"/>
        <v>-312533.94405076443</v>
      </c>
      <c r="AK259" s="419"/>
      <c r="AL259" s="423"/>
      <c r="AM259" s="465">
        <f t="shared" si="344"/>
        <v>-300335.94405076443</v>
      </c>
      <c r="AN259" s="419"/>
      <c r="AO259" s="423"/>
      <c r="AP259" s="465">
        <f t="shared" si="345"/>
        <v>-293870.78674243082</v>
      </c>
      <c r="AQ259" s="419"/>
      <c r="AR259" s="423"/>
      <c r="AS259" s="465">
        <f t="shared" si="346"/>
        <v>-286784.45145147765</v>
      </c>
      <c r="AT259" s="419"/>
      <c r="AU259" s="28"/>
      <c r="AV259" s="28"/>
      <c r="AW259" s="28"/>
      <c r="AX259" s="28"/>
      <c r="AY259" s="28"/>
      <c r="AZ259" s="28"/>
      <c r="BA259" s="28"/>
      <c r="BB259" s="28"/>
      <c r="BC259" s="28"/>
      <c r="BD259" s="28"/>
      <c r="BE259" s="28"/>
      <c r="BF259" s="28"/>
      <c r="BG259" s="28"/>
      <c r="BH259" s="28"/>
      <c r="BI259" s="28"/>
      <c r="BJ259" s="28"/>
      <c r="BK259" s="33"/>
      <c r="BL259" s="33"/>
    </row>
    <row r="260" spans="1:64" ht="12.75">
      <c r="A260" s="28"/>
      <c r="B260" s="420">
        <v>505</v>
      </c>
      <c r="C260" s="420">
        <v>0.03</v>
      </c>
      <c r="D260" s="423" t="s">
        <v>152</v>
      </c>
      <c r="E260" s="423"/>
      <c r="F260" s="465">
        <f t="shared" si="333"/>
        <v>-60890.151658999777</v>
      </c>
      <c r="G260" s="419"/>
      <c r="H260" s="423"/>
      <c r="I260" s="465">
        <f t="shared" si="334"/>
        <v>-59452.001618536378</v>
      </c>
      <c r="J260" s="419"/>
      <c r="K260" s="423"/>
      <c r="L260" s="465">
        <f t="shared" si="335"/>
        <v>-58207.318610797593</v>
      </c>
      <c r="M260" s="419"/>
      <c r="N260" s="423"/>
      <c r="O260" s="465">
        <f t="shared" si="336"/>
        <v>-57070.868908079567</v>
      </c>
      <c r="P260" s="419"/>
      <c r="Q260" s="423"/>
      <c r="R260" s="465">
        <f t="shared" si="337"/>
        <v>-56042.652510382308</v>
      </c>
      <c r="S260" s="419"/>
      <c r="T260" s="423"/>
      <c r="U260" s="465">
        <f t="shared" si="338"/>
        <v>-55120.452162025962</v>
      </c>
      <c r="V260" s="419"/>
      <c r="W260" s="423"/>
      <c r="X260" s="465">
        <f t="shared" si="339"/>
        <v>-54343.89081659494</v>
      </c>
      <c r="Y260" s="419"/>
      <c r="Z260" s="423"/>
      <c r="AA260" s="465">
        <f t="shared" si="340"/>
        <v>-53615.869581946929</v>
      </c>
      <c r="AB260" s="419"/>
      <c r="AC260" s="423"/>
      <c r="AD260" s="465">
        <f t="shared" si="341"/>
        <v>-52256.888376401155</v>
      </c>
      <c r="AE260" s="419"/>
      <c r="AF260" s="423"/>
      <c r="AG260" s="465">
        <f t="shared" si="342"/>
        <v>-50461.084089439762</v>
      </c>
      <c r="AH260" s="419"/>
      <c r="AI260" s="423"/>
      <c r="AJ260" s="465">
        <f t="shared" si="343"/>
        <v>-49347.464850120698</v>
      </c>
      <c r="AK260" s="419"/>
      <c r="AL260" s="423"/>
      <c r="AM260" s="465">
        <f t="shared" si="344"/>
        <v>-47421.464850120698</v>
      </c>
      <c r="AN260" s="419"/>
      <c r="AO260" s="423"/>
      <c r="AP260" s="465">
        <f t="shared" si="345"/>
        <v>-46400.650538278547</v>
      </c>
      <c r="AQ260" s="419"/>
      <c r="AR260" s="423"/>
      <c r="AS260" s="465">
        <f t="shared" si="346"/>
        <v>-45281.755492338576</v>
      </c>
      <c r="AT260" s="419"/>
      <c r="AU260" s="28"/>
      <c r="AV260" s="28"/>
      <c r="AW260" s="28"/>
      <c r="AX260" s="28"/>
      <c r="AY260" s="28"/>
      <c r="AZ260" s="28"/>
      <c r="BA260" s="28"/>
      <c r="BB260" s="28"/>
      <c r="BC260" s="28"/>
      <c r="BD260" s="28"/>
      <c r="BE260" s="28"/>
      <c r="BF260" s="28"/>
      <c r="BG260" s="28"/>
      <c r="BH260" s="28"/>
      <c r="BI260" s="28"/>
      <c r="BJ260" s="33"/>
      <c r="BK260" s="33"/>
    </row>
    <row r="261" spans="1:64" ht="12.75">
      <c r="A261" s="28"/>
      <c r="B261" s="466">
        <v>332</v>
      </c>
      <c r="C261" s="467">
        <v>0</v>
      </c>
      <c r="D261" s="417" t="s">
        <v>113</v>
      </c>
      <c r="E261" s="417"/>
      <c r="F261" s="451">
        <f t="shared" si="333"/>
        <v>0</v>
      </c>
      <c r="G261" s="419"/>
      <c r="H261" s="417"/>
      <c r="I261" s="451">
        <f t="shared" si="334"/>
        <v>0</v>
      </c>
      <c r="J261" s="419"/>
      <c r="K261" s="417"/>
      <c r="L261" s="451">
        <f t="shared" si="335"/>
        <v>0</v>
      </c>
      <c r="M261" s="419"/>
      <c r="N261" s="417"/>
      <c r="O261" s="451">
        <f t="shared" si="336"/>
        <v>0</v>
      </c>
      <c r="P261" s="419"/>
      <c r="Q261" s="417"/>
      <c r="R261" s="451">
        <f t="shared" si="337"/>
        <v>0</v>
      </c>
      <c r="S261" s="419"/>
      <c r="T261" s="417"/>
      <c r="U261" s="451">
        <f t="shared" si="338"/>
        <v>0</v>
      </c>
      <c r="V261" s="419"/>
      <c r="W261" s="417"/>
      <c r="X261" s="451">
        <f t="shared" si="339"/>
        <v>0</v>
      </c>
      <c r="Y261" s="419"/>
      <c r="Z261" s="417"/>
      <c r="AA261" s="451">
        <f t="shared" si="340"/>
        <v>0</v>
      </c>
      <c r="AB261" s="419"/>
      <c r="AC261" s="417"/>
      <c r="AD261" s="451">
        <f t="shared" si="341"/>
        <v>0</v>
      </c>
      <c r="AE261" s="419"/>
      <c r="AF261" s="417"/>
      <c r="AG261" s="451">
        <f t="shared" si="342"/>
        <v>0</v>
      </c>
      <c r="AH261" s="419"/>
      <c r="AI261" s="417"/>
      <c r="AJ261" s="451">
        <f t="shared" si="343"/>
        <v>0</v>
      </c>
      <c r="AK261" s="419"/>
      <c r="AL261" s="417"/>
      <c r="AM261" s="451">
        <f t="shared" si="344"/>
        <v>0</v>
      </c>
      <c r="AN261" s="419"/>
      <c r="AO261" s="417"/>
      <c r="AP261" s="451">
        <f t="shared" si="345"/>
        <v>0</v>
      </c>
      <c r="AQ261" s="419"/>
      <c r="AR261" s="417"/>
      <c r="AS261" s="451">
        <f t="shared" si="346"/>
        <v>0</v>
      </c>
      <c r="AT261" s="419"/>
      <c r="AU261" s="28"/>
      <c r="AV261" s="28"/>
      <c r="AW261" s="28"/>
      <c r="AX261" s="28"/>
      <c r="AY261" s="28"/>
      <c r="AZ261" s="28"/>
      <c r="BA261" s="28"/>
      <c r="BB261" s="28"/>
      <c r="BC261" s="28"/>
      <c r="BD261" s="28"/>
      <c r="BE261" s="28"/>
      <c r="BF261" s="28"/>
      <c r="BG261" s="28"/>
      <c r="BH261" s="28"/>
      <c r="BI261" s="28"/>
      <c r="BJ261" s="33"/>
      <c r="BK261" s="33"/>
    </row>
    <row r="262" spans="1:64" ht="12.75">
      <c r="A262" s="28"/>
      <c r="B262" s="468" t="s">
        <v>114</v>
      </c>
      <c r="C262" s="469">
        <v>0</v>
      </c>
      <c r="D262" s="470"/>
      <c r="E262" s="471"/>
      <c r="F262" s="472">
        <f t="shared" si="333"/>
        <v>0</v>
      </c>
      <c r="G262" s="419"/>
      <c r="H262" s="471"/>
      <c r="I262" s="472">
        <f t="shared" si="334"/>
        <v>0</v>
      </c>
      <c r="J262" s="419"/>
      <c r="K262" s="471"/>
      <c r="L262" s="472">
        <f t="shared" si="335"/>
        <v>0</v>
      </c>
      <c r="M262" s="419"/>
      <c r="N262" s="471"/>
      <c r="O262" s="472">
        <f t="shared" si="336"/>
        <v>0</v>
      </c>
      <c r="P262" s="419"/>
      <c r="Q262" s="471"/>
      <c r="R262" s="472">
        <f t="shared" si="337"/>
        <v>0</v>
      </c>
      <c r="S262" s="419"/>
      <c r="T262" s="471"/>
      <c r="U262" s="472">
        <f t="shared" si="338"/>
        <v>0</v>
      </c>
      <c r="V262" s="419"/>
      <c r="W262" s="471"/>
      <c r="X262" s="472">
        <f t="shared" si="339"/>
        <v>0</v>
      </c>
      <c r="Y262" s="419"/>
      <c r="Z262" s="471"/>
      <c r="AA262" s="472">
        <f t="shared" si="340"/>
        <v>0</v>
      </c>
      <c r="AB262" s="419"/>
      <c r="AC262" s="471"/>
      <c r="AD262" s="472">
        <f t="shared" si="341"/>
        <v>0</v>
      </c>
      <c r="AE262" s="419"/>
      <c r="AF262" s="471"/>
      <c r="AG262" s="472">
        <f t="shared" si="342"/>
        <v>0</v>
      </c>
      <c r="AH262" s="419"/>
      <c r="AI262" s="471"/>
      <c r="AJ262" s="472">
        <f t="shared" si="343"/>
        <v>0</v>
      </c>
      <c r="AK262" s="419"/>
      <c r="AL262" s="471"/>
      <c r="AM262" s="472">
        <f t="shared" si="344"/>
        <v>0</v>
      </c>
      <c r="AN262" s="419"/>
      <c r="AO262" s="471"/>
      <c r="AP262" s="472">
        <f t="shared" si="345"/>
        <v>0</v>
      </c>
      <c r="AQ262" s="419"/>
      <c r="AR262" s="471"/>
      <c r="AS262" s="472">
        <f t="shared" si="346"/>
        <v>0</v>
      </c>
      <c r="AT262" s="419"/>
      <c r="AU262" s="28"/>
      <c r="AV262" s="28"/>
      <c r="AW262" s="28"/>
      <c r="AX262" s="28"/>
      <c r="AY262" s="28"/>
      <c r="AZ262" s="28"/>
      <c r="BA262" s="28"/>
      <c r="BB262" s="28"/>
      <c r="BC262" s="28"/>
      <c r="BD262" s="28"/>
      <c r="BE262" s="28"/>
      <c r="BF262" s="28"/>
      <c r="BG262" s="28"/>
      <c r="BH262" s="28"/>
      <c r="BI262" s="28"/>
      <c r="BJ262" s="33"/>
      <c r="BK262" s="33"/>
    </row>
    <row r="263" spans="1:64" ht="15">
      <c r="A263" s="28"/>
      <c r="B263" s="473"/>
      <c r="C263" s="474"/>
      <c r="D263" s="475" t="s">
        <v>115</v>
      </c>
      <c r="E263" s="476"/>
      <c r="F263" s="477">
        <f t="shared" si="333"/>
        <v>-446527.77883266506</v>
      </c>
      <c r="G263" s="419"/>
      <c r="H263" s="476"/>
      <c r="I263" s="477">
        <f t="shared" si="334"/>
        <v>-435981.34520260012</v>
      </c>
      <c r="J263" s="419"/>
      <c r="K263" s="476"/>
      <c r="L263" s="477">
        <f t="shared" si="335"/>
        <v>-426853.66981251567</v>
      </c>
      <c r="M263" s="419"/>
      <c r="N263" s="476"/>
      <c r="O263" s="477">
        <f t="shared" si="336"/>
        <v>-418519.70532591682</v>
      </c>
      <c r="P263" s="419"/>
      <c r="Q263" s="476"/>
      <c r="R263" s="477">
        <f t="shared" si="337"/>
        <v>-410979.45174280362</v>
      </c>
      <c r="S263" s="419"/>
      <c r="T263" s="476"/>
      <c r="U263" s="477">
        <f t="shared" si="338"/>
        <v>-404216.64918819041</v>
      </c>
      <c r="V263" s="419"/>
      <c r="W263" s="476"/>
      <c r="X263" s="477">
        <f t="shared" si="339"/>
        <v>-398521.86598836293</v>
      </c>
      <c r="Y263" s="419"/>
      <c r="Z263" s="476"/>
      <c r="AA263" s="477">
        <f t="shared" si="340"/>
        <v>-393183.04360094416</v>
      </c>
      <c r="AB263" s="419"/>
      <c r="AC263" s="476"/>
      <c r="AD263" s="477">
        <f t="shared" si="341"/>
        <v>-383217.18142694182</v>
      </c>
      <c r="AE263" s="419"/>
      <c r="AF263" s="476"/>
      <c r="AG263" s="477">
        <f t="shared" si="342"/>
        <v>-370047.94998922496</v>
      </c>
      <c r="AH263" s="419"/>
      <c r="AI263" s="476"/>
      <c r="AJ263" s="477">
        <f t="shared" si="343"/>
        <v>-361881.40890088514</v>
      </c>
      <c r="AK263" s="419"/>
      <c r="AL263" s="476"/>
      <c r="AM263" s="477">
        <f t="shared" si="344"/>
        <v>-347757.40890088514</v>
      </c>
      <c r="AN263" s="419"/>
      <c r="AO263" s="476"/>
      <c r="AP263" s="477">
        <f t="shared" si="345"/>
        <v>-340271.43728070939</v>
      </c>
      <c r="AQ263" s="419"/>
      <c r="AR263" s="476"/>
      <c r="AS263" s="477">
        <f t="shared" si="346"/>
        <v>-332066.20694381621</v>
      </c>
      <c r="AT263" s="419"/>
      <c r="AU263" s="28"/>
      <c r="AV263" s="28"/>
      <c r="AW263" s="28"/>
      <c r="AX263" s="28"/>
      <c r="AY263" s="28"/>
      <c r="AZ263" s="28"/>
      <c r="BA263" s="28"/>
      <c r="BB263" s="28"/>
      <c r="BC263" s="28"/>
      <c r="BD263" s="28"/>
      <c r="BE263" s="28"/>
      <c r="BF263" s="28"/>
      <c r="BG263" s="28"/>
      <c r="BH263" s="28"/>
      <c r="BI263" s="28"/>
      <c r="BJ263" s="28"/>
      <c r="BK263" s="33"/>
      <c r="BL263" s="33"/>
    </row>
    <row r="264" spans="1:64" ht="12.75">
      <c r="A264" s="28"/>
      <c r="B264" s="478"/>
      <c r="C264" s="227"/>
      <c r="D264" s="28"/>
      <c r="E264" s="476"/>
      <c r="F264" s="476"/>
      <c r="G264" s="228"/>
      <c r="H264" s="476"/>
      <c r="I264" s="476"/>
      <c r="J264" s="228"/>
      <c r="K264" s="476"/>
      <c r="L264" s="476"/>
      <c r="M264" s="228"/>
      <c r="N264" s="476"/>
      <c r="O264" s="476"/>
      <c r="P264" s="228"/>
      <c r="Q264" s="476"/>
      <c r="R264" s="476"/>
      <c r="S264" s="228"/>
      <c r="T264" s="476"/>
      <c r="U264" s="476"/>
      <c r="V264" s="228"/>
      <c r="W264" s="476"/>
      <c r="X264" s="476"/>
      <c r="Y264" s="228"/>
      <c r="Z264" s="476"/>
      <c r="AA264" s="476"/>
      <c r="AB264" s="228"/>
      <c r="AC264" s="476"/>
      <c r="AD264" s="476"/>
      <c r="AE264" s="228"/>
      <c r="AF264" s="476"/>
      <c r="AG264" s="476"/>
      <c r="AH264" s="228"/>
      <c r="AI264" s="476"/>
      <c r="AJ264" s="476"/>
      <c r="AK264" s="228"/>
      <c r="AL264" s="476"/>
      <c r="AM264" s="476"/>
      <c r="AN264" s="228"/>
      <c r="AO264" s="476"/>
      <c r="AP264" s="476"/>
      <c r="AQ264" s="228"/>
      <c r="AR264" s="476"/>
      <c r="AS264" s="476"/>
      <c r="AT264" s="228"/>
      <c r="AU264" s="28"/>
      <c r="AV264" s="28"/>
      <c r="AW264" s="28"/>
      <c r="AX264" s="28"/>
      <c r="AY264" s="28"/>
      <c r="AZ264" s="28"/>
      <c r="BA264" s="28"/>
      <c r="BB264" s="28"/>
      <c r="BC264" s="28"/>
      <c r="BD264" s="28"/>
      <c r="BE264" s="28"/>
      <c r="BF264" s="28"/>
      <c r="BG264" s="28"/>
      <c r="BH264" s="28"/>
      <c r="BI264" s="28"/>
      <c r="BJ264" s="33"/>
      <c r="BK264" s="33"/>
    </row>
    <row r="265" spans="1:64" s="16" customFormat="1" ht="19.5">
      <c r="A265" s="229"/>
      <c r="B265" s="479"/>
      <c r="C265" s="229"/>
      <c r="D265" s="480"/>
      <c r="E265" s="481" t="str">
        <f>E324</f>
        <v>Sueldo líquido</v>
      </c>
      <c r="F265" s="482">
        <f>F324</f>
        <v>1711555.9409199944</v>
      </c>
      <c r="G265" s="483"/>
      <c r="H265" s="481" t="str">
        <f>H324</f>
        <v>Sueldo líquido</v>
      </c>
      <c r="I265" s="482">
        <f>I324</f>
        <v>1674164.0398679459</v>
      </c>
      <c r="J265" s="483"/>
      <c r="K265" s="481" t="str">
        <f>K324</f>
        <v>Sueldo líquido</v>
      </c>
      <c r="L265" s="482">
        <f>L324</f>
        <v>1641802.2816667377</v>
      </c>
      <c r="M265" s="483"/>
      <c r="N265" s="481" t="str">
        <f>N324</f>
        <v>Sueldo líquido</v>
      </c>
      <c r="O265" s="482">
        <f>O324</f>
        <v>1612254.5893960686</v>
      </c>
      <c r="P265" s="483"/>
      <c r="Q265" s="481" t="str">
        <f>Q324</f>
        <v>Sueldo líquido</v>
      </c>
      <c r="R265" s="482">
        <f>R324</f>
        <v>1585520.9630559399</v>
      </c>
      <c r="S265" s="483"/>
      <c r="T265" s="481" t="str">
        <f>T324</f>
        <v>Sueldo líquido</v>
      </c>
      <c r="U265" s="482">
        <f>U324</f>
        <v>1561543.7539986749</v>
      </c>
      <c r="V265" s="483"/>
      <c r="W265" s="481" t="str">
        <f>W324</f>
        <v>Sueldo líquido</v>
      </c>
      <c r="X265" s="482">
        <f>X324</f>
        <v>1541353.1590174683</v>
      </c>
      <c r="Y265" s="483"/>
      <c r="Z265" s="481" t="str">
        <f>Z324</f>
        <v>Sueldo líquido</v>
      </c>
      <c r="AA265" s="482">
        <f>AA324</f>
        <v>1522424.6069166202</v>
      </c>
      <c r="AB265" s="483"/>
      <c r="AC265" s="481" t="str">
        <f>AC324</f>
        <v>Sueldo líquido</v>
      </c>
      <c r="AD265" s="482">
        <f>AD324</f>
        <v>1487091.0955724299</v>
      </c>
      <c r="AE265" s="483"/>
      <c r="AF265" s="481" t="str">
        <f>AF324</f>
        <v>Sueldo líquido</v>
      </c>
      <c r="AG265" s="482">
        <f>AG324</f>
        <v>1440400.1841114338</v>
      </c>
      <c r="AH265" s="483"/>
      <c r="AI265" s="481" t="str">
        <f>AI324</f>
        <v>Sueldo líquido</v>
      </c>
      <c r="AJ265" s="482">
        <f>AJ324</f>
        <v>1411446.083889138</v>
      </c>
      <c r="AK265" s="483"/>
      <c r="AL265" s="481" t="str">
        <f>AL324</f>
        <v>Sueldo líquido</v>
      </c>
      <c r="AM265" s="482">
        <f>AM324</f>
        <v>1348958.0841031382</v>
      </c>
      <c r="AN265" s="483"/>
      <c r="AO265" s="481" t="str">
        <f>AO324</f>
        <v>Sueldo líquido</v>
      </c>
      <c r="AP265" s="482">
        <f>AP324</f>
        <v>1322416.9119952423</v>
      </c>
      <c r="AQ265" s="483"/>
      <c r="AR265" s="481" t="str">
        <f>AR324</f>
        <v>Sueldo líquido</v>
      </c>
      <c r="AS265" s="482">
        <f>AS324</f>
        <v>1293325.6408008032</v>
      </c>
      <c r="AT265" s="483"/>
      <c r="AU265" s="229"/>
      <c r="AV265" s="229"/>
      <c r="AW265" s="229"/>
      <c r="AX265" s="229"/>
      <c r="AY265" s="229"/>
      <c r="AZ265" s="229"/>
      <c r="BA265" s="229"/>
      <c r="BB265" s="229"/>
      <c r="BC265" s="229"/>
      <c r="BD265" s="229"/>
      <c r="BE265" s="229"/>
      <c r="BF265" s="229"/>
      <c r="BG265" s="229"/>
      <c r="BH265" s="229"/>
      <c r="BI265" s="229"/>
      <c r="BJ265" s="229"/>
      <c r="BK265" s="260"/>
      <c r="BL265" s="260"/>
    </row>
    <row r="266" spans="1:64">
      <c r="A266" s="28"/>
      <c r="B266" s="484"/>
      <c r="C266" s="28"/>
      <c r="D266" s="485"/>
      <c r="E266" s="235"/>
      <c r="F266" s="486"/>
      <c r="G266" s="487"/>
      <c r="H266" s="235"/>
      <c r="I266" s="486"/>
      <c r="J266" s="487"/>
      <c r="K266" s="235"/>
      <c r="L266" s="486"/>
      <c r="M266" s="487"/>
      <c r="N266" s="235"/>
      <c r="O266" s="486"/>
      <c r="P266" s="487"/>
      <c r="Q266" s="235"/>
      <c r="R266" s="486"/>
      <c r="S266" s="487"/>
      <c r="T266" s="235"/>
      <c r="U266" s="486"/>
      <c r="V266" s="487"/>
      <c r="W266" s="235"/>
      <c r="X266" s="486"/>
      <c r="Y266" s="487"/>
      <c r="Z266" s="235"/>
      <c r="AA266" s="486"/>
      <c r="AB266" s="487"/>
      <c r="AC266" s="235"/>
      <c r="AD266" s="486"/>
      <c r="AE266" s="487"/>
      <c r="AF266" s="235"/>
      <c r="AG266" s="486"/>
      <c r="AH266" s="487"/>
      <c r="AI266" s="235"/>
      <c r="AJ266" s="486"/>
      <c r="AK266" s="487"/>
      <c r="AL266" s="235"/>
      <c r="AM266" s="486"/>
      <c r="AN266" s="487"/>
      <c r="AO266" s="235"/>
      <c r="AP266" s="486"/>
      <c r="AQ266" s="487"/>
      <c r="AR266" s="235"/>
      <c r="AS266" s="486"/>
      <c r="AT266" s="487"/>
      <c r="AU266" s="28"/>
      <c r="AV266" s="28"/>
      <c r="AW266" s="28"/>
      <c r="AX266" s="28"/>
      <c r="AY266" s="28"/>
      <c r="AZ266" s="28"/>
      <c r="BA266" s="28"/>
      <c r="BB266" s="28"/>
      <c r="BC266" s="28"/>
      <c r="BD266" s="28"/>
      <c r="BE266" s="28"/>
      <c r="BF266" s="28"/>
      <c r="BG266" s="28"/>
      <c r="BH266" s="28"/>
      <c r="BI266" s="28"/>
      <c r="BJ266" s="28"/>
      <c r="BK266" s="33"/>
      <c r="BL266" s="33"/>
    </row>
    <row r="267" spans="1:64">
      <c r="A267" s="28"/>
      <c r="B267" s="69"/>
      <c r="C267" s="28"/>
      <c r="D267" s="485"/>
      <c r="E267" s="488"/>
      <c r="F267" s="489"/>
      <c r="G267" s="487"/>
      <c r="H267" s="488"/>
      <c r="I267" s="489"/>
      <c r="J267" s="487"/>
      <c r="K267" s="488"/>
      <c r="L267" s="489"/>
      <c r="M267" s="487"/>
      <c r="N267" s="488"/>
      <c r="O267" s="489"/>
      <c r="P267" s="487"/>
      <c r="Q267" s="488"/>
      <c r="R267" s="489"/>
      <c r="S267" s="487"/>
      <c r="T267" s="488"/>
      <c r="U267" s="489"/>
      <c r="V267" s="487"/>
      <c r="W267" s="488"/>
      <c r="X267" s="489"/>
      <c r="Y267" s="487"/>
      <c r="Z267" s="488"/>
      <c r="AA267" s="489"/>
      <c r="AB267" s="487"/>
      <c r="AC267" s="488"/>
      <c r="AD267" s="489"/>
      <c r="AE267" s="487"/>
      <c r="AF267" s="488"/>
      <c r="AG267" s="489"/>
      <c r="AH267" s="487"/>
      <c r="AI267" s="488"/>
      <c r="AJ267" s="489"/>
      <c r="AK267" s="487"/>
      <c r="AL267" s="488"/>
      <c r="AM267" s="489"/>
      <c r="AN267" s="487"/>
      <c r="AO267" s="488"/>
      <c r="AP267" s="489"/>
      <c r="AQ267" s="487"/>
      <c r="AR267" s="488"/>
      <c r="AS267" s="489"/>
      <c r="AT267" s="487"/>
      <c r="AU267" s="28"/>
      <c r="AV267" s="28"/>
      <c r="AW267" s="28"/>
      <c r="AX267" s="28"/>
      <c r="AY267" s="28"/>
      <c r="AZ267" s="28"/>
      <c r="BA267" s="28"/>
      <c r="BB267" s="28"/>
      <c r="BC267" s="28"/>
      <c r="BD267" s="28"/>
      <c r="BE267" s="28"/>
      <c r="BF267" s="28"/>
      <c r="BG267" s="28"/>
      <c r="BH267" s="28"/>
      <c r="BI267" s="28"/>
      <c r="BJ267" s="28"/>
      <c r="BK267" s="33"/>
      <c r="BL267" s="33"/>
    </row>
    <row r="268" spans="1:64" ht="16.5" thickBot="1">
      <c r="A268" s="28"/>
      <c r="B268" s="69"/>
      <c r="C268" s="28"/>
      <c r="D268" s="77"/>
      <c r="E268" s="476"/>
      <c r="F268" s="490"/>
      <c r="G268" s="491"/>
      <c r="H268" s="476"/>
      <c r="I268" s="490"/>
      <c r="J268" s="491"/>
      <c r="K268" s="476"/>
      <c r="L268" s="490"/>
      <c r="M268" s="491"/>
      <c r="N268" s="476"/>
      <c r="O268" s="490"/>
      <c r="P268" s="491"/>
      <c r="Q268" s="476"/>
      <c r="R268" s="490"/>
      <c r="S268" s="491"/>
      <c r="T268" s="476"/>
      <c r="U268" s="490"/>
      <c r="V268" s="491"/>
      <c r="W268" s="476"/>
      <c r="X268" s="490"/>
      <c r="Y268" s="491"/>
      <c r="Z268" s="476"/>
      <c r="AA268" s="490"/>
      <c r="AB268" s="491"/>
      <c r="AC268" s="476"/>
      <c r="AD268" s="490"/>
      <c r="AE268" s="491"/>
      <c r="AF268" s="476"/>
      <c r="AG268" s="490"/>
      <c r="AH268" s="491"/>
      <c r="AI268" s="476"/>
      <c r="AJ268" s="490"/>
      <c r="AK268" s="491"/>
      <c r="AL268" s="476"/>
      <c r="AM268" s="490"/>
      <c r="AN268" s="491"/>
      <c r="AO268" s="476"/>
      <c r="AP268" s="490"/>
      <c r="AQ268" s="491"/>
      <c r="AR268" s="476"/>
      <c r="AS268" s="490"/>
      <c r="AT268" s="491"/>
      <c r="AU268" s="28"/>
      <c r="AV268" s="28"/>
      <c r="AW268" s="28"/>
      <c r="AX268" s="28"/>
      <c r="AY268" s="28"/>
      <c r="AZ268" s="28"/>
      <c r="BA268" s="28"/>
      <c r="BB268" s="28"/>
      <c r="BC268" s="28"/>
      <c r="BD268" s="28"/>
      <c r="BE268" s="28"/>
      <c r="BF268" s="28"/>
      <c r="BG268" s="28"/>
      <c r="BH268" s="28"/>
      <c r="BI268" s="28"/>
      <c r="BJ268" s="28"/>
      <c r="BK268" s="33"/>
      <c r="BL268" s="33"/>
    </row>
    <row r="269" spans="1:64" ht="18">
      <c r="A269" s="28"/>
      <c r="B269" s="141"/>
      <c r="C269" s="77"/>
      <c r="D269" s="492"/>
      <c r="E269" s="493" t="str">
        <f>E326</f>
        <v>Aumento del mes</v>
      </c>
      <c r="F269" s="242">
        <f>F326</f>
        <v>37391.90105204843</v>
      </c>
      <c r="G269" s="494"/>
      <c r="H269" s="493" t="str">
        <f>H326</f>
        <v>Aumento del mes</v>
      </c>
      <c r="I269" s="242">
        <f>I326</f>
        <v>32361.758201208198</v>
      </c>
      <c r="J269" s="494"/>
      <c r="K269" s="493" t="str">
        <f>K326</f>
        <v>Aumento del mes</v>
      </c>
      <c r="L269" s="242">
        <f>L326</f>
        <v>29547.692270669155</v>
      </c>
      <c r="M269" s="494"/>
      <c r="N269" s="493" t="str">
        <f>N326</f>
        <v>Aumento del mes</v>
      </c>
      <c r="O269" s="242">
        <f>O326</f>
        <v>26733.626340128714</v>
      </c>
      <c r="P269" s="494"/>
      <c r="Q269" s="493" t="str">
        <f>Q326</f>
        <v>Aumento del mes</v>
      </c>
      <c r="R269" s="242">
        <f>R326</f>
        <v>23977.209057264961</v>
      </c>
      <c r="S269" s="494"/>
      <c r="T269" s="493" t="str">
        <f>T326</f>
        <v>Aumento del mes</v>
      </c>
      <c r="U269" s="242">
        <f>U326</f>
        <v>20190.594981206581</v>
      </c>
      <c r="V269" s="494"/>
      <c r="W269" s="493" t="str">
        <f>W326</f>
        <v>Aumento del mes</v>
      </c>
      <c r="X269" s="242">
        <f>X326</f>
        <v>18928.552100848174</v>
      </c>
      <c r="Y269" s="494"/>
      <c r="Z269" s="493" t="str">
        <f>Z326</f>
        <v>Aumento del mes</v>
      </c>
      <c r="AA269" s="242">
        <f>AA326</f>
        <v>35333.511344190221</v>
      </c>
      <c r="AB269" s="494"/>
      <c r="AC269" s="493" t="str">
        <f>AC326</f>
        <v>Aumento del mes</v>
      </c>
      <c r="AD269" s="242">
        <f>AD326</f>
        <v>46690.91146099614</v>
      </c>
      <c r="AE269" s="494"/>
      <c r="AF269" s="493" t="str">
        <f>AF326</f>
        <v>Aumento del mes</v>
      </c>
      <c r="AG269" s="242">
        <f>AG326</f>
        <v>28954.100222295849</v>
      </c>
      <c r="AH269" s="494"/>
      <c r="AI269" s="493" t="str">
        <f>AI326</f>
        <v>Aumento del mes</v>
      </c>
      <c r="AJ269" s="242">
        <f>AJ326</f>
        <v>62487.999785999767</v>
      </c>
      <c r="AK269" s="494"/>
      <c r="AL269" s="493" t="str">
        <f>AL326</f>
        <v>Aumento del mes</v>
      </c>
      <c r="AM269" s="242">
        <f>AM326</f>
        <v>26541.172107895836</v>
      </c>
      <c r="AN269" s="494"/>
      <c r="AO269" s="493" t="str">
        <f>AO326</f>
        <v>Aumento del mes</v>
      </c>
      <c r="AP269" s="242">
        <f>AP326</f>
        <v>29091.271194439149</v>
      </c>
      <c r="AQ269" s="494"/>
      <c r="AR269" s="493" t="str">
        <f>AR326</f>
        <v>Aumento del mes</v>
      </c>
      <c r="AS269" s="242">
        <f>AS326</f>
        <v>0</v>
      </c>
      <c r="AT269" s="494"/>
      <c r="AU269" s="28"/>
      <c r="AV269" s="28"/>
      <c r="AW269" s="28"/>
      <c r="AX269" s="28"/>
      <c r="AY269" s="28"/>
      <c r="AZ269" s="28"/>
      <c r="BA269" s="28"/>
      <c r="BB269" s="28"/>
      <c r="BC269" s="28"/>
      <c r="BD269" s="28"/>
      <c r="BE269" s="28"/>
      <c r="BF269" s="28"/>
      <c r="BG269" s="28"/>
      <c r="BH269" s="28"/>
      <c r="BI269" s="28"/>
      <c r="BJ269" s="28"/>
      <c r="BK269" s="33"/>
      <c r="BL269" s="33"/>
    </row>
    <row r="270" spans="1:64" ht="18.75" thickBot="1">
      <c r="A270" s="28"/>
      <c r="B270" s="141"/>
      <c r="C270" s="77"/>
      <c r="D270" s="237"/>
      <c r="E270" s="495" t="str">
        <f>E327</f>
        <v>Porc resp a anterior</v>
      </c>
      <c r="F270" s="244">
        <f>F327</f>
        <v>2.2334669818256169E-2</v>
      </c>
      <c r="G270" s="494"/>
      <c r="H270" s="495" t="str">
        <f>H327</f>
        <v>Porc resp a anterior</v>
      </c>
      <c r="I270" s="244">
        <f>I327</f>
        <v>1.9711117813988498E-2</v>
      </c>
      <c r="J270" s="494"/>
      <c r="K270" s="495" t="str">
        <f>K327</f>
        <v>Porc resp a anterior</v>
      </c>
      <c r="L270" s="244">
        <f>L327</f>
        <v>1.8326939470358319E-2</v>
      </c>
      <c r="M270" s="494"/>
      <c r="N270" s="495" t="str">
        <f>N327</f>
        <v>Porc resp a anterior</v>
      </c>
      <c r="O270" s="244">
        <f>O327</f>
        <v>1.686109926203827E-2</v>
      </c>
      <c r="P270" s="494"/>
      <c r="Q270" s="495" t="str">
        <f>Q327</f>
        <v>Porc resp a anterior</v>
      </c>
      <c r="R270" s="244">
        <f>R327</f>
        <v>1.5354810901626076E-2</v>
      </c>
      <c r="S270" s="494"/>
      <c r="T270" s="495" t="str">
        <f>T327</f>
        <v>Porc resp a anterior</v>
      </c>
      <c r="U270" s="244">
        <f>U327</f>
        <v>1.3099265968402092E-2</v>
      </c>
      <c r="V270" s="494"/>
      <c r="W270" s="495" t="str">
        <f>W327</f>
        <v>Porc resp a anterior</v>
      </c>
      <c r="X270" s="244">
        <f>X327</f>
        <v>1.2433162216935219E-2</v>
      </c>
      <c r="Y270" s="494"/>
      <c r="Z270" s="495" t="str">
        <f>Z327</f>
        <v>Porc resp a anterior</v>
      </c>
      <c r="AA270" s="244">
        <f>AA327</f>
        <v>2.3760152588762021E-2</v>
      </c>
      <c r="AB270" s="494"/>
      <c r="AC270" s="495" t="str">
        <f>AC327</f>
        <v>Porc resp a anterior</v>
      </c>
      <c r="AD270" s="244">
        <f>AD327</f>
        <v>3.241523569354389E-2</v>
      </c>
      <c r="AE270" s="494"/>
      <c r="AF270" s="495" t="str">
        <f>AF327</f>
        <v>Porc resp a anterior</v>
      </c>
      <c r="AG270" s="244">
        <f>AG327</f>
        <v>2.0513784091925717E-2</v>
      </c>
      <c r="AH270" s="494"/>
      <c r="AI270" s="495" t="str">
        <f>AI327</f>
        <v>Porc resp a anterior</v>
      </c>
      <c r="AJ270" s="244">
        <f>AJ327</f>
        <v>4.6323158979061411E-2</v>
      </c>
      <c r="AK270" s="494"/>
      <c r="AL270" s="495" t="str">
        <f>AL327</f>
        <v>Porc resp a anterior</v>
      </c>
      <c r="AM270" s="244">
        <f>AM327</f>
        <v>2.0070200151819689E-2</v>
      </c>
      <c r="AN270" s="494"/>
      <c r="AO270" s="495" t="str">
        <f>AO327</f>
        <v>Porc resp a anterior</v>
      </c>
      <c r="AP270" s="244">
        <f>AP327</f>
        <v>2.2493384710463464E-2</v>
      </c>
      <c r="AQ270" s="494"/>
      <c r="AR270" s="495" t="str">
        <f>AR327</f>
        <v>Porc resp a anterior</v>
      </c>
      <c r="AS270" s="244">
        <f>AS327</f>
        <v>0</v>
      </c>
      <c r="AT270" s="494"/>
      <c r="AU270" s="28"/>
      <c r="AV270" s="28"/>
      <c r="AW270" s="28"/>
      <c r="AX270" s="28"/>
      <c r="AY270" s="28"/>
      <c r="AZ270" s="28"/>
      <c r="BA270" s="28"/>
      <c r="BB270" s="28"/>
      <c r="BC270" s="28"/>
      <c r="BD270" s="28"/>
      <c r="BE270" s="28"/>
      <c r="BF270" s="28"/>
      <c r="BG270" s="28"/>
      <c r="BH270" s="28"/>
      <c r="BI270" s="28"/>
      <c r="BJ270" s="28"/>
      <c r="BK270" s="33"/>
      <c r="BL270" s="33"/>
    </row>
    <row r="271" spans="1:64" ht="16.5" thickBot="1">
      <c r="A271" s="28"/>
      <c r="B271" s="141"/>
      <c r="C271" s="77"/>
      <c r="D271" s="238"/>
      <c r="E271" s="496"/>
      <c r="F271" s="497"/>
      <c r="G271" s="494"/>
      <c r="H271" s="496"/>
      <c r="I271" s="497"/>
      <c r="J271" s="494"/>
      <c r="K271" s="496"/>
      <c r="L271" s="497"/>
      <c r="M271" s="494"/>
      <c r="N271" s="496"/>
      <c r="O271" s="497"/>
      <c r="P271" s="494"/>
      <c r="Q271" s="496"/>
      <c r="R271" s="497"/>
      <c r="S271" s="494"/>
      <c r="T271" s="496"/>
      <c r="U271" s="497"/>
      <c r="V271" s="494"/>
      <c r="W271" s="496"/>
      <c r="X271" s="497"/>
      <c r="Y271" s="494"/>
      <c r="Z271" s="496"/>
      <c r="AA271" s="497"/>
      <c r="AB271" s="494"/>
      <c r="AC271" s="496"/>
      <c r="AD271" s="497"/>
      <c r="AE271" s="494"/>
      <c r="AF271" s="496"/>
      <c r="AG271" s="497"/>
      <c r="AH271" s="494"/>
      <c r="AI271" s="496"/>
      <c r="AJ271" s="497"/>
      <c r="AK271" s="494"/>
      <c r="AL271" s="496"/>
      <c r="AM271" s="497"/>
      <c r="AN271" s="494"/>
      <c r="AO271" s="496"/>
      <c r="AP271" s="497"/>
      <c r="AQ271" s="494"/>
      <c r="AR271" s="496"/>
      <c r="AS271" s="497"/>
      <c r="AT271" s="494"/>
      <c r="AU271" s="28"/>
      <c r="AV271" s="28"/>
      <c r="AW271" s="28"/>
      <c r="AX271" s="28"/>
      <c r="AY271" s="28"/>
      <c r="AZ271" s="28"/>
      <c r="BA271" s="28"/>
      <c r="BB271" s="28"/>
      <c r="BC271" s="28"/>
      <c r="BD271" s="28"/>
      <c r="BE271" s="28"/>
      <c r="BF271" s="28"/>
      <c r="BG271" s="28"/>
      <c r="BH271" s="28"/>
      <c r="BI271" s="28"/>
      <c r="BJ271" s="33"/>
      <c r="BK271" s="33"/>
    </row>
    <row r="272" spans="1:64" ht="18">
      <c r="A272" s="28"/>
      <c r="B272" s="141"/>
      <c r="C272" s="77"/>
      <c r="D272" s="239"/>
      <c r="E272" s="498" t="str">
        <f>E329</f>
        <v>Aumento acumulado anual</v>
      </c>
      <c r="F272" s="499">
        <f>F329</f>
        <v>418230.30011919118</v>
      </c>
      <c r="G272" s="494"/>
      <c r="H272" s="498" t="str">
        <f>H329</f>
        <v>Aumento acumulado anual</v>
      </c>
      <c r="I272" s="499">
        <f>I329</f>
        <v>380838.39906714275</v>
      </c>
      <c r="J272" s="494"/>
      <c r="K272" s="498" t="str">
        <f>K329</f>
        <v>Aumento acumulado anual</v>
      </c>
      <c r="L272" s="499">
        <f>L329</f>
        <v>348476.64086593455</v>
      </c>
      <c r="M272" s="494"/>
      <c r="N272" s="498" t="str">
        <f>N329</f>
        <v>Aumento acumulado anual</v>
      </c>
      <c r="O272" s="499">
        <f>O329</f>
        <v>318928.94859526539</v>
      </c>
      <c r="P272" s="494"/>
      <c r="Q272" s="498" t="str">
        <f>Q329</f>
        <v>Aumento acumulado anual</v>
      </c>
      <c r="R272" s="499">
        <f>R329</f>
        <v>292195.32225513668</v>
      </c>
      <c r="S272" s="494"/>
      <c r="T272" s="498" t="str">
        <f>T329</f>
        <v>Aumento acumulado anual</v>
      </c>
      <c r="U272" s="499">
        <f>U329</f>
        <v>268218.11319787172</v>
      </c>
      <c r="V272" s="494"/>
      <c r="W272" s="498" t="str">
        <f>W329</f>
        <v>Aumento acumulado anual</v>
      </c>
      <c r="X272" s="499">
        <f>X329</f>
        <v>248027.51821666514</v>
      </c>
      <c r="Y272" s="494"/>
      <c r="Z272" s="498" t="str">
        <f>Z329</f>
        <v>Aumento acumulado anual</v>
      </c>
      <c r="AA272" s="499">
        <f>AA329</f>
        <v>229098.96611581696</v>
      </c>
      <c r="AB272" s="494"/>
      <c r="AC272" s="498" t="str">
        <f>AC329</f>
        <v>Aumento acumulado anual</v>
      </c>
      <c r="AD272" s="499">
        <f>AD329</f>
        <v>193765.45477162674</v>
      </c>
      <c r="AE272" s="494"/>
      <c r="AF272" s="498" t="str">
        <f>AF329</f>
        <v>Aumento acumulado anual</v>
      </c>
      <c r="AG272" s="499">
        <f>AG329</f>
        <v>147074.5433106306</v>
      </c>
      <c r="AH272" s="494"/>
      <c r="AI272" s="498" t="str">
        <f>AI329</f>
        <v>Aumento acumulado anual</v>
      </c>
      <c r="AJ272" s="499">
        <f>AJ329</f>
        <v>118120.44308833475</v>
      </c>
      <c r="AK272" s="494"/>
      <c r="AL272" s="498" t="str">
        <f>AL329</f>
        <v>Aumento acumulado anual</v>
      </c>
      <c r="AM272" s="499">
        <f>AM329</f>
        <v>55632.443302334985</v>
      </c>
      <c r="AN272" s="494"/>
      <c r="AO272" s="498" t="str">
        <f>AO329</f>
        <v>Aumento acumulado anual</v>
      </c>
      <c r="AP272" s="499">
        <f>AP329</f>
        <v>29091.271194439149</v>
      </c>
      <c r="AQ272" s="494"/>
      <c r="AR272" s="498" t="str">
        <f t="shared" ref="AR272:AS276" si="347">AR329</f>
        <v>Aumento acumulado</v>
      </c>
      <c r="AS272" s="499">
        <f t="shared" si="347"/>
        <v>0</v>
      </c>
      <c r="AT272" s="494"/>
      <c r="AU272" s="28"/>
      <c r="AV272" s="28"/>
      <c r="AW272" s="28"/>
      <c r="AX272" s="28"/>
      <c r="AY272" s="28"/>
      <c r="AZ272" s="28"/>
      <c r="BA272" s="28"/>
      <c r="BB272" s="28"/>
      <c r="BC272" s="28"/>
      <c r="BD272" s="28"/>
      <c r="BE272" s="28"/>
      <c r="BF272" s="28"/>
      <c r="BG272" s="28"/>
      <c r="BH272" s="28"/>
      <c r="BI272" s="28"/>
      <c r="BJ272" s="33"/>
      <c r="BK272" s="33"/>
    </row>
    <row r="273" spans="1:64" ht="16.5" thickBot="1">
      <c r="A273" s="28"/>
      <c r="B273" s="141"/>
      <c r="C273" s="77"/>
      <c r="D273" s="240"/>
      <c r="E273" s="500" t="str">
        <f>E330</f>
        <v>Porcentaje acumulado</v>
      </c>
      <c r="F273" s="501">
        <f>F330</f>
        <v>0.32337586677724162</v>
      </c>
      <c r="G273" s="494"/>
      <c r="H273" s="500" t="str">
        <f>H330</f>
        <v>Porcentaje acumulado</v>
      </c>
      <c r="I273" s="501">
        <f>I330</f>
        <v>0.29446443111677173</v>
      </c>
      <c r="J273" s="494"/>
      <c r="K273" s="500" t="str">
        <f>K330</f>
        <v>Porcentaje acumulado</v>
      </c>
      <c r="L273" s="501">
        <f>L330</f>
        <v>0.26944230429867938</v>
      </c>
      <c r="M273" s="494"/>
      <c r="N273" s="500" t="str">
        <f>N330</f>
        <v>Porcentaje acumulado</v>
      </c>
      <c r="O273" s="501">
        <f>O330</f>
        <v>0.24659601459520319</v>
      </c>
      <c r="P273" s="494"/>
      <c r="Q273" s="500" t="str">
        <f>Q330</f>
        <v>Porcentaje acumulado</v>
      </c>
      <c r="R273" s="501">
        <f>R330</f>
        <v>0.22592556200634417</v>
      </c>
      <c r="S273" s="494"/>
      <c r="T273" s="500" t="str">
        <f>T330</f>
        <v>Porcentaje acumulado</v>
      </c>
      <c r="U273" s="501">
        <f>U330</f>
        <v>0.20738637257032655</v>
      </c>
      <c r="V273" s="494"/>
      <c r="W273" s="500" t="str">
        <f>W330</f>
        <v>Porcentaje acumulado</v>
      </c>
      <c r="X273" s="501">
        <f>X330</f>
        <v>0.19177499493715372</v>
      </c>
      <c r="Y273" s="494"/>
      <c r="Z273" s="500" t="str">
        <f>Z330</f>
        <v>Porcentaje acumulado</v>
      </c>
      <c r="AA273" s="501">
        <f>AA330</f>
        <v>0.17713942945874261</v>
      </c>
      <c r="AB273" s="494"/>
      <c r="AC273" s="500" t="str">
        <f>AC330</f>
        <v>Porcentaje acumulado</v>
      </c>
      <c r="AD273" s="501">
        <f>AD330</f>
        <v>0.14981954169844708</v>
      </c>
      <c r="AE273" s="494"/>
      <c r="AF273" s="500" t="str">
        <f>AF330</f>
        <v>Porcentaje acumulado</v>
      </c>
      <c r="AG273" s="501">
        <f>AG330</f>
        <v>0.1137181067712883</v>
      </c>
      <c r="AH273" s="494"/>
      <c r="AI273" s="500" t="str">
        <f>AI330</f>
        <v>Porcentaje acumulado</v>
      </c>
      <c r="AJ273" s="501">
        <f>AJ330</f>
        <v>9.1330782721663797E-2</v>
      </c>
      <c r="AK273" s="494"/>
      <c r="AL273" s="500" t="str">
        <f>AL330</f>
        <v>Porcentaje acumulado</v>
      </c>
      <c r="AM273" s="501">
        <f>AM330</f>
        <v>4.3015031595514036E-2</v>
      </c>
      <c r="AN273" s="494"/>
      <c r="AO273" s="500" t="str">
        <f>AO330</f>
        <v>Porcentaje acumulado</v>
      </c>
      <c r="AP273" s="501">
        <f>AP330</f>
        <v>2.2493384710463464E-2</v>
      </c>
      <c r="AQ273" s="494"/>
      <c r="AR273" s="500" t="str">
        <f t="shared" si="347"/>
        <v>Porcentaje acumulado</v>
      </c>
      <c r="AS273" s="501">
        <f t="shared" si="347"/>
        <v>0</v>
      </c>
      <c r="AT273" s="494"/>
      <c r="AU273" s="28"/>
      <c r="AV273" s="28"/>
      <c r="AW273" s="28"/>
      <c r="AX273" s="28"/>
      <c r="AY273" s="28"/>
      <c r="AZ273" s="28"/>
      <c r="BA273" s="28"/>
      <c r="BB273" s="28"/>
      <c r="BC273" s="28"/>
      <c r="BD273" s="28"/>
      <c r="BE273" s="28"/>
      <c r="BF273" s="28"/>
      <c r="BG273" s="28"/>
      <c r="BH273" s="28"/>
      <c r="BI273" s="28"/>
      <c r="BJ273" s="28"/>
      <c r="BK273" s="33"/>
      <c r="BL273" s="33"/>
    </row>
    <row r="274" spans="1:64" ht="16.5" thickBot="1">
      <c r="A274" s="28"/>
      <c r="B274" s="141"/>
      <c r="C274" s="77"/>
      <c r="D274" s="240"/>
      <c r="E274" s="502"/>
      <c r="F274" s="503"/>
      <c r="G274" s="494"/>
      <c r="H274" s="502"/>
      <c r="I274" s="503"/>
      <c r="J274" s="494"/>
      <c r="K274" s="502"/>
      <c r="L274" s="503"/>
      <c r="M274" s="494"/>
      <c r="N274" s="502"/>
      <c r="O274" s="503"/>
      <c r="P274" s="494"/>
      <c r="Q274" s="502"/>
      <c r="R274" s="503"/>
      <c r="S274" s="494"/>
      <c r="T274" s="502"/>
      <c r="U274" s="503"/>
      <c r="V274" s="494"/>
      <c r="W274" s="502"/>
      <c r="X274" s="503"/>
      <c r="Y274" s="494"/>
      <c r="Z274" s="502"/>
      <c r="AA274" s="503"/>
      <c r="AB274" s="494"/>
      <c r="AC274" s="502"/>
      <c r="AD274" s="503"/>
      <c r="AE274" s="494"/>
      <c r="AF274" s="502"/>
      <c r="AG274" s="503"/>
      <c r="AH274" s="494"/>
      <c r="AI274" s="502"/>
      <c r="AJ274" s="503"/>
      <c r="AK274" s="494"/>
      <c r="AL274" s="502"/>
      <c r="AM274" s="503"/>
      <c r="AN274" s="494"/>
      <c r="AO274" s="502"/>
      <c r="AP274" s="503"/>
      <c r="AQ274" s="494"/>
      <c r="AR274" s="502"/>
      <c r="AS274" s="503"/>
      <c r="AT274" s="494"/>
      <c r="AU274" s="28"/>
      <c r="AV274" s="28"/>
      <c r="AW274" s="28"/>
      <c r="AX274" s="28"/>
      <c r="AY274" s="28"/>
      <c r="AZ274" s="28"/>
      <c r="BA274" s="28"/>
      <c r="BB274" s="28"/>
      <c r="BC274" s="28"/>
      <c r="BD274" s="28"/>
      <c r="BE274" s="28"/>
      <c r="BF274" s="28"/>
      <c r="BG274" s="28"/>
      <c r="BH274" s="28"/>
      <c r="BI274" s="28"/>
      <c r="BJ274" s="28"/>
      <c r="BK274" s="33"/>
      <c r="BL274" s="33"/>
    </row>
    <row r="275" spans="1:64">
      <c r="A275" s="28"/>
      <c r="B275" s="141"/>
      <c r="C275" s="77"/>
      <c r="D275" s="492"/>
      <c r="E275" s="267" t="s">
        <v>123</v>
      </c>
      <c r="F275" s="504">
        <f>F332</f>
        <v>37391.90105204843</v>
      </c>
      <c r="G275" s="494"/>
      <c r="H275" s="267" t="s">
        <v>123</v>
      </c>
      <c r="I275" s="504">
        <f>I332</f>
        <v>32361.758201208198</v>
      </c>
      <c r="J275" s="494"/>
      <c r="K275" s="267" t="s">
        <v>123</v>
      </c>
      <c r="L275" s="504">
        <f>L332</f>
        <v>29547.692270669155</v>
      </c>
      <c r="M275" s="494"/>
      <c r="N275" s="267" t="s">
        <v>123</v>
      </c>
      <c r="O275" s="504">
        <f>O332</f>
        <v>26733.626340128714</v>
      </c>
      <c r="P275" s="494"/>
      <c r="Q275" s="267" t="s">
        <v>123</v>
      </c>
      <c r="R275" s="504">
        <f>R332</f>
        <v>23977.209057264961</v>
      </c>
      <c r="S275" s="494"/>
      <c r="T275" s="267" t="s">
        <v>123</v>
      </c>
      <c r="U275" s="504">
        <f>U332</f>
        <v>20190.594981206581</v>
      </c>
      <c r="V275" s="494"/>
      <c r="W275" s="267" t="s">
        <v>123</v>
      </c>
      <c r="X275" s="504">
        <f>X332</f>
        <v>18928.552100848174</v>
      </c>
      <c r="Y275" s="494"/>
      <c r="Z275" s="267" t="s">
        <v>123</v>
      </c>
      <c r="AA275" s="504">
        <f>AA332</f>
        <v>35333.511344190221</v>
      </c>
      <c r="AB275" s="494"/>
      <c r="AC275" s="267" t="s">
        <v>123</v>
      </c>
      <c r="AD275" s="504">
        <f>AD332</f>
        <v>46690.91146099614</v>
      </c>
      <c r="AE275" s="494"/>
      <c r="AF275" s="267" t="s">
        <v>123</v>
      </c>
      <c r="AG275" s="504">
        <f>AG332</f>
        <v>28954.100222295849</v>
      </c>
      <c r="AH275" s="494"/>
      <c r="AI275" s="267" t="s">
        <v>123</v>
      </c>
      <c r="AJ275" s="504">
        <f>AJ332</f>
        <v>50076</v>
      </c>
      <c r="AK275" s="494"/>
      <c r="AL275" s="267" t="s">
        <v>123</v>
      </c>
      <c r="AM275" s="504">
        <f>AM332</f>
        <v>26541.172107895836</v>
      </c>
      <c r="AN275" s="494"/>
      <c r="AO275" s="267" t="s">
        <v>123</v>
      </c>
      <c r="AP275" s="504">
        <f>AP332</f>
        <v>29091.271194439149</v>
      </c>
      <c r="AQ275" s="494"/>
      <c r="AR275" s="267" t="str">
        <f t="shared" si="347"/>
        <v>Aumento provincial</v>
      </c>
      <c r="AS275" s="504">
        <f t="shared" si="347"/>
        <v>0</v>
      </c>
      <c r="AT275" s="494"/>
      <c r="AU275" s="28"/>
      <c r="AV275" s="28"/>
      <c r="AW275" s="28"/>
      <c r="AX275" s="28"/>
      <c r="AY275" s="28"/>
      <c r="AZ275" s="28"/>
      <c r="BA275" s="28"/>
      <c r="BB275" s="28"/>
      <c r="BC275" s="28"/>
      <c r="BD275" s="28"/>
      <c r="BE275" s="28"/>
      <c r="BF275" s="28"/>
      <c r="BG275" s="28"/>
      <c r="BH275" s="28"/>
      <c r="BI275" s="28"/>
      <c r="BJ275" s="28"/>
      <c r="BK275" s="33"/>
      <c r="BL275" s="33"/>
    </row>
    <row r="276" spans="1:64" ht="16.5" thickBot="1">
      <c r="A276" s="28"/>
      <c r="B276" s="141"/>
      <c r="C276" s="77"/>
      <c r="D276" s="492"/>
      <c r="E276" s="269" t="s">
        <v>124</v>
      </c>
      <c r="F276" s="505">
        <f>F333</f>
        <v>2.4190102962235741E-2</v>
      </c>
      <c r="G276" s="494"/>
      <c r="H276" s="269" t="s">
        <v>124</v>
      </c>
      <c r="I276" s="505">
        <f>I333</f>
        <v>2.1383616999458982E-2</v>
      </c>
      <c r="J276" s="494"/>
      <c r="K276" s="269" t="s">
        <v>124</v>
      </c>
      <c r="L276" s="505">
        <f>L333</f>
        <v>1.9912956022247567E-2</v>
      </c>
      <c r="M276" s="494"/>
      <c r="N276" s="269" t="s">
        <v>124</v>
      </c>
      <c r="O276" s="505">
        <f>O333</f>
        <v>1.8347033047851791E-2</v>
      </c>
      <c r="P276" s="494"/>
      <c r="Q276" s="269" t="s">
        <v>124</v>
      </c>
      <c r="R276" s="505">
        <f>R333</f>
        <v>1.6730638305461409E-2</v>
      </c>
      <c r="S276" s="494"/>
      <c r="T276" s="269" t="s">
        <v>124</v>
      </c>
      <c r="U276" s="505">
        <f>U333</f>
        <v>1.4289763463051205E-2</v>
      </c>
      <c r="V276" s="494"/>
      <c r="W276" s="269" t="s">
        <v>124</v>
      </c>
      <c r="X276" s="505">
        <f>X333</f>
        <v>1.3578465486515949E-2</v>
      </c>
      <c r="Y276" s="494"/>
      <c r="Z276" s="269" t="s">
        <v>124</v>
      </c>
      <c r="AA276" s="505">
        <f>AA333</f>
        <v>2.6005781204521242E-2</v>
      </c>
      <c r="AB276" s="494"/>
      <c r="AC276" s="269" t="s">
        <v>124</v>
      </c>
      <c r="AD276" s="505">
        <f>AD333</f>
        <v>3.5587905400098339E-2</v>
      </c>
      <c r="AE276" s="494"/>
      <c r="AF276" s="269" t="s">
        <v>124</v>
      </c>
      <c r="AG276" s="505">
        <f>AG333</f>
        <v>2.2566898678612612E-2</v>
      </c>
      <c r="AH276" s="494"/>
      <c r="AI276" s="269" t="s">
        <v>124</v>
      </c>
      <c r="AJ276" s="505">
        <f>AJ333</f>
        <v>4.0614519312873951E-2</v>
      </c>
      <c r="AK276" s="494"/>
      <c r="AL276" s="269" t="s">
        <v>124</v>
      </c>
      <c r="AM276" s="505">
        <f>AM333</f>
        <v>2.2000000000000422E-2</v>
      </c>
      <c r="AN276" s="494"/>
      <c r="AO276" s="269" t="s">
        <v>124</v>
      </c>
      <c r="AP276" s="505">
        <f>AP333</f>
        <v>2.4709621651688791E-2</v>
      </c>
      <c r="AQ276" s="494"/>
      <c r="AR276" s="269" t="str">
        <f t="shared" si="347"/>
        <v>Porcentaje provincial</v>
      </c>
      <c r="AS276" s="505">
        <f t="shared" si="347"/>
        <v>0</v>
      </c>
      <c r="AT276" s="494"/>
      <c r="AU276" s="28"/>
      <c r="AV276" s="28"/>
      <c r="AW276" s="28"/>
      <c r="AX276" s="28"/>
      <c r="AY276" s="28"/>
      <c r="AZ276" s="28"/>
      <c r="BA276" s="28"/>
      <c r="BB276" s="28"/>
      <c r="BC276" s="28"/>
      <c r="BD276" s="28"/>
      <c r="BE276" s="28"/>
      <c r="BF276" s="28"/>
      <c r="BG276" s="28"/>
      <c r="BH276" s="28"/>
      <c r="BI276" s="28"/>
      <c r="BJ276" s="28"/>
      <c r="BK276" s="33"/>
      <c r="BL276" s="33"/>
    </row>
    <row r="277" spans="1:64" ht="16.5" thickBot="1">
      <c r="A277" s="28"/>
      <c r="B277" s="141"/>
      <c r="C277" s="77"/>
      <c r="D277" s="492"/>
      <c r="E277" s="476"/>
      <c r="F277" s="476"/>
      <c r="G277" s="494"/>
      <c r="H277" s="476"/>
      <c r="I277" s="476"/>
      <c r="J277" s="494"/>
      <c r="K277" s="476"/>
      <c r="L277" s="476"/>
      <c r="M277" s="494"/>
      <c r="N277" s="476"/>
      <c r="O277" s="476"/>
      <c r="P277" s="494"/>
      <c r="Q277" s="476"/>
      <c r="R277" s="476"/>
      <c r="S277" s="494"/>
      <c r="T277" s="476"/>
      <c r="U277" s="476"/>
      <c r="V277" s="494"/>
      <c r="W277" s="476"/>
      <c r="X277" s="476"/>
      <c r="Y277" s="494"/>
      <c r="Z277" s="476"/>
      <c r="AA277" s="476"/>
      <c r="AB277" s="494"/>
      <c r="AC277" s="476"/>
      <c r="AD277" s="476"/>
      <c r="AE277" s="494"/>
      <c r="AF277" s="476"/>
      <c r="AG277" s="476"/>
      <c r="AH277" s="494"/>
      <c r="AI277" s="476"/>
      <c r="AJ277" s="476"/>
      <c r="AK277" s="494"/>
      <c r="AL277" s="476"/>
      <c r="AM277" s="476"/>
      <c r="AN277" s="494"/>
      <c r="AO277" s="476"/>
      <c r="AP277" s="476"/>
      <c r="AQ277" s="494"/>
      <c r="AR277" s="476"/>
      <c r="AS277" s="476"/>
      <c r="AT277" s="494"/>
      <c r="AU277" s="28"/>
      <c r="AV277" s="28"/>
      <c r="AW277" s="28"/>
      <c r="AX277" s="28"/>
      <c r="AY277" s="28"/>
      <c r="AZ277" s="28"/>
      <c r="BA277" s="28"/>
      <c r="BB277" s="28"/>
      <c r="BC277" s="28"/>
      <c r="BD277" s="28"/>
      <c r="BE277" s="28"/>
      <c r="BF277" s="28"/>
      <c r="BG277" s="28"/>
      <c r="BH277" s="28"/>
      <c r="BI277" s="28"/>
      <c r="BJ277" s="28"/>
      <c r="BK277" s="33"/>
      <c r="BL277" s="33"/>
    </row>
    <row r="278" spans="1:64" ht="16.5" thickTop="1">
      <c r="A278" s="28"/>
      <c r="B278" s="141"/>
      <c r="C278" s="77"/>
      <c r="D278" s="492"/>
      <c r="E278" s="271" t="str">
        <f t="shared" ref="E278" si="348">E335</f>
        <v>Medio Aguinaldo</v>
      </c>
      <c r="F278" s="272"/>
      <c r="G278" s="494"/>
      <c r="H278" s="271" t="str">
        <f t="shared" ref="H278" si="349">H335</f>
        <v>Medio Aguinaldo</v>
      </c>
      <c r="I278" s="272"/>
      <c r="J278" s="494"/>
      <c r="K278" s="271" t="str">
        <f t="shared" ref="K278" si="350">K335</f>
        <v>Medio Aguinaldo</v>
      </c>
      <c r="L278" s="272"/>
      <c r="M278" s="494"/>
      <c r="N278" s="271" t="str">
        <f t="shared" ref="N278" si="351">N335</f>
        <v>Medio Aguinaldo</v>
      </c>
      <c r="O278" s="272"/>
      <c r="P278" s="494"/>
      <c r="Q278" s="271" t="str">
        <f t="shared" ref="Q278" si="352">Q335</f>
        <v>Medio Aguinaldo</v>
      </c>
      <c r="R278" s="272"/>
      <c r="S278" s="494"/>
      <c r="T278" s="271" t="str">
        <f t="shared" ref="T278" si="353">T335</f>
        <v>Medio Aguinaldo</v>
      </c>
      <c r="U278" s="272"/>
      <c r="V278" s="494"/>
      <c r="W278" s="271" t="str">
        <f t="shared" ref="W278" si="354">W335</f>
        <v>Medio Aguinaldo</v>
      </c>
      <c r="X278" s="272"/>
      <c r="Y278" s="494"/>
      <c r="Z278" s="271" t="str">
        <f t="shared" ref="Z278" si="355">Z335</f>
        <v>Medio Aguinaldo</v>
      </c>
      <c r="AA278" s="272"/>
      <c r="AB278" s="494"/>
      <c r="AC278" s="271" t="str">
        <f t="shared" ref="AC278" si="356">AC335</f>
        <v>Medio Aguinaldo</v>
      </c>
      <c r="AD278" s="272"/>
      <c r="AE278" s="494"/>
      <c r="AF278" s="271" t="str">
        <f t="shared" ref="AF278" si="357">AF335</f>
        <v>Medio Aguinaldo</v>
      </c>
      <c r="AG278" s="272"/>
      <c r="AH278" s="494"/>
      <c r="AI278" s="271" t="str">
        <f t="shared" ref="AI278" si="358">AI335</f>
        <v>Medio Aguinaldo</v>
      </c>
      <c r="AJ278" s="272"/>
      <c r="AK278" s="494"/>
      <c r="AL278" s="271" t="str">
        <f t="shared" ref="AL278" si="359">AL335</f>
        <v>Medio Aguinaldo</v>
      </c>
      <c r="AM278" s="272"/>
      <c r="AN278" s="494"/>
      <c r="AO278" s="271" t="str">
        <f t="shared" ref="AO278:AP283" si="360">AO335</f>
        <v>Medio Aguinaldo</v>
      </c>
      <c r="AP278" s="272"/>
      <c r="AQ278" s="494"/>
      <c r="AR278" s="271" t="str">
        <f t="shared" ref="AR278:AS283" si="361">AR335</f>
        <v>Medio Aguinaldo</v>
      </c>
      <c r="AS278" s="272"/>
      <c r="AT278" s="494"/>
      <c r="AU278" s="28"/>
      <c r="AV278" s="28"/>
      <c r="AW278" s="28"/>
      <c r="AX278" s="28"/>
      <c r="AY278" s="28"/>
      <c r="AZ278" s="28"/>
      <c r="BA278" s="28"/>
      <c r="BB278" s="28"/>
      <c r="BC278" s="28"/>
      <c r="BD278" s="28"/>
      <c r="BE278" s="28"/>
      <c r="BF278" s="28"/>
      <c r="BG278" s="28"/>
      <c r="BH278" s="28"/>
      <c r="BI278" s="28"/>
      <c r="BJ278" s="33"/>
      <c r="BK278" s="33"/>
    </row>
    <row r="279" spans="1:64">
      <c r="A279" s="28"/>
      <c r="B279" s="141"/>
      <c r="C279" s="77"/>
      <c r="D279" s="492"/>
      <c r="E279" s="273" t="str">
        <f t="shared" ref="E279:F279" si="362">E336</f>
        <v>código 100</v>
      </c>
      <c r="F279" s="506">
        <f t="shared" si="362"/>
        <v>1014835.8609833297</v>
      </c>
      <c r="G279" s="494"/>
      <c r="H279" s="273" t="str">
        <f t="shared" ref="H279:I279" si="363">H336</f>
        <v>código 100</v>
      </c>
      <c r="I279" s="506">
        <f t="shared" si="363"/>
        <v>990866.69364227296</v>
      </c>
      <c r="J279" s="494"/>
      <c r="K279" s="273" t="str">
        <f t="shared" ref="K279:L279" si="364">K336</f>
        <v>código 100</v>
      </c>
      <c r="L279" s="506">
        <f t="shared" si="364"/>
        <v>970121.97684662673</v>
      </c>
      <c r="M279" s="494"/>
      <c r="N279" s="273" t="str">
        <f t="shared" ref="N279:O279" si="365">N336</f>
        <v>código 100</v>
      </c>
      <c r="O279" s="506">
        <f t="shared" si="365"/>
        <v>951181.14846799278</v>
      </c>
      <c r="P279" s="494"/>
      <c r="Q279" s="273" t="str">
        <f t="shared" ref="Q279:R279" si="366">Q336</f>
        <v>código 100</v>
      </c>
      <c r="R279" s="506">
        <f t="shared" si="366"/>
        <v>934044.20850637183</v>
      </c>
      <c r="S279" s="494"/>
      <c r="T279" s="273" t="str">
        <f t="shared" ref="T279:U279" si="367">T336</f>
        <v>código 100</v>
      </c>
      <c r="U279" s="506">
        <f t="shared" si="367"/>
        <v>918674.20270043274</v>
      </c>
      <c r="V279" s="494"/>
      <c r="W279" s="273" t="str">
        <f t="shared" ref="W279:X279" si="368">W336</f>
        <v>código 100</v>
      </c>
      <c r="X279" s="506">
        <f t="shared" si="368"/>
        <v>905731.51360991574</v>
      </c>
      <c r="Y279" s="494"/>
      <c r="Z279" s="273" t="str">
        <f t="shared" ref="Z279:AA279" si="369">Z336</f>
        <v>código 100</v>
      </c>
      <c r="AA279" s="506">
        <f t="shared" si="369"/>
        <v>893597.82636578218</v>
      </c>
      <c r="AB279" s="494"/>
      <c r="AC279" s="273" t="str">
        <f t="shared" ref="AC279:AD279" si="370">AC336</f>
        <v>código 100</v>
      </c>
      <c r="AD279" s="506">
        <f t="shared" si="370"/>
        <v>870948.13960668596</v>
      </c>
      <c r="AE279" s="494"/>
      <c r="AF279" s="273" t="str">
        <f t="shared" ref="AF279:AG279" si="371">AF336</f>
        <v>código 100</v>
      </c>
      <c r="AG279" s="506">
        <f t="shared" si="371"/>
        <v>841018.06815732946</v>
      </c>
      <c r="AH279" s="494"/>
      <c r="AI279" s="273" t="str">
        <f t="shared" ref="AI279:AJ279" si="372">AI336</f>
        <v>código 100</v>
      </c>
      <c r="AJ279" s="506">
        <f t="shared" si="372"/>
        <v>809957.7475020116</v>
      </c>
      <c r="AK279" s="494"/>
      <c r="AL279" s="273" t="str">
        <f t="shared" ref="AL279:AM279" si="373">AL336</f>
        <v>código 100</v>
      </c>
      <c r="AM279" s="506">
        <f t="shared" si="373"/>
        <v>790357.7475020116</v>
      </c>
      <c r="AN279" s="494"/>
      <c r="AO279" s="273" t="str">
        <f t="shared" si="360"/>
        <v>código 100</v>
      </c>
      <c r="AP279" s="506">
        <f t="shared" si="360"/>
        <v>773344.1756379758</v>
      </c>
      <c r="AQ279" s="494"/>
      <c r="AR279" s="273" t="str">
        <f t="shared" si="361"/>
        <v>código 100</v>
      </c>
      <c r="AS279" s="506">
        <f t="shared" si="361"/>
        <v>754695.92487230967</v>
      </c>
      <c r="AT279" s="494"/>
      <c r="AU279" s="28"/>
      <c r="AV279" s="28"/>
      <c r="AW279" s="28"/>
      <c r="AX279" s="28"/>
      <c r="AY279" s="28"/>
      <c r="AZ279" s="28"/>
      <c r="BA279" s="28"/>
      <c r="BB279" s="28"/>
      <c r="BC279" s="28"/>
      <c r="BD279" s="28"/>
      <c r="BE279" s="28"/>
      <c r="BF279" s="28"/>
      <c r="BG279" s="28"/>
      <c r="BH279" s="28"/>
      <c r="BI279" s="28"/>
      <c r="BJ279" s="33"/>
      <c r="BK279" s="33"/>
    </row>
    <row r="280" spans="1:64">
      <c r="A280" s="28"/>
      <c r="B280" s="141"/>
      <c r="C280" s="77"/>
      <c r="D280" s="492"/>
      <c r="E280" s="507" t="str">
        <f t="shared" ref="E280:F280" si="374">E337</f>
        <v>código 186 (No remun)</v>
      </c>
      <c r="F280" s="508">
        <f t="shared" si="374"/>
        <v>0</v>
      </c>
      <c r="G280" s="494"/>
      <c r="H280" s="507" t="str">
        <f t="shared" ref="H280:I280" si="375">H337</f>
        <v>código 186 (No remun)</v>
      </c>
      <c r="I280" s="508">
        <f t="shared" si="375"/>
        <v>0</v>
      </c>
      <c r="J280" s="494"/>
      <c r="K280" s="507" t="str">
        <f t="shared" ref="K280:L280" si="376">K337</f>
        <v>código 186 (No remun)</v>
      </c>
      <c r="L280" s="508">
        <f t="shared" si="376"/>
        <v>0</v>
      </c>
      <c r="M280" s="494"/>
      <c r="N280" s="507" t="str">
        <f t="shared" ref="N280:O280" si="377">N337</f>
        <v>código 186 (No remun)</v>
      </c>
      <c r="O280" s="508">
        <f t="shared" si="377"/>
        <v>0</v>
      </c>
      <c r="P280" s="494"/>
      <c r="Q280" s="507" t="str">
        <f t="shared" ref="Q280:R280" si="378">Q337</f>
        <v>código 186 (No remun)</v>
      </c>
      <c r="R280" s="508">
        <f t="shared" si="378"/>
        <v>0</v>
      </c>
      <c r="S280" s="494"/>
      <c r="T280" s="507" t="str">
        <f t="shared" ref="T280:U280" si="379">T337</f>
        <v>código 186 (No remun)</v>
      </c>
      <c r="U280" s="508">
        <f t="shared" si="379"/>
        <v>0</v>
      </c>
      <c r="V280" s="494"/>
      <c r="W280" s="507" t="str">
        <f t="shared" ref="W280:X280" si="380">W337</f>
        <v>código 186 (No remun)</v>
      </c>
      <c r="X280" s="508">
        <f t="shared" si="380"/>
        <v>0</v>
      </c>
      <c r="Y280" s="494"/>
      <c r="Z280" s="507" t="str">
        <f t="shared" ref="Z280:AA280" si="381">Z337</f>
        <v>código 186 (No remun)</v>
      </c>
      <c r="AA280" s="508">
        <f t="shared" si="381"/>
        <v>0</v>
      </c>
      <c r="AB280" s="494"/>
      <c r="AC280" s="507" t="str">
        <f t="shared" ref="AC280:AD280" si="382">AC337</f>
        <v>código 186 (No remun)</v>
      </c>
      <c r="AD280" s="508">
        <f t="shared" si="382"/>
        <v>0</v>
      </c>
      <c r="AE280" s="494"/>
      <c r="AF280" s="507" t="str">
        <f t="shared" ref="AF280:AG280" si="383">AF337</f>
        <v>código 186 (No remun)</v>
      </c>
      <c r="AG280" s="508">
        <f t="shared" si="383"/>
        <v>0</v>
      </c>
      <c r="AH280" s="494"/>
      <c r="AI280" s="507" t="str">
        <f t="shared" ref="AI280:AJ280" si="384">AI337</f>
        <v>código 186 (No remun)</v>
      </c>
      <c r="AJ280" s="508">
        <f t="shared" si="384"/>
        <v>0</v>
      </c>
      <c r="AK280" s="494"/>
      <c r="AL280" s="507" t="str">
        <f t="shared" ref="AL280:AM280" si="385">AL337</f>
        <v>código 186 (No remun)</v>
      </c>
      <c r="AM280" s="508">
        <f t="shared" si="385"/>
        <v>0</v>
      </c>
      <c r="AN280" s="494"/>
      <c r="AO280" s="507" t="str">
        <f t="shared" si="360"/>
        <v>código 186 (No remun)</v>
      </c>
      <c r="AP280" s="508">
        <f t="shared" si="360"/>
        <v>0</v>
      </c>
      <c r="AQ280" s="494"/>
      <c r="AR280" s="507" t="str">
        <f t="shared" si="361"/>
        <v>código 186 (No remun)</v>
      </c>
      <c r="AS280" s="508">
        <f t="shared" si="361"/>
        <v>0</v>
      </c>
      <c r="AT280" s="494"/>
      <c r="AU280" s="28"/>
      <c r="AV280" s="28"/>
      <c r="AW280" s="28"/>
      <c r="AX280" s="28"/>
      <c r="AY280" s="28"/>
      <c r="AZ280" s="28"/>
      <c r="BA280" s="28"/>
      <c r="BB280" s="28"/>
      <c r="BC280" s="28"/>
      <c r="BD280" s="28"/>
      <c r="BE280" s="28"/>
      <c r="BF280" s="28"/>
      <c r="BG280" s="28"/>
      <c r="BH280" s="28"/>
      <c r="BI280" s="28"/>
      <c r="BJ280" s="33"/>
      <c r="BK280" s="33"/>
    </row>
    <row r="281" spans="1:64">
      <c r="A281" s="28"/>
      <c r="B281" s="141"/>
      <c r="C281" s="77"/>
      <c r="D281" s="509"/>
      <c r="E281" s="273" t="str">
        <f t="shared" ref="E281:F281" si="386">E338</f>
        <v>Líquido</v>
      </c>
      <c r="F281" s="275">
        <f t="shared" si="386"/>
        <v>791571.97156699724</v>
      </c>
      <c r="G281" s="494"/>
      <c r="H281" s="273" t="str">
        <f t="shared" ref="H281:I283" si="387">H338</f>
        <v>Líquido</v>
      </c>
      <c r="I281" s="275">
        <f t="shared" si="387"/>
        <v>772876.0210409729</v>
      </c>
      <c r="J281" s="494"/>
      <c r="K281" s="273" t="str">
        <f t="shared" ref="K281:L281" si="388">K338</f>
        <v>Líquido</v>
      </c>
      <c r="L281" s="275">
        <f t="shared" si="388"/>
        <v>756695.14194036892</v>
      </c>
      <c r="M281" s="494"/>
      <c r="N281" s="273" t="str">
        <f t="shared" ref="N281:O283" si="389">N338</f>
        <v>Líquido</v>
      </c>
      <c r="O281" s="275">
        <f t="shared" si="389"/>
        <v>741921.29580503434</v>
      </c>
      <c r="P281" s="494"/>
      <c r="Q281" s="273" t="str">
        <f t="shared" ref="Q281:R281" si="390">Q338</f>
        <v>Líquido</v>
      </c>
      <c r="R281" s="275">
        <f t="shared" si="390"/>
        <v>728554.4826349701</v>
      </c>
      <c r="S281" s="494"/>
      <c r="T281" s="273" t="str">
        <f t="shared" ref="T281:U283" si="391">T338</f>
        <v>Líquido</v>
      </c>
      <c r="U281" s="275">
        <f t="shared" si="391"/>
        <v>716565.87810633751</v>
      </c>
      <c r="V281" s="494"/>
      <c r="W281" s="273" t="str">
        <f t="shared" ref="W281:X281" si="392">W338</f>
        <v>Líquido</v>
      </c>
      <c r="X281" s="275">
        <f t="shared" si="392"/>
        <v>706470.58061573433</v>
      </c>
      <c r="Y281" s="494"/>
      <c r="Z281" s="273" t="str">
        <f t="shared" ref="Z281:AA283" si="393">Z338</f>
        <v>Líquido</v>
      </c>
      <c r="AA281" s="275">
        <f t="shared" si="393"/>
        <v>697006.30456531013</v>
      </c>
      <c r="AB281" s="494"/>
      <c r="AC281" s="273" t="str">
        <f t="shared" ref="AC281:AD281" si="394">AC338</f>
        <v>Líquido</v>
      </c>
      <c r="AD281" s="275">
        <f t="shared" si="394"/>
        <v>679339.54889321502</v>
      </c>
      <c r="AE281" s="494"/>
      <c r="AF281" s="273" t="str">
        <f t="shared" ref="AF281:AG283" si="395">AF338</f>
        <v>Líquido</v>
      </c>
      <c r="AG281" s="275">
        <f t="shared" si="395"/>
        <v>655994.09316271695</v>
      </c>
      <c r="AH281" s="494"/>
      <c r="AI281" s="273" t="str">
        <f t="shared" ref="AI281:AJ283" si="396">AI338</f>
        <v>Líquido</v>
      </c>
      <c r="AJ281" s="275">
        <f t="shared" si="396"/>
        <v>631767.04305156902</v>
      </c>
      <c r="AK281" s="494"/>
      <c r="AL281" s="273" t="str">
        <f t="shared" ref="AL281:AM281" si="397">AL338</f>
        <v>Líquido</v>
      </c>
      <c r="AM281" s="275">
        <f t="shared" si="397"/>
        <v>616479.04305156902</v>
      </c>
      <c r="AN281" s="494"/>
      <c r="AO281" s="273" t="str">
        <f t="shared" si="360"/>
        <v>Líquido</v>
      </c>
      <c r="AP281" s="275">
        <f t="shared" si="360"/>
        <v>603208.45699762111</v>
      </c>
      <c r="AQ281" s="494"/>
      <c r="AR281" s="273" t="str">
        <f t="shared" si="361"/>
        <v>Líquido</v>
      </c>
      <c r="AS281" s="275">
        <f t="shared" si="361"/>
        <v>588662.82140040153</v>
      </c>
      <c r="AT281" s="494"/>
      <c r="AU281" s="28"/>
      <c r="AV281" s="28"/>
      <c r="AW281" s="28"/>
      <c r="AX281" s="28"/>
      <c r="AY281" s="28"/>
      <c r="AZ281" s="28"/>
      <c r="BA281" s="28"/>
      <c r="BB281" s="28"/>
      <c r="BC281" s="28"/>
      <c r="BD281" s="28"/>
      <c r="BE281" s="28"/>
      <c r="BF281" s="28"/>
      <c r="BG281" s="28"/>
      <c r="BH281" s="28"/>
      <c r="BI281" s="28"/>
      <c r="BJ281" s="33"/>
      <c r="BK281" s="33"/>
    </row>
    <row r="282" spans="1:64">
      <c r="A282" s="28"/>
      <c r="B282" s="141"/>
      <c r="C282" s="77"/>
      <c r="D282" s="492"/>
      <c r="E282" s="507" t="str">
        <f t="shared" ref="E282" si="398">E339</f>
        <v>Descuentos con aguinaldo</v>
      </c>
      <c r="F282" s="508"/>
      <c r="G282" s="494"/>
      <c r="H282" s="507" t="str">
        <f t="shared" si="387"/>
        <v>Descuentos con aguinaldo</v>
      </c>
      <c r="I282" s="508"/>
      <c r="J282" s="494"/>
      <c r="K282" s="507" t="str">
        <f t="shared" ref="K282" si="399">K339</f>
        <v>Descuentos con aguinaldo</v>
      </c>
      <c r="L282" s="508"/>
      <c r="M282" s="494"/>
      <c r="N282" s="507" t="str">
        <f t="shared" si="389"/>
        <v>Descuentos con aguinaldo</v>
      </c>
      <c r="O282" s="508"/>
      <c r="P282" s="494"/>
      <c r="Q282" s="507" t="str">
        <f t="shared" ref="Q282" si="400">Q339</f>
        <v>Descuentos con aguinaldo</v>
      </c>
      <c r="R282" s="508"/>
      <c r="S282" s="494"/>
      <c r="T282" s="507" t="str">
        <f t="shared" si="391"/>
        <v>Descuentos con aguinaldo</v>
      </c>
      <c r="U282" s="508"/>
      <c r="V282" s="494"/>
      <c r="W282" s="507" t="str">
        <f t="shared" ref="W282" si="401">W339</f>
        <v>Descuentos con aguinaldo</v>
      </c>
      <c r="X282" s="508"/>
      <c r="Y282" s="494"/>
      <c r="Z282" s="507" t="str">
        <f t="shared" si="393"/>
        <v>Descuentos con aguinaldo</v>
      </c>
      <c r="AA282" s="508"/>
      <c r="AB282" s="494"/>
      <c r="AC282" s="507" t="str">
        <f t="shared" ref="AC282" si="402">AC339</f>
        <v>Descuentos con aguinaldo</v>
      </c>
      <c r="AD282" s="508"/>
      <c r="AE282" s="494"/>
      <c r="AF282" s="507" t="str">
        <f t="shared" si="395"/>
        <v>Descuentos con aguinaldo</v>
      </c>
      <c r="AG282" s="508"/>
      <c r="AH282" s="494"/>
      <c r="AI282" s="507" t="str">
        <f t="shared" si="396"/>
        <v>Descuentos con aguinaldo</v>
      </c>
      <c r="AJ282" s="508"/>
      <c r="AK282" s="494"/>
      <c r="AL282" s="507" t="str">
        <f t="shared" ref="AL282" si="403">AL339</f>
        <v>Descuentos con aguinaldo</v>
      </c>
      <c r="AM282" s="508"/>
      <c r="AN282" s="494"/>
      <c r="AO282" s="507" t="str">
        <f t="shared" si="360"/>
        <v>Descuentos con aguinaldo</v>
      </c>
      <c r="AP282" s="508"/>
      <c r="AQ282" s="494"/>
      <c r="AR282" s="507" t="str">
        <f t="shared" si="361"/>
        <v>Descuentos con aguinaldo</v>
      </c>
      <c r="AS282" s="508"/>
      <c r="AT282" s="494"/>
      <c r="AU282" s="28"/>
      <c r="AV282" s="28"/>
      <c r="AW282" s="28"/>
      <c r="AX282" s="28"/>
      <c r="AY282" s="28"/>
      <c r="AZ282" s="28"/>
      <c r="BA282" s="28"/>
      <c r="BB282" s="28"/>
      <c r="BC282" s="28"/>
      <c r="BD282" s="28"/>
      <c r="BE282" s="28"/>
      <c r="BF282" s="28"/>
      <c r="BG282" s="28"/>
      <c r="BH282" s="28"/>
      <c r="BI282" s="28"/>
      <c r="BJ282" s="33"/>
      <c r="BK282" s="33"/>
    </row>
    <row r="283" spans="1:64">
      <c r="A283" s="28"/>
      <c r="B283" s="141"/>
      <c r="C283" s="77"/>
      <c r="D283" s="492"/>
      <c r="E283" s="273">
        <f t="shared" ref="E283" si="404">E340</f>
        <v>502</v>
      </c>
      <c r="F283" s="275">
        <f>F340</f>
        <v>-578456.44076049794</v>
      </c>
      <c r="G283" s="494"/>
      <c r="H283" s="273">
        <f t="shared" si="387"/>
        <v>502</v>
      </c>
      <c r="I283" s="275">
        <f>I340</f>
        <v>-564794.01537609554</v>
      </c>
      <c r="J283" s="494"/>
      <c r="K283" s="273">
        <f t="shared" ref="K283" si="405">K340</f>
        <v>502</v>
      </c>
      <c r="L283" s="275">
        <f>L340</f>
        <v>-552969.52680257719</v>
      </c>
      <c r="M283" s="494"/>
      <c r="N283" s="273">
        <f t="shared" si="389"/>
        <v>502</v>
      </c>
      <c r="O283" s="275">
        <f>O340</f>
        <v>-542173.25462675584</v>
      </c>
      <c r="P283" s="494"/>
      <c r="Q283" s="273">
        <f t="shared" ref="Q283" si="406">Q340</f>
        <v>502</v>
      </c>
      <c r="R283" s="275">
        <f>R340</f>
        <v>-532405.19884863193</v>
      </c>
      <c r="S283" s="494"/>
      <c r="T283" s="273">
        <f t="shared" si="391"/>
        <v>502</v>
      </c>
      <c r="U283" s="275">
        <f>U340</f>
        <v>-523644.29553924664</v>
      </c>
      <c r="V283" s="494"/>
      <c r="W283" s="273">
        <f t="shared" ref="W283" si="407">W340</f>
        <v>502</v>
      </c>
      <c r="X283" s="275">
        <f>X340</f>
        <v>-516266.96275765193</v>
      </c>
      <c r="Y283" s="494"/>
      <c r="Z283" s="273">
        <f t="shared" si="393"/>
        <v>502</v>
      </c>
      <c r="AA283" s="275">
        <f>AA340</f>
        <v>-509350.76102849591</v>
      </c>
      <c r="AB283" s="494"/>
      <c r="AC283" s="273">
        <f t="shared" ref="AC283" si="408">AC340</f>
        <v>502</v>
      </c>
      <c r="AD283" s="275">
        <f>AD340</f>
        <v>-496440.43957581103</v>
      </c>
      <c r="AE283" s="494"/>
      <c r="AF283" s="273">
        <f t="shared" si="395"/>
        <v>502</v>
      </c>
      <c r="AG283" s="275">
        <f>AG340</f>
        <v>-479380.29884967784</v>
      </c>
      <c r="AH283" s="494"/>
      <c r="AI283" s="273">
        <f t="shared" si="396"/>
        <v>502</v>
      </c>
      <c r="AJ283" s="275">
        <f>AJ340</f>
        <v>-461675.91607614659</v>
      </c>
      <c r="AK283" s="494"/>
      <c r="AL283" s="273">
        <f t="shared" ref="AL283" si="409">AL340</f>
        <v>502</v>
      </c>
      <c r="AM283" s="275">
        <f>AM340</f>
        <v>-450503.91607614659</v>
      </c>
      <c r="AN283" s="494"/>
      <c r="AO283" s="273">
        <f t="shared" si="360"/>
        <v>502</v>
      </c>
      <c r="AP283" s="275">
        <f>AP340</f>
        <v>-440806.1801136462</v>
      </c>
      <c r="AQ283" s="494"/>
      <c r="AR283" s="273">
        <f t="shared" si="361"/>
        <v>502</v>
      </c>
      <c r="AS283" s="275">
        <f>AS340</f>
        <v>-430176.67717721645</v>
      </c>
      <c r="AT283" s="494"/>
      <c r="AU283" s="28"/>
      <c r="AV283" s="28"/>
      <c r="AW283" s="28"/>
      <c r="AX283" s="28"/>
      <c r="AY283" s="28"/>
      <c r="AZ283" s="28"/>
      <c r="BA283" s="28"/>
      <c r="BB283" s="28"/>
      <c r="BC283" s="28"/>
      <c r="BD283" s="28"/>
      <c r="BE283" s="28"/>
      <c r="BF283" s="28"/>
      <c r="BG283" s="28"/>
      <c r="BH283" s="28"/>
      <c r="BI283" s="28"/>
      <c r="BJ283" s="33"/>
      <c r="BK283" s="33"/>
    </row>
    <row r="284" spans="1:64">
      <c r="A284" s="28"/>
      <c r="B284" s="141"/>
      <c r="C284" s="77"/>
      <c r="D284" s="492"/>
      <c r="E284" s="273">
        <f t="shared" ref="E284:F284" si="410">E342</f>
        <v>505</v>
      </c>
      <c r="F284" s="275">
        <f t="shared" si="410"/>
        <v>-91335.227488499673</v>
      </c>
      <c r="G284" s="494"/>
      <c r="H284" s="273">
        <f t="shared" ref="H284:I284" si="411">H342</f>
        <v>505</v>
      </c>
      <c r="I284" s="275">
        <f t="shared" si="411"/>
        <v>-89178.00242780456</v>
      </c>
      <c r="J284" s="494"/>
      <c r="K284" s="273">
        <f t="shared" ref="K284:L284" si="412">K342</f>
        <v>505</v>
      </c>
      <c r="L284" s="275">
        <f t="shared" si="412"/>
        <v>-87310.977916196396</v>
      </c>
      <c r="M284" s="494"/>
      <c r="N284" s="273">
        <f t="shared" ref="N284:O284" si="413">N342</f>
        <v>505</v>
      </c>
      <c r="O284" s="275">
        <f t="shared" si="413"/>
        <v>-85606.303362119346</v>
      </c>
      <c r="P284" s="494"/>
      <c r="Q284" s="273">
        <f t="shared" ref="Q284:R284" si="414">Q342</f>
        <v>505</v>
      </c>
      <c r="R284" s="275">
        <f t="shared" si="414"/>
        <v>-84063.978765573454</v>
      </c>
      <c r="S284" s="494"/>
      <c r="T284" s="273">
        <f t="shared" ref="T284:U284" si="415">T342</f>
        <v>505</v>
      </c>
      <c r="U284" s="275">
        <f t="shared" si="415"/>
        <v>-82680.678243038943</v>
      </c>
      <c r="V284" s="494"/>
      <c r="W284" s="273">
        <f t="shared" ref="W284:X284" si="416">W342</f>
        <v>505</v>
      </c>
      <c r="X284" s="275">
        <f t="shared" si="416"/>
        <v>-81515.83622489241</v>
      </c>
      <c r="Y284" s="494"/>
      <c r="Z284" s="273">
        <f t="shared" ref="Z284:AA284" si="417">Z342</f>
        <v>505</v>
      </c>
      <c r="AA284" s="275">
        <f t="shared" si="417"/>
        <v>-80423.804372920407</v>
      </c>
      <c r="AB284" s="494"/>
      <c r="AC284" s="273">
        <f t="shared" ref="AC284:AD284" si="418">AC342</f>
        <v>505</v>
      </c>
      <c r="AD284" s="275">
        <f t="shared" si="418"/>
        <v>-78385.332564601733</v>
      </c>
      <c r="AE284" s="494"/>
      <c r="AF284" s="273">
        <f t="shared" ref="AF284:AG284" si="419">AF342</f>
        <v>505</v>
      </c>
      <c r="AG284" s="275">
        <f t="shared" si="419"/>
        <v>-75691.626134159655</v>
      </c>
      <c r="AH284" s="494"/>
      <c r="AI284" s="273">
        <f t="shared" ref="AI284:AJ284" si="420">AI342</f>
        <v>505</v>
      </c>
      <c r="AJ284" s="275">
        <f t="shared" si="420"/>
        <v>-72896.197275181039</v>
      </c>
      <c r="AK284" s="494"/>
      <c r="AL284" s="273">
        <f t="shared" ref="AL284:AM284" si="421">AL342</f>
        <v>505</v>
      </c>
      <c r="AM284" s="275">
        <f t="shared" si="421"/>
        <v>-71132.197275181039</v>
      </c>
      <c r="AN284" s="494"/>
      <c r="AO284" s="273">
        <f t="shared" ref="AO284:AP289" si="422">AO342</f>
        <v>505</v>
      </c>
      <c r="AP284" s="275">
        <f t="shared" si="422"/>
        <v>-69600.975807417824</v>
      </c>
      <c r="AQ284" s="494"/>
      <c r="AR284" s="273">
        <f t="shared" ref="AR284:AS289" si="423">AR342</f>
        <v>505</v>
      </c>
      <c r="AS284" s="275">
        <f t="shared" si="423"/>
        <v>-67922.633238507857</v>
      </c>
      <c r="AT284" s="494"/>
      <c r="AU284" s="28"/>
      <c r="AV284" s="28"/>
      <c r="AW284" s="28"/>
      <c r="AX284" s="28"/>
      <c r="AY284" s="28"/>
      <c r="AZ284" s="28"/>
      <c r="BA284" s="28"/>
      <c r="BB284" s="28"/>
      <c r="BC284" s="28"/>
      <c r="BD284" s="28"/>
      <c r="BE284" s="28"/>
      <c r="BF284" s="28"/>
      <c r="BG284" s="28"/>
      <c r="BH284" s="28"/>
      <c r="BI284" s="28"/>
      <c r="BJ284" s="33"/>
      <c r="BK284" s="33"/>
    </row>
    <row r="285" spans="1:64">
      <c r="A285" s="28"/>
      <c r="B285" s="141"/>
      <c r="C285" s="77"/>
      <c r="D285" s="492"/>
      <c r="E285" s="507"/>
      <c r="F285" s="508"/>
      <c r="G285" s="494"/>
      <c r="H285" s="507"/>
      <c r="I285" s="508"/>
      <c r="J285" s="494"/>
      <c r="K285" s="507"/>
      <c r="L285" s="508"/>
      <c r="M285" s="494"/>
      <c r="N285" s="507"/>
      <c r="O285" s="508"/>
      <c r="P285" s="494"/>
      <c r="Q285" s="507"/>
      <c r="R285" s="508"/>
      <c r="S285" s="494"/>
      <c r="T285" s="507"/>
      <c r="U285" s="508"/>
      <c r="V285" s="494"/>
      <c r="W285" s="507"/>
      <c r="X285" s="508"/>
      <c r="Y285" s="494"/>
      <c r="Z285" s="507"/>
      <c r="AA285" s="508"/>
      <c r="AB285" s="494"/>
      <c r="AC285" s="507"/>
      <c r="AD285" s="508"/>
      <c r="AE285" s="494"/>
      <c r="AF285" s="507"/>
      <c r="AG285" s="508"/>
      <c r="AH285" s="494"/>
      <c r="AI285" s="507"/>
      <c r="AJ285" s="508"/>
      <c r="AK285" s="494"/>
      <c r="AL285" s="507"/>
      <c r="AM285" s="508"/>
      <c r="AN285" s="494"/>
      <c r="AO285" s="507"/>
      <c r="AP285" s="508"/>
      <c r="AQ285" s="494"/>
      <c r="AR285" s="507"/>
      <c r="AS285" s="508"/>
      <c r="AT285" s="494"/>
      <c r="AU285" s="28"/>
      <c r="AV285" s="28"/>
      <c r="AW285" s="28"/>
      <c r="AX285" s="28"/>
      <c r="AY285" s="28"/>
      <c r="AZ285" s="28"/>
      <c r="BA285" s="28"/>
      <c r="BB285" s="28"/>
      <c r="BC285" s="28"/>
      <c r="BD285" s="28"/>
      <c r="BE285" s="28"/>
      <c r="BF285" s="28"/>
      <c r="BG285" s="28"/>
      <c r="BH285" s="28"/>
      <c r="BI285" s="28"/>
      <c r="BJ285" s="33"/>
      <c r="BK285" s="33"/>
    </row>
    <row r="286" spans="1:64">
      <c r="A286" s="28"/>
      <c r="B286" s="141"/>
      <c r="C286" s="77"/>
      <c r="D286" s="492"/>
      <c r="E286" s="273" t="str">
        <f t="shared" ref="E286" si="424">E344</f>
        <v>Sueldo líquido incluyendo aguinaldo</v>
      </c>
      <c r="F286" s="275"/>
      <c r="G286" s="494"/>
      <c r="H286" s="273" t="str">
        <f t="shared" ref="H286" si="425">H344</f>
        <v>Sueldo líquido incluyendo aguinaldo</v>
      </c>
      <c r="I286" s="275"/>
      <c r="J286" s="494"/>
      <c r="K286" s="273" t="str">
        <f t="shared" ref="K286" si="426">K344</f>
        <v>Sueldo líquido incluyendo aguinaldo</v>
      </c>
      <c r="L286" s="275"/>
      <c r="M286" s="494"/>
      <c r="N286" s="273" t="str">
        <f t="shared" ref="N286" si="427">N344</f>
        <v>Sueldo líquido incluyendo aguinaldo</v>
      </c>
      <c r="O286" s="275"/>
      <c r="P286" s="494"/>
      <c r="Q286" s="273" t="str">
        <f t="shared" ref="Q286" si="428">Q344</f>
        <v>Sueldo líquido incluyendo aguinaldo</v>
      </c>
      <c r="R286" s="275"/>
      <c r="S286" s="494"/>
      <c r="T286" s="273" t="str">
        <f t="shared" ref="T286" si="429">T344</f>
        <v>Sueldo líquido incluyendo aguinaldo</v>
      </c>
      <c r="U286" s="275"/>
      <c r="V286" s="494"/>
      <c r="W286" s="273" t="str">
        <f t="shared" ref="W286" si="430">W344</f>
        <v>Sueldo líquido incluyendo aguinaldo</v>
      </c>
      <c r="X286" s="275"/>
      <c r="Y286" s="494"/>
      <c r="Z286" s="273" t="str">
        <f t="shared" ref="Z286" si="431">Z344</f>
        <v>Sueldo líquido incluyendo aguinaldo</v>
      </c>
      <c r="AA286" s="275"/>
      <c r="AB286" s="494"/>
      <c r="AC286" s="273" t="str">
        <f t="shared" ref="AC286" si="432">AC344</f>
        <v>Sueldo líquido incluyendo aguinaldo</v>
      </c>
      <c r="AD286" s="275"/>
      <c r="AE286" s="494"/>
      <c r="AF286" s="273" t="str">
        <f t="shared" ref="AF286" si="433">AF344</f>
        <v>Sueldo líquido incluyendo aguinaldo</v>
      </c>
      <c r="AG286" s="275"/>
      <c r="AH286" s="494"/>
      <c r="AI286" s="273" t="str">
        <f t="shared" ref="AI286" si="434">AI344</f>
        <v>Sueldo líquido incluyendo aguinaldo</v>
      </c>
      <c r="AJ286" s="275"/>
      <c r="AK286" s="494"/>
      <c r="AL286" s="273" t="str">
        <f t="shared" ref="AL286" si="435">AL344</f>
        <v>Sueldo líquido incluyendo aguinaldo</v>
      </c>
      <c r="AM286" s="275"/>
      <c r="AN286" s="494"/>
      <c r="AO286" s="273" t="str">
        <f t="shared" si="422"/>
        <v>Sueldo líquido incluyendo aguinaldo</v>
      </c>
      <c r="AP286" s="275"/>
      <c r="AQ286" s="494"/>
      <c r="AR286" s="273" t="str">
        <f t="shared" si="423"/>
        <v>Sueldo líquido incluyendo aguinaldo</v>
      </c>
      <c r="AS286" s="275"/>
      <c r="AT286" s="494"/>
      <c r="AU286" s="28"/>
      <c r="AV286" s="28"/>
      <c r="AW286" s="28"/>
      <c r="AX286" s="28"/>
      <c r="AY286" s="28"/>
      <c r="AZ286" s="28"/>
      <c r="BA286" s="28"/>
      <c r="BB286" s="28"/>
      <c r="BC286" s="28"/>
      <c r="BD286" s="28"/>
      <c r="BE286" s="28"/>
      <c r="BF286" s="28"/>
      <c r="BG286" s="28"/>
      <c r="BH286" s="28"/>
      <c r="BI286" s="28"/>
      <c r="BJ286" s="33"/>
      <c r="BK286" s="33"/>
    </row>
    <row r="287" spans="1:64">
      <c r="A287" s="28"/>
      <c r="B287" s="141"/>
      <c r="C287" s="77"/>
      <c r="D287" s="492"/>
      <c r="E287" s="507"/>
      <c r="F287" s="510">
        <f t="shared" ref="F287" si="436">F345</f>
        <v>2503127.9124869918</v>
      </c>
      <c r="G287" s="494"/>
      <c r="H287" s="507"/>
      <c r="I287" s="510">
        <f t="shared" ref="I287" si="437">I345</f>
        <v>2447040.0609089187</v>
      </c>
      <c r="J287" s="494"/>
      <c r="K287" s="507"/>
      <c r="L287" s="510">
        <f t="shared" ref="L287" si="438">L345</f>
        <v>2398497.4236071068</v>
      </c>
      <c r="M287" s="494"/>
      <c r="N287" s="507"/>
      <c r="O287" s="510">
        <f t="shared" ref="O287" si="439">O345</f>
        <v>2354175.8852011026</v>
      </c>
      <c r="P287" s="494"/>
      <c r="Q287" s="507"/>
      <c r="R287" s="510">
        <f t="shared" ref="R287" si="440">R345</f>
        <v>2314075.4456909103</v>
      </c>
      <c r="S287" s="494"/>
      <c r="T287" s="507"/>
      <c r="U287" s="510">
        <f t="shared" ref="U287" si="441">U345</f>
        <v>2278109.6321050124</v>
      </c>
      <c r="V287" s="494"/>
      <c r="W287" s="507"/>
      <c r="X287" s="510">
        <f t="shared" ref="X287" si="442">X345</f>
        <v>2247823.7396332035</v>
      </c>
      <c r="Y287" s="494"/>
      <c r="Z287" s="507"/>
      <c r="AA287" s="510">
        <f t="shared" ref="AA287" si="443">AA345</f>
        <v>2219430.9114819299</v>
      </c>
      <c r="AB287" s="494"/>
      <c r="AC287" s="507"/>
      <c r="AD287" s="510">
        <f t="shared" ref="AD287" si="444">AD345</f>
        <v>2166430.6444656453</v>
      </c>
      <c r="AE287" s="494"/>
      <c r="AF287" s="507"/>
      <c r="AG287" s="510">
        <f t="shared" ref="AG287" si="445">AG345</f>
        <v>2096394.2772741506</v>
      </c>
      <c r="AH287" s="494"/>
      <c r="AI287" s="507"/>
      <c r="AJ287" s="510">
        <f t="shared" ref="AJ287" si="446">AJ345</f>
        <v>2048713.126940707</v>
      </c>
      <c r="AK287" s="494"/>
      <c r="AL287" s="507"/>
      <c r="AM287" s="510">
        <f t="shared" ref="AM287" si="447">AM345</f>
        <v>1965437.1271547072</v>
      </c>
      <c r="AN287" s="494"/>
      <c r="AO287" s="507"/>
      <c r="AP287" s="510">
        <f t="shared" si="422"/>
        <v>1925625.3689928635</v>
      </c>
      <c r="AQ287" s="494"/>
      <c r="AR287" s="507"/>
      <c r="AS287" s="510">
        <f t="shared" si="423"/>
        <v>1881988.4622012051</v>
      </c>
      <c r="AT287" s="494"/>
      <c r="AU287" s="28"/>
      <c r="AV287" s="28"/>
      <c r="AW287" s="28"/>
      <c r="AX287" s="28"/>
      <c r="AY287" s="28"/>
      <c r="AZ287" s="28"/>
      <c r="BA287" s="28"/>
      <c r="BB287" s="28"/>
      <c r="BC287" s="28"/>
      <c r="BD287" s="28"/>
      <c r="BE287" s="28"/>
      <c r="BF287" s="28"/>
      <c r="BG287" s="28"/>
      <c r="BH287" s="28"/>
      <c r="BI287" s="28"/>
      <c r="BJ287" s="33"/>
      <c r="BK287" s="33"/>
    </row>
    <row r="288" spans="1:64">
      <c r="A288" s="28"/>
      <c r="B288" s="141"/>
      <c r="C288" s="77"/>
      <c r="D288" s="492"/>
      <c r="E288" s="511" t="str">
        <f t="shared" ref="E288" si="448">E346</f>
        <v>Aguinaldo de bolsillo</v>
      </c>
      <c r="F288" s="275"/>
      <c r="G288" s="494"/>
      <c r="H288" s="511" t="str">
        <f t="shared" ref="H288" si="449">H346</f>
        <v>Aguinaldo de bolsillo</v>
      </c>
      <c r="I288" s="275"/>
      <c r="J288" s="494"/>
      <c r="K288" s="511" t="str">
        <f t="shared" ref="K288" si="450">K346</f>
        <v>Aguinaldo de bolsillo</v>
      </c>
      <c r="L288" s="275"/>
      <c r="M288" s="494"/>
      <c r="N288" s="511" t="str">
        <f t="shared" ref="N288" si="451">N346</f>
        <v>Aguinaldo de bolsillo</v>
      </c>
      <c r="O288" s="275"/>
      <c r="P288" s="494"/>
      <c r="Q288" s="511" t="str">
        <f t="shared" ref="Q288" si="452">Q346</f>
        <v>Aguinaldo de bolsillo</v>
      </c>
      <c r="R288" s="275"/>
      <c r="S288" s="494"/>
      <c r="T288" s="511" t="str">
        <f t="shared" ref="T288" si="453">T346</f>
        <v>Aguinaldo de bolsillo</v>
      </c>
      <c r="U288" s="275"/>
      <c r="V288" s="494"/>
      <c r="W288" s="511" t="str">
        <f t="shared" ref="W288" si="454">W346</f>
        <v>Aguinaldo de bolsillo</v>
      </c>
      <c r="X288" s="275"/>
      <c r="Y288" s="494"/>
      <c r="Z288" s="511" t="str">
        <f t="shared" ref="Z288" si="455">Z346</f>
        <v>Aguinaldo de bolsillo</v>
      </c>
      <c r="AA288" s="275"/>
      <c r="AB288" s="494"/>
      <c r="AC288" s="511" t="str">
        <f t="shared" ref="AC288" si="456">AC346</f>
        <v>Aguinaldo de bolsillo</v>
      </c>
      <c r="AD288" s="275"/>
      <c r="AE288" s="494"/>
      <c r="AF288" s="511" t="str">
        <f t="shared" ref="AF288" si="457">AF346</f>
        <v>Aguinaldo de bolsillo</v>
      </c>
      <c r="AG288" s="275"/>
      <c r="AH288" s="494"/>
      <c r="AI288" s="511" t="str">
        <f t="shared" ref="AI288" si="458">AI346</f>
        <v>Aguinaldo de bolsillo</v>
      </c>
      <c r="AJ288" s="275"/>
      <c r="AK288" s="494"/>
      <c r="AL288" s="511" t="str">
        <f t="shared" ref="AL288" si="459">AL346</f>
        <v>Aguinaldo de bolsillo</v>
      </c>
      <c r="AM288" s="275"/>
      <c r="AN288" s="494"/>
      <c r="AO288" s="511" t="str">
        <f t="shared" si="422"/>
        <v>Aguinaldo de bolsillo</v>
      </c>
      <c r="AP288" s="275"/>
      <c r="AQ288" s="494"/>
      <c r="AR288" s="511" t="str">
        <f t="shared" si="423"/>
        <v>Aguinaldo de bolsillo</v>
      </c>
      <c r="AS288" s="275"/>
      <c r="AT288" s="494"/>
      <c r="AU288" s="28"/>
      <c r="AV288" s="28"/>
      <c r="AW288" s="28"/>
      <c r="AX288" s="28"/>
      <c r="AY288" s="28"/>
      <c r="AZ288" s="28"/>
      <c r="BA288" s="28"/>
      <c r="BB288" s="28"/>
      <c r="BC288" s="28"/>
      <c r="BD288" s="28"/>
      <c r="BE288" s="28"/>
      <c r="BF288" s="28"/>
      <c r="BG288" s="28"/>
      <c r="BH288" s="28"/>
      <c r="BI288" s="28"/>
      <c r="BJ288" s="33"/>
      <c r="BK288" s="33"/>
    </row>
    <row r="289" spans="1:64" ht="16.5" thickBot="1">
      <c r="A289" s="28"/>
      <c r="B289" s="141"/>
      <c r="C289" s="77"/>
      <c r="D289" s="492"/>
      <c r="E289" s="512"/>
      <c r="F289" s="513">
        <f t="shared" ref="F289" si="460">F347</f>
        <v>791571.97156699747</v>
      </c>
      <c r="G289" s="494"/>
      <c r="H289" s="512"/>
      <c r="I289" s="513">
        <f t="shared" ref="I289" si="461">I347</f>
        <v>772876.02104097279</v>
      </c>
      <c r="J289" s="494"/>
      <c r="K289" s="512"/>
      <c r="L289" s="513">
        <f t="shared" ref="L289" si="462">L347</f>
        <v>756695.14194036904</v>
      </c>
      <c r="M289" s="494"/>
      <c r="N289" s="512"/>
      <c r="O289" s="513">
        <f t="shared" ref="O289" si="463">O347</f>
        <v>741921.29580503399</v>
      </c>
      <c r="P289" s="494"/>
      <c r="Q289" s="512"/>
      <c r="R289" s="513">
        <f t="shared" ref="R289" si="464">R347</f>
        <v>728554.48263497045</v>
      </c>
      <c r="S289" s="494"/>
      <c r="T289" s="512"/>
      <c r="U289" s="513">
        <f t="shared" ref="U289" si="465">U347</f>
        <v>716565.87810633751</v>
      </c>
      <c r="V289" s="494"/>
      <c r="W289" s="512"/>
      <c r="X289" s="513">
        <f t="shared" ref="X289" si="466">X347</f>
        <v>706470.58061573515</v>
      </c>
      <c r="Y289" s="494"/>
      <c r="Z289" s="512"/>
      <c r="AA289" s="513">
        <f t="shared" ref="AA289" si="467">AA347</f>
        <v>697006.30456530978</v>
      </c>
      <c r="AB289" s="494"/>
      <c r="AC289" s="512"/>
      <c r="AD289" s="513">
        <f t="shared" ref="AD289" si="468">AD347</f>
        <v>679339.54889321537</v>
      </c>
      <c r="AE289" s="494"/>
      <c r="AF289" s="512"/>
      <c r="AG289" s="513">
        <f t="shared" ref="AG289" si="469">AG347</f>
        <v>655994.09316271683</v>
      </c>
      <c r="AH289" s="494"/>
      <c r="AI289" s="512"/>
      <c r="AJ289" s="513">
        <f t="shared" ref="AJ289" si="470">AJ347</f>
        <v>637267.04305156902</v>
      </c>
      <c r="AK289" s="494"/>
      <c r="AL289" s="512"/>
      <c r="AM289" s="513">
        <f t="shared" ref="AM289" si="471">AM347</f>
        <v>616479.04305156902</v>
      </c>
      <c r="AN289" s="494"/>
      <c r="AO289" s="512"/>
      <c r="AP289" s="513">
        <f t="shared" si="422"/>
        <v>603208.45699762111</v>
      </c>
      <c r="AQ289" s="494"/>
      <c r="AR289" s="512"/>
      <c r="AS289" s="513">
        <f t="shared" si="423"/>
        <v>588662.82140040188</v>
      </c>
      <c r="AT289" s="494"/>
      <c r="AU289" s="28"/>
      <c r="AV289" s="28"/>
      <c r="AW289" s="28"/>
      <c r="AX289" s="28"/>
      <c r="AY289" s="28"/>
      <c r="AZ289" s="28"/>
      <c r="BA289" s="28"/>
      <c r="BB289" s="28"/>
      <c r="BC289" s="28"/>
      <c r="BD289" s="28"/>
      <c r="BE289" s="28"/>
      <c r="BF289" s="28"/>
      <c r="BG289" s="28"/>
      <c r="BH289" s="28"/>
      <c r="BI289" s="28"/>
      <c r="BJ289" s="33"/>
      <c r="BK289" s="33"/>
    </row>
    <row r="290" spans="1:64" ht="16.5" thickTop="1">
      <c r="A290" s="28"/>
      <c r="B290" s="141"/>
      <c r="C290" s="77"/>
      <c r="D290" s="492"/>
      <c r="E290" s="492"/>
      <c r="F290" s="492"/>
      <c r="G290" s="494"/>
      <c r="H290" s="492"/>
      <c r="I290" s="492"/>
      <c r="J290" s="494"/>
      <c r="K290" s="492"/>
      <c r="L290" s="492"/>
      <c r="M290" s="494"/>
      <c r="N290" s="492"/>
      <c r="O290" s="492"/>
      <c r="P290" s="494"/>
      <c r="Q290" s="492"/>
      <c r="R290" s="492"/>
      <c r="S290" s="494"/>
      <c r="T290" s="492"/>
      <c r="U290" s="492"/>
      <c r="V290" s="494"/>
      <c r="W290" s="492"/>
      <c r="X290" s="492"/>
      <c r="Y290" s="494"/>
      <c r="Z290" s="492"/>
      <c r="AA290" s="492"/>
      <c r="AB290" s="494"/>
      <c r="AC290" s="492"/>
      <c r="AD290" s="492"/>
      <c r="AE290" s="494"/>
      <c r="AF290" s="492"/>
      <c r="AG290" s="492"/>
      <c r="AH290" s="494"/>
      <c r="AI290" s="492"/>
      <c r="AJ290" s="492"/>
      <c r="AK290" s="494"/>
      <c r="AL290" s="492"/>
      <c r="AM290" s="492"/>
      <c r="AN290" s="494"/>
      <c r="AO290" s="492"/>
      <c r="AP290" s="492"/>
      <c r="AQ290" s="494"/>
      <c r="AR290" s="492"/>
      <c r="AS290" s="492"/>
      <c r="AT290" s="494"/>
      <c r="AU290" s="28"/>
      <c r="AV290" s="28"/>
      <c r="AW290" s="28"/>
      <c r="AX290" s="28"/>
      <c r="AY290" s="28"/>
      <c r="AZ290" s="28"/>
      <c r="BA290" s="28"/>
      <c r="BB290" s="28"/>
      <c r="BC290" s="28"/>
      <c r="BD290" s="28"/>
      <c r="BE290" s="28"/>
      <c r="BF290" s="28"/>
      <c r="BG290" s="28"/>
      <c r="BH290" s="28"/>
      <c r="BI290" s="28"/>
      <c r="BJ290" s="28"/>
      <c r="BK290" s="33"/>
      <c r="BL290" s="33"/>
    </row>
    <row r="291" spans="1:64" ht="18" hidden="1">
      <c r="A291" s="28"/>
      <c r="B291" s="28"/>
      <c r="C291" s="28"/>
      <c r="D291" s="28"/>
      <c r="E291" s="21">
        <v>45992</v>
      </c>
      <c r="F291" s="22">
        <f>(1+Aumentodic25respene25)*(1+Aumentoene25respdic24)-1</f>
        <v>0.29963870703408513</v>
      </c>
      <c r="G291" s="20"/>
      <c r="H291" s="21">
        <v>45962</v>
      </c>
      <c r="I291" s="22">
        <f>(1+Aumentonov25respene25)*(1+Aumentoene25respdic24)-1</f>
        <v>0.26794020198447344</v>
      </c>
      <c r="J291" s="20"/>
      <c r="K291" s="21">
        <v>45931</v>
      </c>
      <c r="L291" s="22" cm="1">
        <f t="array" ref="L291">(1+Aumentooct25respene25)*(1+Aumentoene25respdic24)-1</f>
        <v>0.24050593609017179</v>
      </c>
      <c r="M291" s="20"/>
      <c r="N291" s="21">
        <v>45901</v>
      </c>
      <c r="O291" s="22" cm="1">
        <f t="array" ref="O291">(1+Aumentosep25respene25)*(1+Aumentoene25respdic24)-1</f>
        <v>0.21545725853450493</v>
      </c>
      <c r="P291" s="20"/>
      <c r="Q291" s="21">
        <v>45870</v>
      </c>
      <c r="R291" s="22" cm="1">
        <f t="array" ref="R291">(1+Aumentoago25respene25)*(1+Aumentoene25respdic24)-1</f>
        <v>0.19279416931747306</v>
      </c>
      <c r="S291" s="20"/>
      <c r="T291" s="21">
        <v>45839</v>
      </c>
      <c r="U291" s="22">
        <f>(1+Aumentojul25respene25)*(1+Aumentoene25respdic24)-1</f>
        <v>0.17246852876408125</v>
      </c>
      <c r="V291" s="20"/>
      <c r="W291" s="21">
        <v>45809</v>
      </c>
      <c r="X291" s="22">
        <f>(1+Aumentojun25respene25)*(1+Aumentoene25respdic24)-1</f>
        <v>0.15535219987701421</v>
      </c>
      <c r="Y291" s="20"/>
      <c r="Z291" s="21">
        <v>45778</v>
      </c>
      <c r="AA291" s="22" cm="1">
        <f t="array" ref="AA291">(1+Aumentomay25respene25)*(1+Aumentoene25respdic24)-1</f>
        <v>0.13930564154538927</v>
      </c>
      <c r="AB291" s="20"/>
      <c r="AC291" s="21">
        <v>45748</v>
      </c>
      <c r="AD291" s="22">
        <f>(1+Aumentoabr25respene25)*(1+Aumentoene25respdic24)-1</f>
        <v>0.10935206599302227</v>
      </c>
      <c r="AE291" s="20"/>
      <c r="AF291" s="21">
        <v>45717</v>
      </c>
      <c r="AG291" s="22">
        <f>(1+Aumentomar25respene25)*(1+Aumentoene25respdic24)-1</f>
        <v>6.9770555441680093E-2</v>
      </c>
      <c r="AH291" s="20"/>
      <c r="AI291" s="787" t="s">
        <v>201</v>
      </c>
      <c r="AJ291" s="20"/>
      <c r="AK291" s="20"/>
      <c r="AL291" s="21" t="s">
        <v>200</v>
      </c>
      <c r="AM291" s="22">
        <f>(1+Aumentofeb25respene25)*(1+Aumentoene25respdic24)-1</f>
        <v>4.522515072791311E-2</v>
      </c>
      <c r="AN291" s="20"/>
      <c r="AO291" s="21">
        <v>45658</v>
      </c>
      <c r="AP291" s="22">
        <v>2.2725196406967674E-2</v>
      </c>
      <c r="AQ291" s="20"/>
      <c r="AR291" s="728">
        <v>45627</v>
      </c>
      <c r="AS291" s="729">
        <f>Aumentodic24</f>
        <v>1.1820279278367574</v>
      </c>
      <c r="AT291" s="20"/>
      <c r="AU291" s="28"/>
      <c r="AV291" s="28"/>
      <c r="AW291" s="28"/>
      <c r="AX291" s="28"/>
      <c r="AY291" s="28"/>
      <c r="AZ291" s="28"/>
      <c r="BA291" s="28"/>
      <c r="BB291" s="28"/>
      <c r="BC291" s="28"/>
      <c r="BD291" s="28"/>
      <c r="BE291" s="28"/>
      <c r="BF291" s="28"/>
      <c r="BG291" s="28"/>
      <c r="BH291" s="28"/>
      <c r="BI291" s="28"/>
      <c r="BJ291" s="28"/>
      <c r="BK291" s="33"/>
      <c r="BL291" s="33"/>
    </row>
    <row r="292" spans="1:64" ht="12.75" hidden="1">
      <c r="A292" s="28"/>
      <c r="B292" s="514"/>
      <c r="C292" s="514"/>
      <c r="D292" s="514"/>
      <c r="E292" s="514"/>
      <c r="F292" s="514"/>
      <c r="G292" s="515"/>
      <c r="H292" s="514"/>
      <c r="I292" s="514"/>
      <c r="J292" s="515"/>
      <c r="K292" s="514"/>
      <c r="L292" s="514"/>
      <c r="M292" s="515"/>
      <c r="N292" s="514"/>
      <c r="O292" s="514"/>
      <c r="P292" s="515"/>
      <c r="Q292" s="514"/>
      <c r="R292" s="514"/>
      <c r="S292" s="515"/>
      <c r="T292" s="514"/>
      <c r="U292" s="514"/>
      <c r="V292" s="515"/>
      <c r="W292" s="514"/>
      <c r="X292" s="514"/>
      <c r="Y292" s="515"/>
      <c r="Z292" s="514"/>
      <c r="AA292" s="514"/>
      <c r="AB292" s="515"/>
      <c r="AC292" s="514"/>
      <c r="AD292" s="514"/>
      <c r="AE292" s="515"/>
      <c r="AF292" s="514"/>
      <c r="AG292" s="514"/>
      <c r="AH292" s="515"/>
      <c r="AI292" s="514"/>
      <c r="AJ292" s="514"/>
      <c r="AK292" s="515"/>
      <c r="AL292" s="514"/>
      <c r="AM292" s="514"/>
      <c r="AN292" s="515"/>
      <c r="AO292" s="514"/>
      <c r="AP292" s="514"/>
      <c r="AQ292" s="515"/>
      <c r="AR292" s="514"/>
      <c r="AS292" s="514"/>
      <c r="AT292" s="515"/>
      <c r="AU292" s="28"/>
      <c r="AV292" s="28"/>
      <c r="AW292" s="28"/>
      <c r="AX292" s="28"/>
      <c r="AY292" s="28"/>
      <c r="AZ292" s="28"/>
      <c r="BA292" s="28"/>
      <c r="BB292" s="28"/>
      <c r="BC292" s="28"/>
      <c r="BD292" s="28"/>
      <c r="BE292" s="28"/>
      <c r="BF292" s="28"/>
      <c r="BG292" s="28"/>
      <c r="BH292" s="28"/>
      <c r="BI292" s="28"/>
      <c r="BJ292" s="28"/>
      <c r="BK292" s="33"/>
      <c r="BL292" s="33"/>
    </row>
    <row r="293" spans="1:64" ht="12.75" hidden="1">
      <c r="A293" s="28"/>
      <c r="B293" s="514"/>
      <c r="C293" s="514"/>
      <c r="D293" s="514"/>
      <c r="E293" s="514">
        <f>5141/15</f>
        <v>342.73333333333335</v>
      </c>
      <c r="F293" s="514"/>
      <c r="G293" s="515"/>
      <c r="H293" s="514">
        <f>5141/15</f>
        <v>342.73333333333335</v>
      </c>
      <c r="I293" s="514"/>
      <c r="J293" s="515"/>
      <c r="K293" s="514">
        <f>5141/15</f>
        <v>342.73333333333335</v>
      </c>
      <c r="L293" s="514"/>
      <c r="M293" s="515"/>
      <c r="N293" s="514">
        <f>5141/15</f>
        <v>342.73333333333335</v>
      </c>
      <c r="O293" s="514"/>
      <c r="P293" s="515"/>
      <c r="Q293" s="514">
        <f>5141/15</f>
        <v>342.73333333333335</v>
      </c>
      <c r="R293" s="514"/>
      <c r="S293" s="515"/>
      <c r="T293" s="514">
        <f>5141/15</f>
        <v>342.73333333333335</v>
      </c>
      <c r="U293" s="514"/>
      <c r="V293" s="515"/>
      <c r="W293" s="514">
        <f>5141/15</f>
        <v>342.73333333333335</v>
      </c>
      <c r="X293" s="514"/>
      <c r="Y293" s="515"/>
      <c r="Z293" s="514">
        <f>5141/15</f>
        <v>342.73333333333335</v>
      </c>
      <c r="AA293" s="514"/>
      <c r="AB293" s="515"/>
      <c r="AC293" s="514">
        <f>5141/15</f>
        <v>342.73333333333335</v>
      </c>
      <c r="AD293" s="514"/>
      <c r="AE293" s="515"/>
      <c r="AF293" s="514">
        <f>5141/15</f>
        <v>342.73333333333335</v>
      </c>
      <c r="AG293" s="514"/>
      <c r="AH293" s="515"/>
      <c r="AI293" s="514">
        <f>5141/15</f>
        <v>342.73333333333335</v>
      </c>
      <c r="AJ293" s="514"/>
      <c r="AK293" s="515"/>
      <c r="AL293" s="514">
        <f>5141/15</f>
        <v>342.73333333333335</v>
      </c>
      <c r="AM293" s="514"/>
      <c r="AN293" s="515"/>
      <c r="AO293" s="514">
        <f>5141/15</f>
        <v>342.73333333333335</v>
      </c>
      <c r="AP293" s="514"/>
      <c r="AQ293" s="515"/>
      <c r="AR293" s="514">
        <f>5141/15</f>
        <v>342.73333333333335</v>
      </c>
      <c r="AS293" s="514"/>
      <c r="AT293" s="515"/>
      <c r="AU293" s="28"/>
      <c r="AV293" s="28"/>
      <c r="AW293" s="28"/>
      <c r="AX293" s="28"/>
      <c r="AY293" s="28"/>
      <c r="AZ293" s="28"/>
      <c r="BA293" s="28"/>
      <c r="BB293" s="28"/>
      <c r="BC293" s="28"/>
      <c r="BD293" s="28"/>
      <c r="BE293" s="28"/>
      <c r="BF293" s="28"/>
      <c r="BG293" s="28"/>
      <c r="BH293" s="28"/>
      <c r="BI293" s="28"/>
      <c r="BJ293" s="28"/>
      <c r="BK293" s="33"/>
      <c r="BL293" s="33"/>
    </row>
    <row r="294" spans="1:64" ht="12.75" hidden="1">
      <c r="A294" s="28"/>
      <c r="B294" s="514"/>
      <c r="C294" s="514"/>
      <c r="D294" s="514"/>
      <c r="E294" s="514">
        <f>5141*2</f>
        <v>10282</v>
      </c>
      <c r="F294" s="514"/>
      <c r="G294" s="515"/>
      <c r="H294" s="514">
        <f>5141*2</f>
        <v>10282</v>
      </c>
      <c r="I294" s="514"/>
      <c r="J294" s="515"/>
      <c r="K294" s="514">
        <f>5141*2</f>
        <v>10282</v>
      </c>
      <c r="L294" s="514"/>
      <c r="M294" s="515"/>
      <c r="N294" s="514">
        <f>5141*2</f>
        <v>10282</v>
      </c>
      <c r="O294" s="514"/>
      <c r="P294" s="515"/>
      <c r="Q294" s="514">
        <f>5141*2</f>
        <v>10282</v>
      </c>
      <c r="R294" s="514"/>
      <c r="S294" s="515"/>
      <c r="T294" s="514">
        <f>5141*2</f>
        <v>10282</v>
      </c>
      <c r="U294" s="514"/>
      <c r="V294" s="515"/>
      <c r="W294" s="514">
        <f>5141*2</f>
        <v>10282</v>
      </c>
      <c r="X294" s="514"/>
      <c r="Y294" s="515"/>
      <c r="Z294" s="514">
        <f>5141*2</f>
        <v>10282</v>
      </c>
      <c r="AA294" s="514"/>
      <c r="AB294" s="515"/>
      <c r="AC294" s="514">
        <f>5141*2</f>
        <v>10282</v>
      </c>
      <c r="AD294" s="514"/>
      <c r="AE294" s="515"/>
      <c r="AF294" s="514">
        <f>5141*2</f>
        <v>10282</v>
      </c>
      <c r="AG294" s="514"/>
      <c r="AH294" s="515"/>
      <c r="AI294" s="514">
        <f>5141*2</f>
        <v>10282</v>
      </c>
      <c r="AJ294" s="514"/>
      <c r="AK294" s="515"/>
      <c r="AL294" s="514">
        <f>5141*2</f>
        <v>10282</v>
      </c>
      <c r="AM294" s="514"/>
      <c r="AN294" s="515"/>
      <c r="AO294" s="514">
        <f>5141*2</f>
        <v>10282</v>
      </c>
      <c r="AP294" s="514"/>
      <c r="AQ294" s="515"/>
      <c r="AR294" s="514">
        <f>5141*2</f>
        <v>10282</v>
      </c>
      <c r="AS294" s="514"/>
      <c r="AT294" s="515"/>
      <c r="AU294" s="28"/>
      <c r="AV294" s="28"/>
      <c r="AW294" s="28"/>
      <c r="AX294" s="28"/>
      <c r="AY294" s="28"/>
      <c r="AZ294" s="28"/>
      <c r="BA294" s="28"/>
      <c r="BB294" s="28"/>
      <c r="BC294" s="28"/>
      <c r="BD294" s="28"/>
      <c r="BE294" s="28"/>
      <c r="BF294" s="28"/>
      <c r="BG294" s="28"/>
      <c r="BH294" s="28"/>
      <c r="BI294" s="28"/>
      <c r="BJ294" s="28"/>
      <c r="BK294" s="33"/>
      <c r="BL294" s="33"/>
    </row>
    <row r="295" spans="1:64" ht="12.75" hidden="1">
      <c r="A295" s="28"/>
      <c r="B295" s="514"/>
      <c r="C295" s="514"/>
      <c r="D295" s="514"/>
      <c r="E295" s="514"/>
      <c r="F295" s="514"/>
      <c r="G295" s="515"/>
      <c r="H295" s="514"/>
      <c r="I295" s="514"/>
      <c r="J295" s="515"/>
      <c r="K295" s="514"/>
      <c r="L295" s="514"/>
      <c r="M295" s="515"/>
      <c r="N295" s="514"/>
      <c r="O295" s="514"/>
      <c r="P295" s="515"/>
      <c r="Q295" s="514"/>
      <c r="R295" s="514"/>
      <c r="S295" s="515"/>
      <c r="T295" s="514"/>
      <c r="U295" s="514"/>
      <c r="V295" s="515"/>
      <c r="W295" s="514"/>
      <c r="X295" s="514"/>
      <c r="Y295" s="515"/>
      <c r="Z295" s="514"/>
      <c r="AA295" s="514"/>
      <c r="AB295" s="515"/>
      <c r="AC295" s="514"/>
      <c r="AD295" s="514"/>
      <c r="AE295" s="515"/>
      <c r="AF295" s="514"/>
      <c r="AG295" s="514"/>
      <c r="AH295" s="515"/>
      <c r="AI295" s="514"/>
      <c r="AJ295" s="514"/>
      <c r="AK295" s="515"/>
      <c r="AL295" s="514"/>
      <c r="AM295" s="514"/>
      <c r="AN295" s="515"/>
      <c r="AO295" s="514"/>
      <c r="AP295" s="514"/>
      <c r="AQ295" s="515"/>
      <c r="AR295" s="514"/>
      <c r="AS295" s="514"/>
      <c r="AT295" s="515"/>
      <c r="AU295" s="28"/>
      <c r="AV295" s="28"/>
      <c r="AW295" s="28"/>
      <c r="AX295" s="28"/>
      <c r="AY295" s="28"/>
      <c r="AZ295" s="28"/>
      <c r="BA295" s="28"/>
      <c r="BB295" s="28"/>
      <c r="BC295" s="28"/>
      <c r="BD295" s="28"/>
      <c r="BE295" s="28"/>
      <c r="BF295" s="28"/>
      <c r="BG295" s="28"/>
      <c r="BH295" s="28"/>
      <c r="BI295" s="28"/>
      <c r="BJ295" s="28"/>
      <c r="BK295" s="33"/>
      <c r="BL295" s="33"/>
    </row>
    <row r="296" spans="1:64" ht="12.75" hidden="1">
      <c r="A296" s="28"/>
      <c r="B296" s="514"/>
      <c r="C296" s="514"/>
      <c r="D296" s="516">
        <f>5353.23/30</f>
        <v>178.44099999999997</v>
      </c>
      <c r="E296" s="514"/>
      <c r="F296" s="514"/>
      <c r="G296" s="515"/>
      <c r="H296" s="514"/>
      <c r="I296" s="514"/>
      <c r="J296" s="515"/>
      <c r="K296" s="514"/>
      <c r="L296" s="514"/>
      <c r="M296" s="515"/>
      <c r="N296" s="514"/>
      <c r="O296" s="514"/>
      <c r="P296" s="515"/>
      <c r="Q296" s="514"/>
      <c r="R296" s="514"/>
      <c r="S296" s="515"/>
      <c r="T296" s="514"/>
      <c r="U296" s="514"/>
      <c r="V296" s="515"/>
      <c r="W296" s="514"/>
      <c r="X296" s="514"/>
      <c r="Y296" s="515"/>
      <c r="Z296" s="514"/>
      <c r="AA296" s="514"/>
      <c r="AB296" s="515"/>
      <c r="AC296" s="514"/>
      <c r="AD296" s="514"/>
      <c r="AE296" s="515"/>
      <c r="AF296" s="514"/>
      <c r="AG296" s="514"/>
      <c r="AH296" s="515"/>
      <c r="AI296" s="514"/>
      <c r="AJ296" s="514"/>
      <c r="AK296" s="515"/>
      <c r="AL296" s="514"/>
      <c r="AM296" s="514"/>
      <c r="AN296" s="515"/>
      <c r="AO296" s="514"/>
      <c r="AP296" s="514"/>
      <c r="AQ296" s="515"/>
      <c r="AR296" s="514"/>
      <c r="AS296" s="514"/>
      <c r="AT296" s="515"/>
      <c r="AU296" s="28"/>
      <c r="AV296" s="28"/>
      <c r="AW296" s="28"/>
      <c r="AX296" s="28"/>
      <c r="AY296" s="28"/>
      <c r="AZ296" s="28"/>
      <c r="BA296" s="28"/>
      <c r="BB296" s="28"/>
      <c r="BC296" s="28"/>
      <c r="BD296" s="28"/>
      <c r="BE296" s="28"/>
      <c r="BF296" s="28"/>
      <c r="BG296" s="28"/>
      <c r="BH296" s="28"/>
      <c r="BI296" s="28"/>
      <c r="BJ296" s="28"/>
      <c r="BK296" s="33"/>
      <c r="BL296" s="33"/>
    </row>
    <row r="297" spans="1:64" ht="12.75" hidden="1">
      <c r="A297" s="28"/>
      <c r="B297" s="514"/>
      <c r="C297" s="514"/>
      <c r="D297" s="514"/>
      <c r="E297" s="514"/>
      <c r="F297" s="514"/>
      <c r="G297" s="515"/>
      <c r="H297" s="514"/>
      <c r="I297" s="514"/>
      <c r="J297" s="515"/>
      <c r="K297" s="514"/>
      <c r="L297" s="514"/>
      <c r="M297" s="515"/>
      <c r="N297" s="514"/>
      <c r="O297" s="514"/>
      <c r="P297" s="515"/>
      <c r="Q297" s="514"/>
      <c r="R297" s="514"/>
      <c r="S297" s="515"/>
      <c r="T297" s="514"/>
      <c r="U297" s="514"/>
      <c r="V297" s="515"/>
      <c r="W297" s="514"/>
      <c r="X297" s="514"/>
      <c r="Y297" s="515"/>
      <c r="Z297" s="514"/>
      <c r="AA297" s="514"/>
      <c r="AB297" s="515"/>
      <c r="AC297" s="514"/>
      <c r="AD297" s="514"/>
      <c r="AE297" s="515"/>
      <c r="AF297" s="514"/>
      <c r="AG297" s="514"/>
      <c r="AH297" s="515"/>
      <c r="AI297" s="514"/>
      <c r="AJ297" s="514"/>
      <c r="AK297" s="515"/>
      <c r="AL297" s="514"/>
      <c r="AM297" s="514"/>
      <c r="AN297" s="515"/>
      <c r="AO297" s="514"/>
      <c r="AP297" s="514"/>
      <c r="AQ297" s="515"/>
      <c r="AR297" s="514"/>
      <c r="AS297" s="514"/>
      <c r="AT297" s="515"/>
      <c r="AU297" s="28"/>
      <c r="AV297" s="28"/>
      <c r="AW297" s="28"/>
      <c r="AX297" s="28"/>
      <c r="AY297" s="28"/>
      <c r="AZ297" s="28"/>
      <c r="BA297" s="28"/>
      <c r="BB297" s="28"/>
      <c r="BC297" s="28"/>
      <c r="BD297" s="28"/>
      <c r="BE297" s="28"/>
      <c r="BF297" s="28"/>
      <c r="BG297" s="28"/>
      <c r="BH297" s="28"/>
      <c r="BI297" s="28"/>
      <c r="BJ297" s="28"/>
      <c r="BK297" s="33"/>
      <c r="BL297" s="33"/>
    </row>
    <row r="298" spans="1:64" ht="27" hidden="1" thickBot="1">
      <c r="A298" s="28"/>
      <c r="B298" s="410"/>
      <c r="C298" s="28"/>
      <c r="D298" s="410"/>
      <c r="E298" s="21">
        <v>45992</v>
      </c>
      <c r="F298" s="22">
        <f>(1+Aumentodic25respene25)*(1+Aumentoene25respdic24)-1</f>
        <v>0.29963870703408513</v>
      </c>
      <c r="G298" s="20"/>
      <c r="H298" s="21">
        <v>45962</v>
      </c>
      <c r="I298" s="22">
        <f>(1+Aumentonov25respene25)*(1+Aumentoene25respdic24)-1</f>
        <v>0.26794020198447344</v>
      </c>
      <c r="J298" s="20"/>
      <c r="K298" s="21">
        <v>45931</v>
      </c>
      <c r="L298" s="22" cm="1">
        <f t="array" ref="L298">(1+Aumentooct25respene25)*(1+Aumentoene25respdic24)-1</f>
        <v>0.24050593609017179</v>
      </c>
      <c r="M298" s="20"/>
      <c r="N298" s="21">
        <v>45901</v>
      </c>
      <c r="O298" s="22" cm="1">
        <f t="array" ref="O298">(1+Aumentosep25respene25)*(1+Aumentoene25respdic24)-1</f>
        <v>0.21545725853450493</v>
      </c>
      <c r="P298" s="20"/>
      <c r="Q298" s="21">
        <v>45839</v>
      </c>
      <c r="R298" s="22">
        <f>(1+Aumentojul25respene25)*(1+Aumentoene25respdic24)-1</f>
        <v>0.17246852876408125</v>
      </c>
      <c r="S298" s="20"/>
      <c r="T298" s="21">
        <v>45839</v>
      </c>
      <c r="U298" s="22">
        <f>(1+Aumentojul25respene25)*(1+Aumentoene25respdic24)-1</f>
        <v>0.17246852876408125</v>
      </c>
      <c r="V298" s="20"/>
      <c r="W298" s="21">
        <v>45809</v>
      </c>
      <c r="X298" s="22">
        <f>(1+Aumentojun25respene25)*(1+Aumentoene25respdic24)-1</f>
        <v>0.15535219987701421</v>
      </c>
      <c r="Y298" s="20"/>
      <c r="Z298" s="21">
        <v>45778</v>
      </c>
      <c r="AA298" s="22" cm="1">
        <f t="array" ref="AA298">(1+Aumentomay25respene25)*(1+Aumentoene25respdic24)-1</f>
        <v>0.13930564154538927</v>
      </c>
      <c r="AB298" s="20"/>
      <c r="AC298" s="21">
        <v>45748</v>
      </c>
      <c r="AD298" s="22">
        <f>(1+Aumentoabr25respene25)*(1+Aumentoene25respdic24)-1</f>
        <v>0.10935206599302227</v>
      </c>
      <c r="AE298" s="20"/>
      <c r="AF298" s="21">
        <v>45717</v>
      </c>
      <c r="AG298" s="22">
        <f>(1+Aumentomar25respene25)*(1+Aumentoene25respdic24)-1</f>
        <v>6.9770555441680093E-2</v>
      </c>
      <c r="AH298" s="20"/>
      <c r="AI298" s="787" t="s">
        <v>201</v>
      </c>
      <c r="AJ298" s="20"/>
      <c r="AK298" s="20"/>
      <c r="AL298" s="21" t="s">
        <v>200</v>
      </c>
      <c r="AM298" s="22">
        <f>(1+Aumentofeb25respene25)*(1+Aumentoene25respdic24)-1</f>
        <v>4.522515072791311E-2</v>
      </c>
      <c r="AN298" s="20"/>
      <c r="AO298" s="21">
        <v>45658</v>
      </c>
      <c r="AP298" s="22">
        <v>2.2725196406967674E-2</v>
      </c>
      <c r="AQ298" s="20"/>
      <c r="AR298" s="728">
        <v>45627</v>
      </c>
      <c r="AS298" s="729">
        <f>Aumentodic24</f>
        <v>1.1820279278367574</v>
      </c>
      <c r="AT298" s="20"/>
      <c r="AU298" s="460"/>
      <c r="AV298" s="460"/>
      <c r="AW298" s="461"/>
      <c r="AX298" s="462"/>
      <c r="AY298" s="461"/>
      <c r="AZ298" s="461"/>
      <c r="BA298" s="28"/>
      <c r="BB298" s="28"/>
      <c r="BC298" s="28"/>
      <c r="BD298" s="28"/>
      <c r="BE298" s="28"/>
      <c r="BF298" s="28"/>
      <c r="BG298" s="28"/>
      <c r="BH298" s="28"/>
      <c r="BI298" s="28"/>
      <c r="BJ298" s="28"/>
      <c r="BK298" s="28"/>
      <c r="BL298" s="28"/>
    </row>
    <row r="299" spans="1:64" ht="13.5" hidden="1" thickBot="1">
      <c r="A299" s="28"/>
      <c r="B299" s="284" t="s">
        <v>82</v>
      </c>
      <c r="C299" s="284" t="s">
        <v>83</v>
      </c>
      <c r="D299" s="284" t="s">
        <v>84</v>
      </c>
      <c r="E299" s="284"/>
      <c r="F299" s="284"/>
      <c r="G299" s="284"/>
      <c r="H299" s="284"/>
      <c r="I299" s="284"/>
      <c r="J299" s="284"/>
      <c r="K299" s="284"/>
      <c r="L299" s="284"/>
      <c r="M299" s="284"/>
      <c r="N299" s="284"/>
      <c r="O299" s="284"/>
      <c r="P299" s="284"/>
      <c r="Q299" s="284"/>
      <c r="R299" s="284"/>
      <c r="S299" s="284"/>
      <c r="T299" s="284"/>
      <c r="U299" s="284"/>
      <c r="V299" s="284"/>
      <c r="W299" s="284"/>
      <c r="X299" s="284"/>
      <c r="Y299" s="284"/>
      <c r="Z299" s="284"/>
      <c r="AA299" s="284"/>
      <c r="AB299" s="284"/>
      <c r="AC299" s="284"/>
      <c r="AD299" s="284"/>
      <c r="AE299" s="284"/>
      <c r="AF299" s="284"/>
      <c r="AG299" s="284"/>
      <c r="AH299" s="284"/>
      <c r="AI299" s="284"/>
      <c r="AJ299" s="284"/>
      <c r="AK299" s="284"/>
      <c r="AL299" s="284"/>
      <c r="AM299" s="284"/>
      <c r="AN299" s="284"/>
      <c r="AO299" s="284"/>
      <c r="AP299" s="284"/>
      <c r="AQ299" s="284"/>
      <c r="AR299" s="284"/>
      <c r="AS299" s="284"/>
      <c r="AT299" s="284"/>
      <c r="AU299" s="33"/>
      <c r="AV299" s="33"/>
      <c r="AW299" s="28"/>
      <c r="AX299" s="33"/>
      <c r="AY299" s="33"/>
      <c r="AZ299" s="28"/>
      <c r="BA299" s="28"/>
      <c r="BB299" s="28"/>
      <c r="BC299" s="28"/>
      <c r="BD299" s="28"/>
      <c r="BE299" s="28"/>
      <c r="BF299" s="28"/>
      <c r="BG299" s="28"/>
      <c r="BH299" s="28"/>
      <c r="BI299" s="28"/>
      <c r="BJ299" s="28"/>
      <c r="BK299" s="28"/>
      <c r="BL299" s="28"/>
    </row>
    <row r="300" spans="1:64" hidden="1" thickBot="1">
      <c r="A300" s="28"/>
      <c r="B300" s="517">
        <v>4</v>
      </c>
      <c r="C300" s="518">
        <f>canthormed</f>
        <v>36</v>
      </c>
      <c r="D300" s="291" t="s">
        <v>143</v>
      </c>
      <c r="E300" s="293">
        <f>indicedic25*punbashormed</f>
        <v>615258.64407461567</v>
      </c>
      <c r="F300" s="291"/>
      <c r="G300" s="519"/>
      <c r="H300" s="293">
        <f>indicenov25*punbashormed</f>
        <v>600252.33568255184</v>
      </c>
      <c r="I300" s="291"/>
      <c r="J300" s="519"/>
      <c r="K300" s="293">
        <f>indiceoct25*punbashormed</f>
        <v>587264.74986816</v>
      </c>
      <c r="L300" s="291"/>
      <c r="M300" s="519"/>
      <c r="N300" s="293">
        <f>indicesep25*punbashormed</f>
        <v>575406.51934197592</v>
      </c>
      <c r="O300" s="291"/>
      <c r="P300" s="519"/>
      <c r="Q300" s="293">
        <f>indiceago25*punbashormed</f>
        <v>564677.64410400006</v>
      </c>
      <c r="R300" s="291"/>
      <c r="S300" s="519"/>
      <c r="T300" s="293">
        <f>indicejul25*punbashormed</f>
        <v>555054.90384614398</v>
      </c>
      <c r="U300" s="291"/>
      <c r="V300" s="519"/>
      <c r="W300" s="293">
        <f>indicejun25*punbashormed</f>
        <v>546951.91254912002</v>
      </c>
      <c r="X300" s="291"/>
      <c r="Y300" s="519"/>
      <c r="Z300" s="293">
        <f>indicemay25*punbashormed</f>
        <v>539355.42345600005</v>
      </c>
      <c r="AA300" s="291"/>
      <c r="AB300" s="519"/>
      <c r="AC300" s="293">
        <f>indiceabr25*punbashormed</f>
        <v>525175.20360000001</v>
      </c>
      <c r="AD300" s="291"/>
      <c r="AE300" s="519"/>
      <c r="AF300" s="293">
        <f>indicemar25*punbashormed</f>
        <v>506436.95606400003</v>
      </c>
      <c r="AG300" s="291"/>
      <c r="AH300" s="519"/>
      <c r="AI300" s="293">
        <f>indicefeb25*punbashormed</f>
        <v>494816.94167320809</v>
      </c>
      <c r="AJ300" s="788"/>
      <c r="AK300" s="519"/>
      <c r="AL300" s="293">
        <f>indicefeb25*punbashormed</f>
        <v>494816.94167320809</v>
      </c>
      <c r="AM300" s="291"/>
      <c r="AN300" s="519"/>
      <c r="AO300" s="293">
        <f>indiceene25*punbashormed</f>
        <v>484165.30496400001</v>
      </c>
      <c r="AP300" s="291"/>
      <c r="AQ300" s="519"/>
      <c r="AR300" s="293">
        <f>indicedic24*punbashormed</f>
        <v>472438.17086400004</v>
      </c>
      <c r="AS300" s="291"/>
      <c r="AT300" s="519"/>
      <c r="AU300" s="342"/>
      <c r="AV300" s="28"/>
      <c r="AW300" s="28"/>
      <c r="AX300" s="342"/>
      <c r="AY300" s="28"/>
      <c r="AZ300" s="28"/>
      <c r="BA300" s="28"/>
      <c r="BB300" s="28"/>
      <c r="BC300" s="28"/>
      <c r="BD300" s="28"/>
      <c r="BE300" s="28"/>
      <c r="BF300" s="28"/>
      <c r="BG300" s="28"/>
      <c r="BH300" s="28"/>
      <c r="BI300" s="28"/>
      <c r="BJ300" s="28"/>
      <c r="BK300" s="28"/>
      <c r="BL300" s="28"/>
    </row>
    <row r="301" spans="1:64" ht="13.5" hidden="1" thickBot="1">
      <c r="A301" s="28"/>
      <c r="B301" s="520">
        <v>10</v>
      </c>
      <c r="C301" s="521">
        <f>porantighormed</f>
        <v>1.2</v>
      </c>
      <c r="D301" s="286" t="s">
        <v>94</v>
      </c>
      <c r="E301" s="288">
        <f>(E300+E310)*porantighormed</f>
        <v>768310.37288953876</v>
      </c>
      <c r="F301" s="286"/>
      <c r="G301" s="522"/>
      <c r="H301" s="288">
        <f>(H300+H310)*porantighormed</f>
        <v>750302.80281906214</v>
      </c>
      <c r="I301" s="286"/>
      <c r="J301" s="522"/>
      <c r="K301" s="288">
        <f>(K300+K310)*porantighormed</f>
        <v>734717.699841792</v>
      </c>
      <c r="L301" s="286"/>
      <c r="M301" s="522"/>
      <c r="N301" s="288">
        <f>(N300+N310)*porantighormed</f>
        <v>720487.82321037108</v>
      </c>
      <c r="O301" s="286"/>
      <c r="P301" s="522"/>
      <c r="Q301" s="288">
        <f>(Q300+Q310)*porantighormed</f>
        <v>707613.17292480008</v>
      </c>
      <c r="R301" s="286"/>
      <c r="S301" s="522"/>
      <c r="T301" s="288">
        <f>(T300+T310)*porantighormed</f>
        <v>696065.88461537275</v>
      </c>
      <c r="U301" s="286"/>
      <c r="V301" s="522"/>
      <c r="W301" s="288">
        <f>(W300+W310)*porantighormed</f>
        <v>686342.29505894403</v>
      </c>
      <c r="X301" s="286"/>
      <c r="Y301" s="522"/>
      <c r="Z301" s="288">
        <f>(Z300+Z310)*porantighormed</f>
        <v>677226.50814719999</v>
      </c>
      <c r="AA301" s="286"/>
      <c r="AB301" s="522"/>
      <c r="AC301" s="288">
        <f>(AC300+AC310)*porantighormed</f>
        <v>660210.24431999994</v>
      </c>
      <c r="AD301" s="286"/>
      <c r="AE301" s="522"/>
      <c r="AF301" s="288">
        <f>(AF300+AF310)*porantighormed</f>
        <v>637724.34727679996</v>
      </c>
      <c r="AG301" s="286"/>
      <c r="AH301" s="522"/>
      <c r="AI301" s="288">
        <f>(AI300+AI310)*porantighormed</f>
        <v>623780.33000784973</v>
      </c>
      <c r="AJ301" s="807"/>
      <c r="AK301" s="522"/>
      <c r="AL301" s="288">
        <f>AL300*porantighormed</f>
        <v>593780.33000784973</v>
      </c>
      <c r="AM301" s="286"/>
      <c r="AN301" s="522"/>
      <c r="AO301" s="288">
        <f>AO300*porantighormed</f>
        <v>580998.36595679994</v>
      </c>
      <c r="AP301" s="286"/>
      <c r="AQ301" s="522"/>
      <c r="AR301" s="288">
        <f>AR300*porantighormed</f>
        <v>566925.80503679998</v>
      </c>
      <c r="AS301" s="286"/>
      <c r="AT301" s="522"/>
      <c r="AU301" s="342"/>
      <c r="AV301" s="28"/>
      <c r="AW301" s="28"/>
      <c r="AX301" s="342"/>
      <c r="AY301" s="28"/>
      <c r="AZ301" s="28"/>
      <c r="BA301" s="28"/>
      <c r="BB301" s="28"/>
      <c r="BC301" s="28"/>
      <c r="BD301" s="28"/>
      <c r="BE301" s="28"/>
      <c r="BF301" s="28"/>
      <c r="BG301" s="28"/>
      <c r="BH301" s="28"/>
      <c r="BI301" s="28"/>
      <c r="BJ301" s="28"/>
      <c r="BK301" s="28"/>
      <c r="BL301" s="28"/>
    </row>
    <row r="302" spans="1:64" ht="16.5" hidden="1" thickBot="1">
      <c r="A302" s="28"/>
      <c r="B302" s="517">
        <v>6</v>
      </c>
      <c r="C302" s="323">
        <f>AF302/(3338.06*(1+Aumentomar25respene25))</f>
        <v>36.000071933997596</v>
      </c>
      <c r="D302" s="291" t="s">
        <v>93</v>
      </c>
      <c r="E302" s="293">
        <f>IF(porantighormed&lt;100%,IF(canthor06med&gt;36,36*3361.4,3361.4*canthor06med),IF(canthor06med&gt;36,36*3338.06667,3338.06667*canthor06med))*(1+Aumentodic25respene25)</f>
        <v>152707.78893920936</v>
      </c>
      <c r="F302" s="523"/>
      <c r="G302" s="519"/>
      <c r="H302" s="293">
        <f>IF(porantighormed&lt;100%,IF(canthor06med&gt;36,36*3361.4,3361.4*canthor06med),IF(canthor06med&gt;36,36*3338.06667,3338.06667*canthor06med))*(1+Aumentonov25respene25)</f>
        <v>148983.20872117989</v>
      </c>
      <c r="I302" s="523"/>
      <c r="J302" s="519"/>
      <c r="K302" s="293" cm="1">
        <f t="array" ref="K302">IF(porantighormed&lt;100%,IF(canthor06med&gt;36,36*3361.4,3361.4*canthor06med),IF(canthor06med&gt;36,36*3338.06667,3338.06667*canthor06med))*(1+Aumentooct25respene25)</f>
        <v>145759.67739419293</v>
      </c>
      <c r="L302" s="523"/>
      <c r="M302" s="519"/>
      <c r="N302" s="293">
        <f>IF(porantighormed&lt;100%,IF(canthor06med&gt;36,36*3361.4,3361.4*canthor06med),IF(canthor06med&gt;36,36*3338.06667,3338.06667*canthor06med))*(1+Aumentosep25respene25)</f>
        <v>142816.45313911792</v>
      </c>
      <c r="O302" s="523"/>
      <c r="P302" s="519"/>
      <c r="Q302" s="293">
        <f>IF(porantighormed&lt;100%,IF(canthor06med&gt;36,36*3361.4,3361.4*canthor06med),IF(canthor06med&gt;36,36*3338.06667,3338.06667*canthor06med))*(1+Aumentoago25respene25)</f>
        <v>140153.53595595478</v>
      </c>
      <c r="R302" s="523"/>
      <c r="S302" s="519"/>
      <c r="T302" s="293">
        <f>IF(porantighormed&lt;100%,IF(canthor06med&gt;36,36*3361.4,3361.4*canthor06med),IF(canthor06med&gt;36,36*3338.06667,3338.06667*canthor06med))*(1+Aumentojul25respene25)</f>
        <v>137765.2694239699</v>
      </c>
      <c r="U302" s="523"/>
      <c r="V302" s="519"/>
      <c r="W302" s="293">
        <f>IF(porantighormed&lt;100%,IF(canthor06med&gt;36,36*3361.4,3361.4*canthor06med),IF(canthor06med&gt;36,36*3338.06667,3338.06667*canthor06med))*(1+Aumentojun25respene25)</f>
        <v>135754.09760756159</v>
      </c>
      <c r="X302" s="523"/>
      <c r="Y302" s="519"/>
      <c r="Z302" s="293">
        <f>IF(porantighormed&lt;100%,IF(canthor06med&gt;36,36*3361.4,3361.4*canthor06med),IF(canthor06med&gt;36,36*3338.06667,3338.06667*canthor06med))*(1+Aumentomay25respene25)</f>
        <v>133868.62402967882</v>
      </c>
      <c r="AA302" s="523"/>
      <c r="AB302" s="519"/>
      <c r="AC302" s="293">
        <f>IF(porantighormed&lt;100%,IF(canthor06med&gt;36,36*3361.4,3361.4*canthor06med),IF(canthor06med&gt;36,36*3338.06667,3338.06667*canthor06med))*(1+Aumentoabr25respene25)</f>
        <v>130349.07335096426</v>
      </c>
      <c r="AD302" s="523"/>
      <c r="AE302" s="519"/>
      <c r="AF302" s="293">
        <f>IF(porantighormed&lt;100%,IF(canthor06med&gt;36,36*3361.4,3361.4*canthor06med),IF(canthor06med&gt;36,36*3338.06667,3338.06667*canthor06med))*(1+Aumentomar25respene25)</f>
        <v>125698.23852552001</v>
      </c>
      <c r="AG302" s="523"/>
      <c r="AH302" s="519"/>
      <c r="AI302" s="293">
        <f>IF(porantighormed&lt;100%,IF(canthor06med&gt;36,36*3361.4,3361.4*canthor06med),IF(canthor06med&gt;36,36*3338.06667,3338.06667*canthor06med))*(1+Aumentofeb25respene25)</f>
        <v>122814.14892264002</v>
      </c>
      <c r="AJ302" s="788"/>
      <c r="AK302" s="519"/>
      <c r="AL302" s="293">
        <f>IF(porantighormed&lt;100%,IF(canthor06med&gt;36,36*3361.4,3361.4*canthor06med),IF(canthor06med&gt;36,36*3338.06667,3338.06667*canthor06med))*(1+Aumentofeb25respene25)</f>
        <v>122814.14892264002</v>
      </c>
      <c r="AM302" s="523"/>
      <c r="AN302" s="519"/>
      <c r="AO302" s="293">
        <f>IF(porantighormed&lt;100%,IF(canthor06med&gt;36,36*3361.4,3361.4*canthor06med),IF(canthor06med&gt;36,36*3338.06667,3338.06667*canthor06med))</f>
        <v>120170.40012000001</v>
      </c>
      <c r="AP302" s="523"/>
      <c r="AQ302" s="519"/>
      <c r="AR302" s="293">
        <f>IF(porantighormed&lt;100%,IF(canthor06med&gt;36,36*2871.26666,2871.26666*canthor06med),IF(canthor06med&gt;36,36*2851.3333,2851.3333*canthor06med))*(1+Aumentodic24)/(1+Aumentosep24)</f>
        <v>117259.03616858955</v>
      </c>
      <c r="AS302" s="523">
        <f>99531/36</f>
        <v>2764.75</v>
      </c>
      <c r="AT302" s="519"/>
      <c r="AU302" s="342"/>
      <c r="AV302" s="28"/>
      <c r="AW302" s="28"/>
      <c r="AX302" s="342"/>
      <c r="AY302" s="28"/>
      <c r="AZ302" s="28"/>
      <c r="BA302" s="28"/>
      <c r="BB302" s="28"/>
      <c r="BC302" s="28"/>
      <c r="BD302" s="28"/>
      <c r="BE302" s="28"/>
      <c r="BF302" s="28"/>
      <c r="BG302" s="28"/>
      <c r="BH302" s="28"/>
      <c r="BI302" s="28"/>
      <c r="BJ302" s="28"/>
      <c r="BK302" s="28"/>
      <c r="BL302" s="28"/>
    </row>
    <row r="303" spans="1:64" ht="13.5" hidden="1" thickBot="1">
      <c r="A303" s="28"/>
      <c r="B303" s="520">
        <v>14</v>
      </c>
      <c r="C303" s="317">
        <v>7.0000000000000007E-2</v>
      </c>
      <c r="D303" s="286" t="s">
        <v>144</v>
      </c>
      <c r="E303" s="288">
        <f>E302*0.07</f>
        <v>10689.545225744656</v>
      </c>
      <c r="F303" s="524"/>
      <c r="G303" s="522"/>
      <c r="H303" s="288">
        <f>H302*0.07</f>
        <v>10428.824610482594</v>
      </c>
      <c r="I303" s="524"/>
      <c r="J303" s="522"/>
      <c r="K303" s="288">
        <f>K302*0.07</f>
        <v>10203.177417593506</v>
      </c>
      <c r="L303" s="524"/>
      <c r="M303" s="522"/>
      <c r="N303" s="288">
        <f>N302*0.07</f>
        <v>9997.1517197382545</v>
      </c>
      <c r="O303" s="524"/>
      <c r="P303" s="522"/>
      <c r="Q303" s="288">
        <f>Q302*0.07</f>
        <v>9810.7475169168356</v>
      </c>
      <c r="R303" s="524"/>
      <c r="S303" s="522"/>
      <c r="T303" s="288">
        <f>T302*0.07</f>
        <v>9643.5688596778946</v>
      </c>
      <c r="U303" s="524"/>
      <c r="V303" s="522"/>
      <c r="W303" s="288">
        <f>W302*0.07</f>
        <v>9502.786832529313</v>
      </c>
      <c r="X303" s="524"/>
      <c r="Y303" s="522"/>
      <c r="Z303" s="288">
        <f>Z302*0.07</f>
        <v>9370.8036820775178</v>
      </c>
      <c r="AA303" s="524"/>
      <c r="AB303" s="522"/>
      <c r="AC303" s="288">
        <f>AC302*0.07</f>
        <v>9124.4351345674986</v>
      </c>
      <c r="AD303" s="524"/>
      <c r="AE303" s="522"/>
      <c r="AF303" s="288">
        <f>AF302*0.07</f>
        <v>8798.8766967864012</v>
      </c>
      <c r="AG303" s="524"/>
      <c r="AH303" s="522"/>
      <c r="AI303" s="288">
        <f>AI302*0.07</f>
        <v>8596.9904245848011</v>
      </c>
      <c r="AJ303" s="807"/>
      <c r="AK303" s="522"/>
      <c r="AL303" s="288">
        <f>AL302*0.07</f>
        <v>8596.9904245848011</v>
      </c>
      <c r="AM303" s="524"/>
      <c r="AN303" s="522"/>
      <c r="AO303" s="288">
        <f>AO302*0.07</f>
        <v>8411.928008400002</v>
      </c>
      <c r="AP303" s="524"/>
      <c r="AQ303" s="522"/>
      <c r="AR303" s="288">
        <f>AR302*0.07</f>
        <v>8208.1325318012696</v>
      </c>
      <c r="AS303" s="524"/>
      <c r="AT303" s="522"/>
      <c r="AU303" s="342"/>
      <c r="AV303" s="28"/>
      <c r="AW303" s="28"/>
      <c r="AX303" s="342"/>
      <c r="AY303" s="28"/>
      <c r="AZ303" s="28"/>
      <c r="BA303" s="28"/>
      <c r="BB303" s="28"/>
      <c r="BC303" s="28"/>
      <c r="BD303" s="28"/>
      <c r="BE303" s="28"/>
      <c r="BF303" s="28"/>
      <c r="BG303" s="28"/>
      <c r="BH303" s="28"/>
      <c r="BI303" s="28"/>
      <c r="BJ303" s="28"/>
      <c r="BK303" s="28"/>
      <c r="BL303" s="28"/>
    </row>
    <row r="304" spans="1:64" s="794" customFormat="1" ht="15" hidden="1" thickBot="1">
      <c r="A304" s="783"/>
      <c r="B304" s="789">
        <v>18</v>
      </c>
      <c r="C304" s="528">
        <v>18</v>
      </c>
      <c r="D304" s="790" t="s">
        <v>145</v>
      </c>
      <c r="E304" s="790">
        <f>IF(canthormed&gt;18,48183,2676.8333*canthormed)*IF(adichsmedia&gt;1,1,adichsmedia)*(1+Aumentodic25respene25)</f>
        <v>61229.049642095211</v>
      </c>
      <c r="F304" s="791"/>
      <c r="G304" s="792"/>
      <c r="H304" s="790">
        <f>IF(canthormed&gt;18,48183,2676.8333*canthormed)*IF(adichsmedia&gt;1,1,adichsmedia)*(1+Aumentonov25respene25)</f>
        <v>59735.658187409972</v>
      </c>
      <c r="I304" s="791"/>
      <c r="J304" s="792"/>
      <c r="K304" s="790" cm="1">
        <f t="array" ref="K304">IF(canthormed&gt;18,48183,2676.8333*canthormed)*IF(adichsmedia&gt;1,1,adichsmedia)*(1+Aumentooct25respene25)</f>
        <v>58443.165112799979</v>
      </c>
      <c r="L304" s="791"/>
      <c r="M304" s="792"/>
      <c r="N304" s="790">
        <f>IF(canthormed&gt;18,48183,2676.8333*canthormed)*IF(adichsmedia&gt;1,1,adichsmedia)*(1+Aumentosep25respene25)</f>
        <v>57263.06274032998</v>
      </c>
      <c r="O304" s="791"/>
      <c r="P304" s="792"/>
      <c r="Q304" s="790">
        <f>IF(canthormed&gt;18,48183,2676.8333*canthormed)*IF(adichsmedia&gt;1,1,adichsmedia)*(1+Aumentoago25respene25)</f>
        <v>56195.35106999999</v>
      </c>
      <c r="R304" s="791"/>
      <c r="S304" s="792"/>
      <c r="T304" s="790">
        <f>IF(canthormed&gt;18,48183,2676.8333*canthormed)*IF(adichsmedia&gt;1,1,adichsmedia)*(1+Aumentojul25respene25)</f>
        <v>55237.762127999995</v>
      </c>
      <c r="U304" s="791"/>
      <c r="V304" s="792"/>
      <c r="W304" s="790">
        <f>IF(canthormed&gt;18,48183,2676.8333*canthormed)*IF(adichsmedia&gt;1,1,adichsmedia)*(1+Aumentojun25respene25)</f>
        <v>54431.371439999988</v>
      </c>
      <c r="X304" s="791"/>
      <c r="Y304" s="792"/>
      <c r="Z304" s="790">
        <f>IF(canthormed&gt;18,48183,2676.8333*canthormed)*IF(adichsmedia&gt;1,1,adichsmedia)*(1+Aumentomay25respene25)</f>
        <v>53675.380170000004</v>
      </c>
      <c r="AA304" s="791"/>
      <c r="AB304" s="792"/>
      <c r="AC304" s="790">
        <f>IF(canthormed&gt;18,48183,2676.8333*canthormed)*IF(adichsmedia&gt;1,1,adichsmedia)*(1+Aumentoabr25respene25)</f>
        <v>52264.196466000001</v>
      </c>
      <c r="AD304" s="791"/>
      <c r="AE304" s="792"/>
      <c r="AF304" s="790">
        <f>IF(canthormed&gt;18,48183,2676.8333*canthormed)*IF(adichsmedia&gt;1,1,adichsmedia)*(1+Aumentomar25respene25)</f>
        <v>50399.418000000005</v>
      </c>
      <c r="AG304" s="791"/>
      <c r="AH304" s="792"/>
      <c r="AI304" s="790">
        <f>IF(canthormed&gt;18,48183,2676.8333*canthormed)*IF(adichsmedia&gt;1,1,adichsmedia)*(1+Aumentofeb25respene25)</f>
        <v>49243.025999999998</v>
      </c>
      <c r="AJ304" s="788"/>
      <c r="AK304" s="792"/>
      <c r="AL304" s="790">
        <f>IF(canthormed&gt;18,48183,2676.8333*canthormed)*IF(adichsmedia&gt;1,1,adichsmedia)*(1+Aumentofeb25respene25)</f>
        <v>49243.025999999998</v>
      </c>
      <c r="AM304" s="791"/>
      <c r="AN304" s="792"/>
      <c r="AO304" s="790">
        <f>IF(canthormed&gt;18,48183,2676.8333*canthormed)*IF(adichsmedia&gt;1,1,adichsmedia)</f>
        <v>48183</v>
      </c>
      <c r="AP304" s="791"/>
      <c r="AQ304" s="792"/>
      <c r="AR304" s="790">
        <f>IF(canthormed&gt;18,41158,2286.5555*canthormed)*IF(adichsmedia&gt;1,1,adichsmedia)*(1+Aumentodic24)/(1+Aumentosep24)</f>
        <v>47016.4783244348</v>
      </c>
      <c r="AS304" s="791"/>
      <c r="AT304" s="792"/>
      <c r="AU304" s="793"/>
      <c r="AV304" s="783"/>
      <c r="AW304" s="783"/>
      <c r="AX304" s="793"/>
      <c r="AY304" s="783"/>
      <c r="AZ304" s="783"/>
      <c r="BA304" s="783"/>
      <c r="BB304" s="783"/>
      <c r="BC304" s="783"/>
      <c r="BD304" s="783"/>
      <c r="BE304" s="783"/>
      <c r="BF304" s="783"/>
      <c r="BG304" s="783"/>
      <c r="BH304" s="783"/>
      <c r="BI304" s="783"/>
      <c r="BJ304" s="783"/>
      <c r="BK304" s="783"/>
      <c r="BL304" s="783"/>
    </row>
    <row r="305" spans="1:64" ht="13.5" hidden="1" thickBot="1">
      <c r="A305" s="28"/>
      <c r="B305" s="517">
        <v>188</v>
      </c>
      <c r="C305" s="306">
        <v>7.0000000000000007E-2</v>
      </c>
      <c r="D305" s="291" t="s">
        <v>96</v>
      </c>
      <c r="E305" s="293">
        <f>(E300+E301+E304+E306+E308+E309+E310)*0.07</f>
        <v>122092.71695899009</v>
      </c>
      <c r="F305" s="526"/>
      <c r="G305" s="519"/>
      <c r="H305" s="293">
        <f>(H300+H301+H304+H306+H308+H309+H310)*0.07</f>
        <v>119217.28483803909</v>
      </c>
      <c r="I305" s="526"/>
      <c r="J305" s="519"/>
      <c r="K305" s="293">
        <f>(K300+K301+K304+K306+K308+K309+K310)*0.07</f>
        <v>116728.67002028289</v>
      </c>
      <c r="L305" s="526"/>
      <c r="M305" s="519"/>
      <c r="N305" s="293">
        <f>(N300+N301+N304+N306+N308+N309+N310)*0.07</f>
        <v>114456.45649102716</v>
      </c>
      <c r="O305" s="526"/>
      <c r="P305" s="519"/>
      <c r="Q305" s="293">
        <f>(Q300+Q301+Q304+Q306+Q308+Q309+Q310)*0.07</f>
        <v>112400.644250272</v>
      </c>
      <c r="R305" s="526"/>
      <c r="S305" s="519"/>
      <c r="T305" s="293">
        <f>(T300+T301+T304+T306+T308+T309+T310)*0.07</f>
        <v>110556.79411047218</v>
      </c>
      <c r="U305" s="526"/>
      <c r="V305" s="519"/>
      <c r="W305" s="293">
        <f>(W300+W301+W304+W306+W308+W309+W310)*0.07</f>
        <v>109004.14018185217</v>
      </c>
      <c r="X305" s="526"/>
      <c r="Y305" s="519"/>
      <c r="Z305" s="293">
        <f>(Z300+Z301+Z304+Z306+Z308+Z309+Z310)*0.07</f>
        <v>107548.53808540801</v>
      </c>
      <c r="AA305" s="526"/>
      <c r="AB305" s="519"/>
      <c r="AC305" s="293">
        <f>(AC300+AC301+AC304+AC306+AC308+AC309+AC310)*0.07</f>
        <v>104831.39621584001</v>
      </c>
      <c r="AD305" s="526"/>
      <c r="AE305" s="519"/>
      <c r="AF305" s="293">
        <f>(AF300+AF301+AF304+AF306+AF308+AF309+AF310)*0.07</f>
        <v>101240.87053875203</v>
      </c>
      <c r="AG305" s="526"/>
      <c r="AH305" s="519"/>
      <c r="AI305" s="293">
        <f>(AI300+AI301+AI304+AI306+AI308+AI309+AI310)*0.07</f>
        <v>99014.303641098973</v>
      </c>
      <c r="AJ305" s="788"/>
      <c r="AK305" s="519"/>
      <c r="AL305" s="293">
        <f>(AL300+AL301+AL304+AL306+AL308+AL309)*0.07</f>
        <v>94814.303641098973</v>
      </c>
      <c r="AM305" s="526"/>
      <c r="AN305" s="519"/>
      <c r="AO305" s="293">
        <f>(AO300+AO301+AO304+AO306+AO308+AO309)*0.07</f>
        <v>92773.291233951997</v>
      </c>
      <c r="AP305" s="526"/>
      <c r="AQ305" s="519"/>
      <c r="AR305" s="293">
        <f>(AR300+AR301+AR304+AR306+AR308+AR309)*0.07</f>
        <v>90537.128666444871</v>
      </c>
      <c r="AS305" s="526"/>
      <c r="AT305" s="519"/>
      <c r="AU305" s="342"/>
      <c r="AV305" s="99"/>
      <c r="AW305" s="28"/>
      <c r="AX305" s="342"/>
      <c r="AY305" s="28"/>
      <c r="AZ305" s="28"/>
      <c r="BA305" s="28"/>
      <c r="BB305" s="28"/>
      <c r="BC305" s="28"/>
      <c r="BD305" s="28"/>
      <c r="BE305" s="28"/>
      <c r="BF305" s="28"/>
      <c r="BG305" s="28"/>
      <c r="BH305" s="28"/>
      <c r="BI305" s="28"/>
      <c r="BJ305" s="28"/>
      <c r="BK305" s="28"/>
      <c r="BL305" s="28"/>
    </row>
    <row r="306" spans="1:64" ht="16.5" hidden="1" thickBot="1">
      <c r="A306" s="28"/>
      <c r="B306" s="520">
        <v>78</v>
      </c>
      <c r="C306" s="527">
        <f>C246</f>
        <v>0.2</v>
      </c>
      <c r="D306" s="286" t="s">
        <v>99</v>
      </c>
      <c r="E306" s="288">
        <f>(E300+E310)*porzonahsmed</f>
        <v>128051.72881492315</v>
      </c>
      <c r="F306" s="881"/>
      <c r="G306" s="522"/>
      <c r="H306" s="288">
        <f>(H300+H310)*porzonahsmed</f>
        <v>125050.46713651037</v>
      </c>
      <c r="I306" s="878"/>
      <c r="J306" s="522"/>
      <c r="K306" s="288">
        <f>(K300+K310)*porzonahsmed</f>
        <v>122452.949973632</v>
      </c>
      <c r="L306" s="876"/>
      <c r="M306" s="522"/>
      <c r="N306" s="288">
        <f>(N300+N310)*porzonahsmed</f>
        <v>120081.30386839519</v>
      </c>
      <c r="O306" s="865"/>
      <c r="P306" s="522"/>
      <c r="Q306" s="288">
        <f>(Q300+Q310)*porzonahsmed</f>
        <v>117935.52882080001</v>
      </c>
      <c r="R306" s="863"/>
      <c r="S306" s="522"/>
      <c r="T306" s="288">
        <f>(T300+T310)*porzonahsmed</f>
        <v>116010.9807692288</v>
      </c>
      <c r="U306" s="847"/>
      <c r="V306" s="522"/>
      <c r="W306" s="288">
        <f>(W300+W310)*porzonahsmed</f>
        <v>114390.382509824</v>
      </c>
      <c r="X306" s="845"/>
      <c r="Y306" s="522"/>
      <c r="Z306" s="288">
        <f>(Z300+Z310)*porzonahsmed</f>
        <v>112871.08469120001</v>
      </c>
      <c r="AA306" s="814"/>
      <c r="AB306" s="522"/>
      <c r="AC306" s="288">
        <f>(AC300+AC310)*porzonahsmed</f>
        <v>110035.04072</v>
      </c>
      <c r="AD306" s="812"/>
      <c r="AE306" s="522"/>
      <c r="AF306" s="288">
        <f>(AF300+AF310)*porzonahsmed</f>
        <v>106287.39121280001</v>
      </c>
      <c r="AG306" s="748"/>
      <c r="AH306" s="522"/>
      <c r="AI306" s="288">
        <f>(AI300+AI310)*porzonahsmed</f>
        <v>103963.38833464163</v>
      </c>
      <c r="AJ306" s="807"/>
      <c r="AK306" s="522"/>
      <c r="AL306" s="288">
        <f>AL300*porzonahsmed</f>
        <v>98963.388334641626</v>
      </c>
      <c r="AM306" s="748"/>
      <c r="AN306" s="522"/>
      <c r="AO306" s="288">
        <f>AO300*porzonahsmed</f>
        <v>96833.060992800005</v>
      </c>
      <c r="AQ306" s="522"/>
      <c r="AR306" s="288">
        <f>AR300*porzonahsmed</f>
        <v>94487.634172800012</v>
      </c>
      <c r="AS306" s="715"/>
      <c r="AT306" s="522"/>
      <c r="AU306" s="342"/>
      <c r="AV306" s="28"/>
      <c r="AW306" s="28"/>
      <c r="AX306" s="342"/>
      <c r="AY306" s="28"/>
      <c r="AZ306" s="28"/>
      <c r="BA306" s="28"/>
      <c r="BB306" s="28"/>
      <c r="BC306" s="28"/>
      <c r="BD306" s="28"/>
      <c r="BE306" s="28"/>
      <c r="BF306" s="28"/>
      <c r="BG306" s="28"/>
      <c r="BH306" s="28"/>
      <c r="BI306" s="28"/>
      <c r="BJ306" s="28"/>
      <c r="BK306" s="28"/>
      <c r="BL306" s="28"/>
    </row>
    <row r="307" spans="1:64" ht="15" hidden="1" thickBot="1">
      <c r="A307" s="28"/>
      <c r="B307" s="517">
        <v>29</v>
      </c>
      <c r="C307" s="528">
        <f>cantkmhm</f>
        <v>0</v>
      </c>
      <c r="D307" s="291" t="s">
        <v>102</v>
      </c>
      <c r="E307" s="293">
        <f>kmsemhsmed*1543/15*4</f>
        <v>0</v>
      </c>
      <c r="F307" s="881"/>
      <c r="G307" s="519"/>
      <c r="H307" s="293">
        <f>kmsemhsmed*1543/15*4</f>
        <v>0</v>
      </c>
      <c r="I307" s="878"/>
      <c r="J307" s="519"/>
      <c r="K307" s="293">
        <f>kmsemhsmed*1513/15*4</f>
        <v>0</v>
      </c>
      <c r="L307" s="876"/>
      <c r="M307" s="519"/>
      <c r="N307" s="293">
        <f>kmsemhsmed*83.46*4</f>
        <v>0</v>
      </c>
      <c r="O307" s="865"/>
      <c r="P307" s="519"/>
      <c r="Q307" s="293">
        <f>kmsemhsmed*83.46*4</f>
        <v>0</v>
      </c>
      <c r="R307" s="863"/>
      <c r="S307" s="519"/>
      <c r="T307" s="293">
        <f>kmsemhsmed*83.46*4</f>
        <v>0</v>
      </c>
      <c r="U307" s="847"/>
      <c r="V307" s="519"/>
      <c r="W307" s="293">
        <f>kmsemhsmed*83.46*4</f>
        <v>0</v>
      </c>
      <c r="X307" s="845"/>
      <c r="Y307" s="519"/>
      <c r="Z307" s="293">
        <f>kmsemhsmed*83.46*4</f>
        <v>0</v>
      </c>
      <c r="AA307" s="814"/>
      <c r="AB307" s="519"/>
      <c r="AC307" s="293">
        <f>kmsemhsmed*83.46*4</f>
        <v>0</v>
      </c>
      <c r="AD307" s="812"/>
      <c r="AE307" s="519"/>
      <c r="AF307" s="293">
        <f>kmsemhsmed*83.46*4</f>
        <v>0</v>
      </c>
      <c r="AG307" s="748"/>
      <c r="AH307" s="519"/>
      <c r="AI307" s="293">
        <f>kmsemhsmed*83.46*4</f>
        <v>0</v>
      </c>
      <c r="AJ307" s="788"/>
      <c r="AK307" s="519"/>
      <c r="AL307" s="293">
        <f>kmsemhsmed*83.46*4</f>
        <v>0</v>
      </c>
      <c r="AM307" s="748"/>
      <c r="AN307" s="519"/>
      <c r="AO307" s="293">
        <f>kmsemhsmed*80*4</f>
        <v>0</v>
      </c>
      <c r="AP307" s="715"/>
      <c r="AQ307" s="519"/>
      <c r="AR307" s="293">
        <f>IF(kmsemhsmed&lt;400,kmsemhsmed*71.8*4,114880)*(1+Aumentodic24)/(1+Aumentoago24)</f>
        <v>0</v>
      </c>
      <c r="AS307" s="715"/>
      <c r="AT307" s="519"/>
      <c r="AU307" s="342"/>
      <c r="AV307" s="28"/>
      <c r="AW307" s="28"/>
      <c r="AX307" s="342"/>
      <c r="AY307" s="28"/>
      <c r="AZ307" s="28"/>
      <c r="BA307" s="28"/>
      <c r="BB307" s="28"/>
      <c r="BC307" s="28"/>
      <c r="BD307" s="28"/>
      <c r="BE307" s="28"/>
      <c r="BF307" s="28"/>
      <c r="BG307" s="28"/>
      <c r="BH307" s="28"/>
      <c r="BI307" s="28"/>
      <c r="BJ307" s="28"/>
      <c r="BK307" s="28"/>
      <c r="BL307" s="28"/>
    </row>
    <row r="308" spans="1:64" s="794" customFormat="1" ht="15" hidden="1" thickBot="1">
      <c r="A308" s="783"/>
      <c r="B308" s="789">
        <v>117</v>
      </c>
      <c r="C308" s="795"/>
      <c r="D308" s="795" t="s">
        <v>101</v>
      </c>
      <c r="E308" s="790">
        <f>IF(canthormed*1134.4&gt;34032,34032,canthormed*1134.4)*(1+Aumentodic25respene25)</f>
        <v>43246.518843155973</v>
      </c>
      <c r="F308" s="796"/>
      <c r="G308" s="797"/>
      <c r="H308" s="790">
        <f>IF(canthormed*1134.4&gt;34032,34032,canthormed*1134.4)*(1+Aumentonov25respene25)</f>
        <v>42191.725700639981</v>
      </c>
      <c r="I308" s="796"/>
      <c r="J308" s="797"/>
      <c r="K308" s="790" cm="1">
        <f t="array" ref="K308">IF(canthormed*1134.4&gt;34032,34032,canthormed*1134.4)*(1+Aumentooct25respene25)</f>
        <v>41278.828531199986</v>
      </c>
      <c r="L308" s="796"/>
      <c r="M308" s="797"/>
      <c r="N308" s="790">
        <f>IF(canthormed*1134.4&gt;34032,34032,canthormed*1134.4)*(1+Aumentosep25respene25)</f>
        <v>40445.313724319989</v>
      </c>
      <c r="O308" s="796"/>
      <c r="P308" s="797"/>
      <c r="Q308" s="790">
        <f>IF(canthormed*1134.4&gt;34032,34032,canthormed*1134.4)*(1+Aumentoago25respene25)</f>
        <v>39691.181279999997</v>
      </c>
      <c r="R308" s="796"/>
      <c r="S308" s="797"/>
      <c r="T308" s="790">
        <f>IF(canthormed*1134.4&gt;34032,34032,canthormed*1134.4)*(1+Aumentojul25respene25)</f>
        <v>39014.829311999994</v>
      </c>
      <c r="U308" s="796"/>
      <c r="V308" s="797"/>
      <c r="W308" s="790">
        <f>IF(canthormed*1134.4&gt;34032,34032,canthormed*1134.4)*(1+Aumentojun25respene25)</f>
        <v>38445.269759999996</v>
      </c>
      <c r="X308" s="796"/>
      <c r="Y308" s="797"/>
      <c r="Z308" s="790">
        <f>IF(canthormed*1134.4&gt;34032,34032,canthormed*1134.4)*(1+Aumentomay25respene25)</f>
        <v>37911.307679999998</v>
      </c>
      <c r="AA308" s="796"/>
      <c r="AB308" s="797"/>
      <c r="AC308" s="790">
        <f>IF(canthormed*1134.4&gt;34032,34032,canthormed*1134.4)*(1+Aumentoabr25respene25)</f>
        <v>36914.578463999998</v>
      </c>
      <c r="AD308" s="796"/>
      <c r="AE308" s="797"/>
      <c r="AF308" s="790">
        <f>IF(canthormed*1134.4&gt;34032,34032,canthormed*1134.4)*(1+Aumentomar25respene25)</f>
        <v>35597.472000000002</v>
      </c>
      <c r="AG308" s="796"/>
      <c r="AH308" s="797"/>
      <c r="AI308" s="790">
        <f>IF(canthormed*1134.4&gt;34032,34032,canthormed*1134.4)*(1+Aumentofeb25respene25)</f>
        <v>34780.703999999998</v>
      </c>
      <c r="AJ308" s="788"/>
      <c r="AK308" s="797"/>
      <c r="AL308" s="790">
        <f>IF(canthormed*1134.4&gt;34032,34032,canthormed*1134.4)*(1+Aumentofeb25respene25)</f>
        <v>34780.703999999998</v>
      </c>
      <c r="AM308" s="796"/>
      <c r="AN308" s="797"/>
      <c r="AO308" s="790">
        <f>IF(canthormed*1134.4&gt;34032,34032,canthormed*1134.4)</f>
        <v>34032</v>
      </c>
      <c r="AP308" s="796"/>
      <c r="AQ308" s="797"/>
      <c r="AR308" s="790">
        <f>IF(canthormed*969&gt;29070,29070,canthormed*969)*(1+Aumentodic24)/(1+Aumentosep24)</f>
        <v>33207.85812943583</v>
      </c>
      <c r="AS308" s="796"/>
      <c r="AT308" s="797"/>
      <c r="AU308" s="793"/>
      <c r="AV308" s="783"/>
      <c r="AW308" s="783"/>
      <c r="AX308" s="793"/>
      <c r="AY308" s="783"/>
      <c r="AZ308" s="783"/>
      <c r="BA308" s="783"/>
      <c r="BB308" s="783"/>
      <c r="BC308" s="783"/>
      <c r="BD308" s="783"/>
      <c r="BE308" s="783"/>
      <c r="BF308" s="783"/>
      <c r="BG308" s="783"/>
      <c r="BH308" s="783"/>
      <c r="BI308" s="783"/>
      <c r="BJ308" s="783"/>
      <c r="BK308" s="783"/>
      <c r="BL308" s="783"/>
    </row>
    <row r="309" spans="1:64" s="794" customFormat="1" ht="15" hidden="1" thickBot="1">
      <c r="A309" s="783"/>
      <c r="B309" s="798">
        <v>38</v>
      </c>
      <c r="C309" s="799">
        <f>C249</f>
        <v>15</v>
      </c>
      <c r="D309" s="800" t="s">
        <v>147</v>
      </c>
      <c r="E309" s="801">
        <f>IF($C309="",IF(canthormed&lt;15,5408.06667*canthormed,81121),IF($C309&lt;15,5408.06667*$C309,81121))*(1+Aumentodic25respene25)</f>
        <v>103085.35657838669</v>
      </c>
      <c r="F309" s="536"/>
      <c r="G309" s="802"/>
      <c r="H309" s="801">
        <f>IF($C309="",IF(canthormed&lt;15,5408.06667*canthormed,81121),IF($C309&lt;15,5408.06667*$C309,81121))*(1+Aumentonov25respene25)</f>
        <v>100571.07958866995</v>
      </c>
      <c r="I309" s="536"/>
      <c r="J309" s="802"/>
      <c r="K309" s="801" cm="1">
        <f t="array" ref="K309">IF($C309="",IF(canthormed&lt;15,5408.06667*canthormed,81121),IF($C309&lt;15,5408.06667*$C309,81121))*(1+Aumentooct25respene25)</f>
        <v>98395.035533599963</v>
      </c>
      <c r="L309" s="536"/>
      <c r="M309" s="802"/>
      <c r="N309" s="801">
        <f>IF($C309="",IF(canthormed&lt;15,5408.06667*canthormed,81121),IF($C309&lt;15,5408.06667*$C309,81121))*(1+Aumentosep25respene25)</f>
        <v>96408.212700709977</v>
      </c>
      <c r="O309" s="536"/>
      <c r="P309" s="802"/>
      <c r="Q309" s="801">
        <f>IF($C309="",IF(canthormed&lt;15,5408.06667*canthormed,81121),IF($C309&lt;15,5408.06667*$C309,81121))*(1+Aumentoago25respene25)</f>
        <v>94610.611089999991</v>
      </c>
      <c r="R309" s="536"/>
      <c r="S309" s="802"/>
      <c r="T309" s="801">
        <f>IF($C309="",IF(canthormed&lt;15,5408.06667*canthormed,81121),IF($C309&lt;15,5408.06667*$C309,81121))*(1+Aumentojul25respene25)</f>
        <v>92998.412335999994</v>
      </c>
      <c r="U309" s="536"/>
      <c r="V309" s="802"/>
      <c r="W309" s="801">
        <f>IF($C309="",IF(canthormed&lt;15,5408.06667*canthormed,81121),IF($C309&lt;15,5408.06667*$C309,81121))*(1+Aumentojun25respene25)</f>
        <v>91640.771279999986</v>
      </c>
      <c r="X309" s="536"/>
      <c r="Y309" s="802"/>
      <c r="Z309" s="801">
        <f>IF($C309="",IF(canthormed&lt;15,5408.06667*canthormed,81121),IF($C309&lt;15,5408.06667*$C309,81121))*(1+Aumentomay25respene25)</f>
        <v>90367.982790000009</v>
      </c>
      <c r="AA309" s="536"/>
      <c r="AB309" s="802"/>
      <c r="AC309" s="801">
        <f>IF($C309="",IF(canthormed&lt;15,5408.06667*canthormed,81121),IF($C309&lt;15,5408.06667*$C309,81121))*(1+Aumentoabr25respene25)</f>
        <v>87992.110941999999</v>
      </c>
      <c r="AD309" s="536"/>
      <c r="AE309" s="802"/>
      <c r="AF309" s="801">
        <f>IF($C309="",IF(canthormed&lt;15,5408.06667*canthormed,81121),IF($C309&lt;15,5408.06667*$C309,81121))*(1+Aumentomar25respene25)</f>
        <v>84852.566000000006</v>
      </c>
      <c r="AG309" s="536"/>
      <c r="AH309" s="802"/>
      <c r="AI309" s="803">
        <f>IF($C309="",IF(canthormed&lt;15,5408.06667*canthormed,81121),IF($C309&lt;15,5408.06667*$C309,81121))*(1+Aumentofeb25respene25)</f>
        <v>82905.661999999997</v>
      </c>
      <c r="AJ309" s="788"/>
      <c r="AK309" s="802"/>
      <c r="AL309" s="803">
        <f>IF($C309="",IF(canthormed&lt;15,5408.06667*canthormed,81121),IF($C309&lt;15,5408.06667*$C309,81121))*(1+Aumentofeb25respene25)</f>
        <v>82905.661999999997</v>
      </c>
      <c r="AM309" s="536"/>
      <c r="AN309" s="802"/>
      <c r="AO309" s="803">
        <f>IF($C309="",IF(canthormed&lt;15,5408.06667*canthormed,81121),IF($C309&lt;15,5408.06667*$C309,81121))</f>
        <v>81121</v>
      </c>
      <c r="AP309" s="536"/>
      <c r="AQ309" s="802"/>
      <c r="AR309" s="803">
        <f>IF($C309="",IF(canthormed&lt;15,4628.6*canthormed,69429),IF($C309&lt;15,4628.6*$C309,69429))*(1+Aumentodic24)/(1+Aumentosep24)</f>
        <v>79311.605850313033</v>
      </c>
      <c r="AS309" s="536"/>
      <c r="AT309" s="802"/>
      <c r="AU309" s="804"/>
      <c r="AV309" s="805">
        <f>15074.91/15</f>
        <v>1004.994</v>
      </c>
      <c r="AW309" s="783"/>
      <c r="AX309" s="804"/>
      <c r="AY309" s="783"/>
      <c r="AZ309" s="783"/>
      <c r="BA309" s="783"/>
      <c r="BB309" s="783"/>
      <c r="BC309" s="783"/>
      <c r="BD309" s="783"/>
      <c r="BE309" s="783"/>
      <c r="BF309" s="783"/>
      <c r="BG309" s="783"/>
      <c r="BH309" s="783"/>
      <c r="BI309" s="783"/>
      <c r="BJ309" s="783"/>
      <c r="BK309" s="783"/>
      <c r="BL309" s="783"/>
    </row>
    <row r="310" spans="1:64" s="748" customFormat="1" hidden="1" thickBot="1">
      <c r="A310" s="28"/>
      <c r="B310" s="763">
        <v>25</v>
      </c>
      <c r="C310" s="764">
        <f>C250</f>
        <v>1</v>
      </c>
      <c r="D310" s="765" t="s">
        <v>197</v>
      </c>
      <c r="E310" s="771">
        <f>IF(AND(porantighormed&gt;=0.5,$C310=1),IF(canthormed&gt;15,25000,1666.6666*canthormed),0)</f>
        <v>25000</v>
      </c>
      <c r="F310" s="286"/>
      <c r="G310" s="530"/>
      <c r="H310" s="771">
        <f>IF(AND(porantighormed&gt;=0.5,$C310=1),IF(canthormed&gt;15,25000,1666.6666*canthormed),0)</f>
        <v>25000</v>
      </c>
      <c r="I310" s="286"/>
      <c r="J310" s="530"/>
      <c r="K310" s="771">
        <f>IF(AND(porantighormed&gt;=0.5,$C310=1),IF(canthormed&gt;15,25000,1666.6666*canthormed),0)</f>
        <v>25000</v>
      </c>
      <c r="L310" s="286"/>
      <c r="M310" s="530"/>
      <c r="N310" s="771">
        <f>IF(AND(porantighormed&gt;=0.5,$C310=1),IF(canthormed&gt;15,25000,1666.6666*canthormed),0)</f>
        <v>25000</v>
      </c>
      <c r="O310" s="286"/>
      <c r="P310" s="530"/>
      <c r="Q310" s="771">
        <f>IF(AND(porantighormed&gt;=0.5,$C310=1),IF(canthormed&gt;15,25000,1666.6666*canthormed),0)</f>
        <v>25000</v>
      </c>
      <c r="R310" s="286"/>
      <c r="S310" s="530"/>
      <c r="T310" s="771">
        <f>IF(AND(porantighormed&gt;=0.5,$C310=1),IF(canthormed&gt;15,25000,1666.6666*canthormed),0)</f>
        <v>25000</v>
      </c>
      <c r="U310" s="286"/>
      <c r="V310" s="530"/>
      <c r="W310" s="771">
        <f>IF(AND(porantighormed&gt;=0.5,$C310=1),IF(canthormed&gt;15,25000,1666.6666*canthormed),0)</f>
        <v>25000</v>
      </c>
      <c r="X310" s="286"/>
      <c r="Y310" s="530"/>
      <c r="Z310" s="771">
        <f>IF(AND(porantighormed&gt;=0.5,$C310=1),IF(canthormed&gt;15,25000,1666.6666*canthormed),0)</f>
        <v>25000</v>
      </c>
      <c r="AA310" s="286"/>
      <c r="AB310" s="530"/>
      <c r="AC310" s="771">
        <f>IF(AND(porantighormed&gt;=0.5,$C310=1),IF(canthormed&gt;15,25000,1666.6666*canthormed),0)</f>
        <v>25000</v>
      </c>
      <c r="AD310" s="286"/>
      <c r="AE310" s="530"/>
      <c r="AF310" s="771">
        <f>IF(AND(porantighormed&gt;=0.5,$C310=1),IF(canthormed&gt;15,25000,1666.6666*canthormed),0)</f>
        <v>25000</v>
      </c>
      <c r="AG310" s="286"/>
      <c r="AH310" s="530"/>
      <c r="AI310" s="771">
        <f>IF(porantighormed&gt;=0.5,IF(canthormed&gt;15,25000,1666.6666*canthormed),0)</f>
        <v>25000</v>
      </c>
      <c r="AJ310" s="788"/>
      <c r="AK310" s="530"/>
      <c r="AL310" s="529"/>
      <c r="AM310" s="286"/>
      <c r="AN310" s="530"/>
      <c r="AO310" s="529"/>
      <c r="AP310" s="286"/>
      <c r="AQ310" s="530"/>
      <c r="AR310" s="529"/>
      <c r="AS310" s="286"/>
      <c r="AT310" s="530"/>
      <c r="AU310" s="357"/>
      <c r="AV310" s="99"/>
      <c r="AW310" s="28"/>
      <c r="AX310" s="357"/>
      <c r="AY310" s="28"/>
      <c r="AZ310" s="28"/>
      <c r="BA310" s="28"/>
      <c r="BB310" s="28"/>
      <c r="BC310" s="28"/>
      <c r="BD310" s="28"/>
      <c r="BE310" s="28"/>
      <c r="BF310" s="28"/>
      <c r="BG310" s="28"/>
      <c r="BH310" s="28"/>
      <c r="BI310" s="28"/>
      <c r="BJ310" s="28"/>
      <c r="BK310" s="28"/>
      <c r="BL310" s="28"/>
    </row>
    <row r="311" spans="1:64" ht="16.5" hidden="1" thickBot="1">
      <c r="A311" s="28"/>
      <c r="B311" s="520"/>
      <c r="C311" s="531"/>
      <c r="D311" s="377" t="s">
        <v>148</v>
      </c>
      <c r="E311" s="532">
        <f>SUM(E300:E310)</f>
        <v>2029671.7219666594</v>
      </c>
      <c r="F311" s="286"/>
      <c r="G311" s="533"/>
      <c r="H311" s="532">
        <f>SUM(H300:H310)</f>
        <v>1981733.3872845459</v>
      </c>
      <c r="I311" s="286"/>
      <c r="J311" s="533"/>
      <c r="K311" s="532">
        <f>SUM(K300:K310)</f>
        <v>1940243.9536932535</v>
      </c>
      <c r="L311" s="286"/>
      <c r="M311" s="533"/>
      <c r="N311" s="532">
        <f>SUM(N300:N310)</f>
        <v>1902362.2969359856</v>
      </c>
      <c r="O311" s="286"/>
      <c r="P311" s="533"/>
      <c r="Q311" s="532">
        <f>SUM(Q300:Q310)</f>
        <v>1868088.4170127437</v>
      </c>
      <c r="R311" s="286"/>
      <c r="S311" s="533"/>
      <c r="T311" s="532">
        <f>SUM(T300:T310)</f>
        <v>1837348.4054008655</v>
      </c>
      <c r="U311" s="286"/>
      <c r="V311" s="533"/>
      <c r="W311" s="532">
        <f>SUM(W300:W310)</f>
        <v>1811463.0272198315</v>
      </c>
      <c r="X311" s="286"/>
      <c r="Y311" s="533"/>
      <c r="Z311" s="532">
        <f>SUM(Z300:Z310)</f>
        <v>1787195.6527315644</v>
      </c>
      <c r="AA311" s="286"/>
      <c r="AB311" s="533"/>
      <c r="AC311" s="532">
        <f>SUM(AC300:AC310)</f>
        <v>1741896.2792133719</v>
      </c>
      <c r="AD311" s="286"/>
      <c r="AE311" s="533"/>
      <c r="AF311" s="532">
        <f>SUM(AF300:AF310)</f>
        <v>1682036.1363146589</v>
      </c>
      <c r="AG311" s="286"/>
      <c r="AH311" s="533"/>
      <c r="AI311" s="532">
        <f>SUM(AI300:AI310)</f>
        <v>1644915.4950040232</v>
      </c>
      <c r="AJ311" s="807"/>
      <c r="AK311" s="533"/>
      <c r="AL311" s="532">
        <f>SUM(AL300:AL309)</f>
        <v>1580715.4950040232</v>
      </c>
      <c r="AM311" s="286"/>
      <c r="AN311" s="533"/>
      <c r="AO311" s="532">
        <f>SUM(AO300:AO309)</f>
        <v>1546688.3512759516</v>
      </c>
      <c r="AP311" s="286"/>
      <c r="AQ311" s="533"/>
      <c r="AR311" s="532">
        <f>SUM(AR300:AR309)</f>
        <v>1509391.8497446193</v>
      </c>
      <c r="AS311" s="286"/>
      <c r="AT311" s="533"/>
      <c r="AU311" s="357"/>
      <c r="AW311" s="28"/>
      <c r="AX311" s="357"/>
      <c r="AY311" s="28"/>
      <c r="AZ311" s="28"/>
      <c r="BA311" s="28"/>
      <c r="BB311" s="28"/>
      <c r="BC311" s="28"/>
      <c r="BD311" s="28"/>
      <c r="BE311" s="28"/>
      <c r="BF311" s="28"/>
      <c r="BG311" s="28"/>
      <c r="BH311" s="28"/>
      <c r="BI311" s="28"/>
      <c r="BJ311" s="28"/>
      <c r="BK311" s="28"/>
      <c r="BL311" s="28"/>
    </row>
    <row r="312" spans="1:64" hidden="1" thickBot="1">
      <c r="A312" s="28"/>
      <c r="B312" s="534" t="s">
        <v>149</v>
      </c>
      <c r="C312" s="286"/>
      <c r="D312" s="286"/>
      <c r="E312" s="535">
        <f>E253</f>
        <v>0</v>
      </c>
      <c r="F312" s="536"/>
      <c r="G312" s="537"/>
      <c r="H312" s="535">
        <f>H253</f>
        <v>0</v>
      </c>
      <c r="I312" s="536"/>
      <c r="J312" s="537"/>
      <c r="K312" s="535">
        <f>K253</f>
        <v>0</v>
      </c>
      <c r="L312" s="536"/>
      <c r="M312" s="537"/>
      <c r="N312" s="535">
        <f>N253</f>
        <v>0</v>
      </c>
      <c r="O312" s="536"/>
      <c r="P312" s="537"/>
      <c r="Q312" s="535">
        <f>Q253</f>
        <v>0</v>
      </c>
      <c r="R312" s="536"/>
      <c r="S312" s="537"/>
      <c r="T312" s="535">
        <f>T253</f>
        <v>0</v>
      </c>
      <c r="U312" s="536"/>
      <c r="V312" s="537"/>
      <c r="W312" s="535">
        <f>W253</f>
        <v>0</v>
      </c>
      <c r="X312" s="536"/>
      <c r="Y312" s="537"/>
      <c r="Z312" s="535">
        <f>Z253</f>
        <v>0</v>
      </c>
      <c r="AA312" s="536"/>
      <c r="AB312" s="537"/>
      <c r="AC312" s="535">
        <f>AC253</f>
        <v>0</v>
      </c>
      <c r="AD312" s="536"/>
      <c r="AE312" s="537"/>
      <c r="AF312" s="535">
        <f>AF253</f>
        <v>0</v>
      </c>
      <c r="AG312" s="536"/>
      <c r="AH312" s="537"/>
      <c r="AI312" s="535">
        <f>AI253</f>
        <v>0</v>
      </c>
      <c r="AJ312" s="788"/>
      <c r="AK312" s="537"/>
      <c r="AL312" s="535">
        <f>AL253</f>
        <v>0</v>
      </c>
      <c r="AM312" s="536"/>
      <c r="AN312" s="537"/>
      <c r="AO312" s="535">
        <f>AO253</f>
        <v>0</v>
      </c>
      <c r="AP312" s="536"/>
      <c r="AQ312" s="537"/>
      <c r="AR312" s="535">
        <f>AR253</f>
        <v>0</v>
      </c>
      <c r="AS312" s="536"/>
      <c r="AT312" s="537"/>
      <c r="AU312" s="357"/>
      <c r="AV312" s="28"/>
      <c r="AW312" s="28"/>
      <c r="AX312" s="357"/>
      <c r="AY312" s="28"/>
      <c r="AZ312" s="28"/>
      <c r="BA312" s="28"/>
      <c r="BB312" s="28"/>
      <c r="BC312" s="28"/>
      <c r="BD312" s="28"/>
      <c r="BE312" s="28"/>
      <c r="BF312" s="28"/>
      <c r="BG312" s="28"/>
      <c r="BH312" s="28"/>
      <c r="BI312" s="28"/>
      <c r="BJ312" s="28"/>
      <c r="BK312" s="28"/>
      <c r="BL312" s="28"/>
    </row>
    <row r="313" spans="1:64" ht="16.5" hidden="1" thickBot="1">
      <c r="A313" s="28"/>
      <c r="B313" s="520">
        <v>184</v>
      </c>
      <c r="C313" s="538">
        <f>AO313/2213.3333</f>
        <v>30</v>
      </c>
      <c r="D313" s="286" t="s">
        <v>196</v>
      </c>
      <c r="E313" s="288">
        <f>IF(canthorincmed*2213.3333&gt;66400,66400,canthorincmed*2213.3333)*1.107</f>
        <v>73504.798892999999</v>
      </c>
      <c r="F313" s="881"/>
      <c r="G313" s="522"/>
      <c r="H313" s="288">
        <f>IF(canthorincmed*2213.3333&gt;66400,66400,canthorincmed*2213.3333)*1.107</f>
        <v>73504.798892999999</v>
      </c>
      <c r="I313" s="878"/>
      <c r="J313" s="522"/>
      <c r="K313" s="288">
        <f>IF(canthorincmed*2213.3333&gt;66400,66400,canthorincmed*2213.3333)*1.107</f>
        <v>73504.798892999999</v>
      </c>
      <c r="L313" s="876"/>
      <c r="M313" s="522"/>
      <c r="N313" s="288">
        <f>IF(canthorincmed*2213.3333&gt;66400,66400,canthorincmed*2213.3333)*1.107</f>
        <v>73504.798892999999</v>
      </c>
      <c r="O313" s="865"/>
      <c r="P313" s="522"/>
      <c r="Q313" s="288">
        <f>IF(canthorincmed*2213.3333&gt;66400,66400,canthorincmed*2213.3333)*1.107</f>
        <v>73504.798892999999</v>
      </c>
      <c r="R313" s="863"/>
      <c r="S313" s="522"/>
      <c r="T313" s="288">
        <f>IF(canthorincmed*2213.3333&gt;66400,66400,canthorincmed*2213.3333)*1.107</f>
        <v>73504.798892999999</v>
      </c>
      <c r="U313" s="847"/>
      <c r="V313" s="522"/>
      <c r="W313" s="288">
        <f>IF(canthorincmed*2213.3333&gt;66400,66400,canthorincmed*2213.3333)*1.107</f>
        <v>73504.798892999999</v>
      </c>
      <c r="X313" s="845"/>
      <c r="Y313" s="522"/>
      <c r="Z313" s="288">
        <f>IF(canthorincmed*2213.3333&gt;66400,66400,canthorincmed*2213.3333)*1.107</f>
        <v>73504.798892999999</v>
      </c>
      <c r="AA313" s="814"/>
      <c r="AB313" s="522"/>
      <c r="AC313" s="288">
        <f>IF(canthorincmed*2213.3333&gt;66400,66400,canthorincmed*2213.3333)*1.107</f>
        <v>73504.798892999999</v>
      </c>
      <c r="AD313" s="812"/>
      <c r="AE313" s="522"/>
      <c r="AF313" s="288">
        <f>IF(canthorincmed*2213.3333&gt;66400,66400,canthorincmed*2213.3333)*1.107</f>
        <v>73504.798892999999</v>
      </c>
      <c r="AG313" s="748"/>
      <c r="AH313" s="522"/>
      <c r="AI313" s="288">
        <f>IF(canthorincmed*2213.3333&gt;66400,66400,canthorincmed*2213.3333)*1.107</f>
        <v>73504.798892999999</v>
      </c>
      <c r="AJ313" s="807"/>
      <c r="AK313" s="522"/>
      <c r="AL313" s="288">
        <f>IF(canthorincmed*2213.3333&gt;66400,66400,canthorincmed*2213.3333)</f>
        <v>66399.998999999996</v>
      </c>
      <c r="AM313" s="748"/>
      <c r="AN313" s="522"/>
      <c r="AO313" s="288">
        <f>IF(canthorincmed*2213.3333&gt;66400,66400,canthorincmed*2213.3333)</f>
        <v>66399.998999999996</v>
      </c>
      <c r="AP313" s="715"/>
      <c r="AQ313" s="522"/>
      <c r="AR313" s="288">
        <f>IF(canthorincmed*2213.3333&gt;66400,66400,canthorincmed*2213.3333)</f>
        <v>66399.998999999996</v>
      </c>
      <c r="AS313" s="715"/>
      <c r="AT313" s="522"/>
      <c r="AU313" s="342"/>
      <c r="AV313" s="28"/>
      <c r="AW313" s="28"/>
      <c r="AX313" s="342"/>
      <c r="AY313" s="28"/>
      <c r="AZ313" s="28"/>
      <c r="BA313" s="28"/>
      <c r="BB313" s="28"/>
      <c r="BC313" s="28"/>
      <c r="BD313" s="28"/>
      <c r="BE313" s="28"/>
      <c r="BF313" s="28"/>
      <c r="BG313" s="28"/>
      <c r="BH313" s="28"/>
      <c r="BI313" s="28"/>
      <c r="BJ313" s="28"/>
      <c r="BK313" s="28"/>
      <c r="BL313" s="28"/>
    </row>
    <row r="314" spans="1:64" ht="16.5" hidden="1" thickBot="1">
      <c r="A314" s="28"/>
      <c r="B314" s="520">
        <v>204</v>
      </c>
      <c r="C314" s="538">
        <f>AO314/1653.3333</f>
        <v>30.000000000000004</v>
      </c>
      <c r="D314" s="286" t="s">
        <v>195</v>
      </c>
      <c r="E314" s="288">
        <f>IF(canthorincmed*1653.3333&gt;49600,49600,canthorincmed*1653.3333)*1.107</f>
        <v>54907.198893000001</v>
      </c>
      <c r="F314" s="539"/>
      <c r="G314" s="522"/>
      <c r="H314" s="288">
        <f>IF(canthorincmed*1653.3333&gt;49600,49600,canthorincmed*1653.3333)*1.107</f>
        <v>54907.198893000001</v>
      </c>
      <c r="I314" s="539"/>
      <c r="J314" s="522"/>
      <c r="K314" s="288">
        <f>IF(canthorincmed*1653.3333&gt;49600,49600,canthorincmed*1653.3333)*1.107</f>
        <v>54907.198893000001</v>
      </c>
      <c r="L314" s="539"/>
      <c r="M314" s="522"/>
      <c r="N314" s="288">
        <f>IF(canthorincmed*1653.3333&gt;49600,49600,canthorincmed*1653.3333)*1.107</f>
        <v>54907.198893000001</v>
      </c>
      <c r="O314" s="539"/>
      <c r="P314" s="522"/>
      <c r="Q314" s="288">
        <f>IF(canthorincmed*1653.3333&gt;49600,49600,canthorincmed*1653.3333)*1.107</f>
        <v>54907.198893000001</v>
      </c>
      <c r="R314" s="539"/>
      <c r="S314" s="522"/>
      <c r="T314" s="288">
        <f>IF(canthorincmed*1653.3333&gt;49600,49600,canthorincmed*1653.3333)*1.107</f>
        <v>54907.198893000001</v>
      </c>
      <c r="U314" s="539"/>
      <c r="V314" s="522"/>
      <c r="W314" s="288">
        <f>IF(canthorincmed*1653.3333&gt;49600,49600,canthorincmed*1653.3333)*1.107</f>
        <v>54907.198893000001</v>
      </c>
      <c r="X314" s="539"/>
      <c r="Y314" s="522"/>
      <c r="Z314" s="288">
        <f>IF(canthorincmed*1653.3333&gt;49600,49600,canthorincmed*1653.3333)*1.107</f>
        <v>54907.198893000001</v>
      </c>
      <c r="AA314" s="539"/>
      <c r="AB314" s="522"/>
      <c r="AC314" s="288">
        <f>IF(canthorincmed*1653.3333&gt;49600,49600,canthorincmed*1653.3333)*1.107</f>
        <v>54907.198893000001</v>
      </c>
      <c r="AD314" s="539"/>
      <c r="AE314" s="522"/>
      <c r="AF314" s="288">
        <f>IF(canthorincmed*1653.3333&gt;49600,49600,canthorincmed*1653.3333)*1.107</f>
        <v>54907.198893000001</v>
      </c>
      <c r="AG314" s="539"/>
      <c r="AH314" s="522"/>
      <c r="AI314" s="288">
        <f>IF(canthorincmed*1653.3333&gt;49600,49600,canthorincmed*1653.3333)*1.107</f>
        <v>54907.198893000001</v>
      </c>
      <c r="AJ314" s="807"/>
      <c r="AK314" s="522"/>
      <c r="AL314" s="288">
        <f>IF(canthorincmed*1653.3333&gt;49600,49600,canthorincmed*1653.3333)</f>
        <v>49599.999000000003</v>
      </c>
      <c r="AM314" s="539"/>
      <c r="AN314" s="522"/>
      <c r="AO314" s="288">
        <f>IF(canthorincmed*1653.3333&gt;49600,49600,canthorincmed*1653.3333)</f>
        <v>49599.999000000003</v>
      </c>
      <c r="AP314" s="539"/>
      <c r="AQ314" s="522"/>
      <c r="AR314" s="288">
        <f>IF(canthorincmed*1653.3333&gt;49600,49600,canthorincmed*1653.3333)</f>
        <v>49599.999000000003</v>
      </c>
      <c r="AS314" s="539"/>
      <c r="AT314" s="522"/>
      <c r="AU314" s="342"/>
      <c r="AV314" s="28"/>
      <c r="AW314" s="28"/>
      <c r="AX314" s="342"/>
      <c r="AY314" s="28"/>
      <c r="AZ314" s="28"/>
      <c r="BA314" s="28"/>
      <c r="BB314" s="28"/>
      <c r="BC314" s="28"/>
      <c r="BD314" s="28"/>
      <c r="BE314" s="28"/>
      <c r="BF314" s="28"/>
      <c r="BG314" s="28"/>
      <c r="BH314" s="28"/>
      <c r="BI314" s="28"/>
      <c r="BJ314" s="28"/>
      <c r="BK314" s="28"/>
      <c r="BL314" s="28"/>
    </row>
    <row r="315" spans="1:64" hidden="1" thickBot="1">
      <c r="A315" s="28"/>
      <c r="B315" s="376"/>
      <c r="C315" s="286"/>
      <c r="D315" s="286"/>
      <c r="E315" s="540"/>
      <c r="F315" s="286"/>
      <c r="G315" s="522"/>
      <c r="H315" s="540"/>
      <c r="I315" s="286"/>
      <c r="J315" s="522"/>
      <c r="K315" s="540"/>
      <c r="L315" s="286"/>
      <c r="M315" s="522"/>
      <c r="N315" s="540"/>
      <c r="O315" s="286"/>
      <c r="P315" s="522"/>
      <c r="Q315" s="540"/>
      <c r="R315" s="286"/>
      <c r="S315" s="522"/>
      <c r="T315" s="540"/>
      <c r="U315" s="286"/>
      <c r="V315" s="522"/>
      <c r="W315" s="540"/>
      <c r="X315" s="286"/>
      <c r="Y315" s="522"/>
      <c r="Z315" s="540"/>
      <c r="AA315" s="286"/>
      <c r="AB315" s="522"/>
      <c r="AC315" s="540"/>
      <c r="AD315" s="286"/>
      <c r="AE315" s="522"/>
      <c r="AF315" s="540"/>
      <c r="AG315" s="286"/>
      <c r="AH315" s="522"/>
      <c r="AI315" s="540"/>
      <c r="AJ315" s="286"/>
      <c r="AK315" s="522"/>
      <c r="AL315" s="540"/>
      <c r="AM315" s="286"/>
      <c r="AN315" s="522"/>
      <c r="AO315" s="540"/>
      <c r="AP315" s="286"/>
      <c r="AQ315" s="522"/>
      <c r="AR315" s="540"/>
      <c r="AS315" s="286"/>
      <c r="AT315" s="522"/>
      <c r="AU315" s="357"/>
      <c r="AV315" s="28"/>
      <c r="AW315" s="28"/>
      <c r="AX315" s="357"/>
      <c r="AY315" s="28"/>
      <c r="AZ315" s="28"/>
      <c r="BA315" s="28"/>
      <c r="BB315" s="28"/>
      <c r="BC315" s="28"/>
      <c r="BD315" s="28"/>
      <c r="BE315" s="28"/>
      <c r="BF315" s="28"/>
      <c r="BG315" s="28"/>
      <c r="BH315" s="28"/>
      <c r="BI315" s="28"/>
      <c r="BJ315" s="28"/>
      <c r="BK315" s="28"/>
      <c r="BL315" s="28"/>
    </row>
    <row r="316" spans="1:64" ht="16.5" hidden="1" thickBot="1">
      <c r="A316" s="28"/>
      <c r="B316" s="306"/>
      <c r="C316" s="325" t="s">
        <v>150</v>
      </c>
      <c r="D316" s="325"/>
      <c r="E316" s="541">
        <f>SUM(E311:E314)</f>
        <v>2158083.7197526596</v>
      </c>
      <c r="F316" s="291"/>
      <c r="G316" s="542"/>
      <c r="H316" s="541">
        <f>SUM(H311:H314)</f>
        <v>2110145.3850705461</v>
      </c>
      <c r="I316" s="291"/>
      <c r="J316" s="542"/>
      <c r="K316" s="541">
        <f>SUM(K311:K314)</f>
        <v>2068655.9514792534</v>
      </c>
      <c r="L316" s="291"/>
      <c r="M316" s="542"/>
      <c r="N316" s="541">
        <f>SUM(N311:N314)</f>
        <v>2030774.2947219855</v>
      </c>
      <c r="O316" s="291"/>
      <c r="P316" s="542"/>
      <c r="Q316" s="541">
        <f>SUM(Q311:Q314)</f>
        <v>1996500.4147987436</v>
      </c>
      <c r="R316" s="291"/>
      <c r="S316" s="542"/>
      <c r="T316" s="541">
        <f>SUM(T311:T314)</f>
        <v>1965760.4031868654</v>
      </c>
      <c r="U316" s="291"/>
      <c r="V316" s="542"/>
      <c r="W316" s="541">
        <f>SUM(W311:W314)</f>
        <v>1939875.0250058314</v>
      </c>
      <c r="X316" s="291"/>
      <c r="Y316" s="542"/>
      <c r="Z316" s="541">
        <f>SUM(Z311:Z314)</f>
        <v>1915607.6505175643</v>
      </c>
      <c r="AA316" s="291"/>
      <c r="AB316" s="542"/>
      <c r="AC316" s="541">
        <f>SUM(AC311:AC314)</f>
        <v>1870308.2769993718</v>
      </c>
      <c r="AD316" s="291"/>
      <c r="AE316" s="542"/>
      <c r="AF316" s="541">
        <f>SUM(AF311:AF314)</f>
        <v>1810448.1341006588</v>
      </c>
      <c r="AG316" s="291"/>
      <c r="AH316" s="542"/>
      <c r="AI316" s="541">
        <f>SUM(AI311:AI314)</f>
        <v>1773327.4927900231</v>
      </c>
      <c r="AJ316" s="291"/>
      <c r="AK316" s="542"/>
      <c r="AL316" s="541">
        <f>SUM(AL311:AL314)</f>
        <v>1696715.4930040233</v>
      </c>
      <c r="AM316" s="291"/>
      <c r="AN316" s="542"/>
      <c r="AO316" s="541">
        <f>SUM(AO311:AO314)</f>
        <v>1662688.3492759517</v>
      </c>
      <c r="AP316" s="291"/>
      <c r="AQ316" s="542"/>
      <c r="AR316" s="541">
        <f>SUM(AR311:AR314)</f>
        <v>1625391.8477446195</v>
      </c>
      <c r="AS316" s="291"/>
      <c r="AT316" s="542"/>
      <c r="AU316" s="356"/>
      <c r="AV316" s="28"/>
      <c r="AW316" s="28"/>
      <c r="AX316" s="356"/>
      <c r="AY316" s="28"/>
      <c r="AZ316" s="28"/>
      <c r="BA316" s="28"/>
      <c r="BB316" s="28"/>
      <c r="BC316" s="28"/>
      <c r="BD316" s="28"/>
      <c r="BE316" s="28"/>
      <c r="BF316" s="28"/>
      <c r="BG316" s="28"/>
      <c r="BH316" s="28"/>
      <c r="BI316" s="28"/>
      <c r="BJ316" s="28"/>
      <c r="BK316" s="28"/>
      <c r="BL316" s="28"/>
    </row>
    <row r="317" spans="1:64" ht="21" hidden="1" thickBot="1">
      <c r="A317" s="28"/>
      <c r="B317" s="317">
        <v>440</v>
      </c>
      <c r="C317" s="284"/>
      <c r="D317" s="286" t="s">
        <v>108</v>
      </c>
      <c r="E317" s="543">
        <f>E258</f>
        <v>0</v>
      </c>
      <c r="F317" s="317">
        <f>-E317</f>
        <v>0</v>
      </c>
      <c r="G317" s="522"/>
      <c r="H317" s="543">
        <f>H258</f>
        <v>0</v>
      </c>
      <c r="I317" s="317">
        <f>-H317</f>
        <v>0</v>
      </c>
      <c r="J317" s="522"/>
      <c r="K317" s="543">
        <f>K258</f>
        <v>0</v>
      </c>
      <c r="L317" s="317">
        <f>-K317</f>
        <v>0</v>
      </c>
      <c r="M317" s="522"/>
      <c r="N317" s="543">
        <f>N258</f>
        <v>0</v>
      </c>
      <c r="O317" s="317">
        <f>-N317</f>
        <v>0</v>
      </c>
      <c r="P317" s="522"/>
      <c r="Q317" s="543">
        <f>Q258</f>
        <v>0</v>
      </c>
      <c r="R317" s="317">
        <f>-Q317</f>
        <v>0</v>
      </c>
      <c r="S317" s="522"/>
      <c r="T317" s="543">
        <f>T258</f>
        <v>0</v>
      </c>
      <c r="U317" s="317">
        <f>-T317</f>
        <v>0</v>
      </c>
      <c r="V317" s="522"/>
      <c r="W317" s="543">
        <f>W258</f>
        <v>0</v>
      </c>
      <c r="X317" s="317">
        <f>-W317</f>
        <v>0</v>
      </c>
      <c r="Y317" s="522"/>
      <c r="Z317" s="543">
        <f>Z258</f>
        <v>0</v>
      </c>
      <c r="AA317" s="317">
        <f>-Z317</f>
        <v>0</v>
      </c>
      <c r="AB317" s="522"/>
      <c r="AC317" s="543">
        <f>AC258</f>
        <v>0</v>
      </c>
      <c r="AD317" s="317">
        <f>-AC317</f>
        <v>0</v>
      </c>
      <c r="AE317" s="522"/>
      <c r="AF317" s="543">
        <f>AF258</f>
        <v>0</v>
      </c>
      <c r="AG317" s="317">
        <f>-AF317</f>
        <v>0</v>
      </c>
      <c r="AH317" s="522"/>
      <c r="AI317" s="543">
        <f>AI258</f>
        <v>0</v>
      </c>
      <c r="AJ317" s="317">
        <f>-AI317</f>
        <v>0</v>
      </c>
      <c r="AK317" s="522"/>
      <c r="AL317" s="543">
        <f>AL258</f>
        <v>0</v>
      </c>
      <c r="AM317" s="317">
        <f>-AL317</f>
        <v>0</v>
      </c>
      <c r="AN317" s="522"/>
      <c r="AO317" s="543">
        <f>AO258</f>
        <v>0</v>
      </c>
      <c r="AP317" s="317">
        <f>-AO317</f>
        <v>0</v>
      </c>
      <c r="AQ317" s="522"/>
      <c r="AR317" s="543">
        <f>AR258</f>
        <v>0</v>
      </c>
      <c r="AS317" s="317">
        <f>-AR317</f>
        <v>0</v>
      </c>
      <c r="AT317" s="522"/>
      <c r="AU317" s="357"/>
      <c r="AV317" s="69"/>
      <c r="AW317" s="28"/>
      <c r="AX317" s="357"/>
      <c r="AY317" s="69"/>
      <c r="AZ317" s="28"/>
      <c r="BA317" s="28"/>
      <c r="BB317" s="28"/>
      <c r="BC317" s="28"/>
      <c r="BD317" s="28"/>
      <c r="BE317" s="28"/>
      <c r="BF317" s="28"/>
      <c r="BG317" s="28"/>
      <c r="BH317" s="28"/>
      <c r="BI317" s="28"/>
      <c r="BJ317" s="28"/>
      <c r="BK317" s="28"/>
      <c r="BL317" s="28"/>
    </row>
    <row r="318" spans="1:64" ht="16.5" hidden="1" thickBot="1">
      <c r="A318" s="28"/>
      <c r="B318" s="306">
        <v>502</v>
      </c>
      <c r="C318" s="327">
        <v>0.16</v>
      </c>
      <c r="D318" s="293" t="s">
        <v>151</v>
      </c>
      <c r="E318" s="293"/>
      <c r="F318" s="306">
        <f>-(E300+E301+E305+E306+E302+E303+E304+F317+E308+E309+E310)*0.19</f>
        <v>-385637.62717366527</v>
      </c>
      <c r="G318" s="525"/>
      <c r="H318" s="293"/>
      <c r="I318" s="306">
        <f>-(H300+H301+H305+H306+H302+H303+H304+I317+H308+H309+H310)*0.19</f>
        <v>-376529.34358406375</v>
      </c>
      <c r="J318" s="525"/>
      <c r="K318" s="293"/>
      <c r="L318" s="306">
        <f>-(K300+K301+K305+K306+K302+K303+K304+L317+K308+K309+K310)*0.19</f>
        <v>-368646.35120171809</v>
      </c>
      <c r="M318" s="525"/>
      <c r="N318" s="293"/>
      <c r="O318" s="306">
        <f>-(N300+N301+N305+N306+N302+N303+N304+O317+N308+N309+N310)*0.19</f>
        <v>-361448.83641783724</v>
      </c>
      <c r="P318" s="525"/>
      <c r="Q318" s="293"/>
      <c r="R318" s="306">
        <f>-(Q300+Q301+Q305+Q306+Q302+Q303+Q304+R317+Q308+Q309+Q310)*0.19</f>
        <v>-354936.79923242133</v>
      </c>
      <c r="S318" s="525"/>
      <c r="T318" s="293"/>
      <c r="U318" s="306">
        <f>-(T300+T301+T305+T306+T302+T303+T304+U317+T308+T309+T310)*0.19</f>
        <v>-349096.19702616445</v>
      </c>
      <c r="V318" s="525"/>
      <c r="W318" s="293"/>
      <c r="X318" s="306">
        <f>-(W300+W301+W305+W306+W302+W303+W304+X317+W308+W309+W310)*0.19</f>
        <v>-344177.97517176799</v>
      </c>
      <c r="Y318" s="525"/>
      <c r="Z318" s="293"/>
      <c r="AA318" s="306">
        <f>-(Z300+Z301+Z305+Z306+Z302+Z303+Z304+AA317+Z308+Z309+Z310)*0.19</f>
        <v>-339567.17401899723</v>
      </c>
      <c r="AB318" s="525"/>
      <c r="AC318" s="293"/>
      <c r="AD318" s="306">
        <f>-(AC300+AC301+AC305+AC306+AC302+AC303+AC304+AD317+AC308+AC309+AC310)*0.19</f>
        <v>-330960.29305054067</v>
      </c>
      <c r="AE318" s="525"/>
      <c r="AF318" s="293"/>
      <c r="AG318" s="306">
        <f>-(AF300+AF301+AF305+AF306+AF302+AF303+AF304+AG317+AF308+AF309+AF310)*0.19</f>
        <v>-319586.86589978519</v>
      </c>
      <c r="AH318" s="525"/>
      <c r="AI318" s="293"/>
      <c r="AJ318" s="306">
        <f>-(AI300+AI301+AI305+AI306+AI302+AI303+AI304+AJ317+AI308+AI309+AI310)*0.19</f>
        <v>-312533.94405076443</v>
      </c>
      <c r="AK318" s="806"/>
      <c r="AL318" s="293"/>
      <c r="AM318" s="306">
        <f>-(AL300+AL301+AL305+AL306+AL302+AL303+AL304+AM317+AL308+AL309)*0.19</f>
        <v>-300335.94405076443</v>
      </c>
      <c r="AN318" s="525"/>
      <c r="AO318" s="293"/>
      <c r="AP318" s="306">
        <f>-(AO300+AO301+AO305+AO306+AO302+AO303+AO304+AP317+AO308+AO309)*0.19</f>
        <v>-293870.78674243082</v>
      </c>
      <c r="AQ318" s="525"/>
      <c r="AR318" s="293"/>
      <c r="AS318" s="306">
        <f>-(AR300+AR301+AR305+AR306+AR302+AR303+AR304+AS317+AR308+AR309)*0.19</f>
        <v>-286784.45145147765</v>
      </c>
      <c r="AT318" s="525"/>
      <c r="AU318" s="342"/>
      <c r="AV318" s="28"/>
      <c r="AW318" s="28"/>
      <c r="AX318" s="342"/>
      <c r="AY318" s="28"/>
      <c r="AZ318" s="28"/>
      <c r="BA318" s="28"/>
      <c r="BB318" s="28"/>
      <c r="BC318" s="28"/>
      <c r="BD318" s="28"/>
      <c r="BE318" s="28"/>
      <c r="BF318" s="28"/>
      <c r="BG318" s="28"/>
      <c r="BH318" s="28"/>
      <c r="BI318" s="28"/>
      <c r="BJ318" s="28"/>
      <c r="BK318" s="28"/>
      <c r="BL318" s="28"/>
    </row>
    <row r="319" spans="1:64" ht="16.5" hidden="1" thickBot="1">
      <c r="A319" s="28"/>
      <c r="B319" s="306">
        <v>505</v>
      </c>
      <c r="C319" s="546">
        <v>0.03</v>
      </c>
      <c r="D319" s="293" t="s">
        <v>152</v>
      </c>
      <c r="E319" s="293"/>
      <c r="F319" s="306">
        <f>-(E300+E301+E305+E306+E302+E303+E304+F317+E308+E309+E310)*0.03</f>
        <v>-60890.151658999777</v>
      </c>
      <c r="G319" s="525"/>
      <c r="H319" s="293"/>
      <c r="I319" s="306">
        <f>-(H300+H301+H305+H306+H302+H303+H304+I317+H308+H309+H310)*0.03</f>
        <v>-59452.001618536378</v>
      </c>
      <c r="J319" s="525"/>
      <c r="K319" s="293"/>
      <c r="L319" s="306">
        <f>-(K300+K301+K305+K306+K302+K303+K304+L317+K308+K309+K310)*0.03</f>
        <v>-58207.318610797593</v>
      </c>
      <c r="M319" s="525"/>
      <c r="N319" s="293"/>
      <c r="O319" s="306">
        <f>-(N300+N301+N305+N306+N302+N303+N304+O317+N308+N309+N310)*0.03</f>
        <v>-57070.868908079567</v>
      </c>
      <c r="P319" s="525"/>
      <c r="Q319" s="293"/>
      <c r="R319" s="306">
        <f>-(Q300+Q301+Q305+Q306+Q302+Q303+Q304+R317+Q308+Q309+Q310)*0.03</f>
        <v>-56042.652510382308</v>
      </c>
      <c r="S319" s="525"/>
      <c r="T319" s="293"/>
      <c r="U319" s="306">
        <f>-(T300+T301+T305+T306+T302+T303+T304+U317+T308+T309+T310)*0.03</f>
        <v>-55120.452162025962</v>
      </c>
      <c r="V319" s="525"/>
      <c r="W319" s="293"/>
      <c r="X319" s="306">
        <f>-(W300+W301+W305+W306+W302+W303+W304+X317+W308+W309+W310)*0.03</f>
        <v>-54343.89081659494</v>
      </c>
      <c r="Y319" s="525"/>
      <c r="Z319" s="293"/>
      <c r="AA319" s="306">
        <f>-(Z300+Z301+Z305+Z306+Z302+Z303+Z304+AA317+Z308+Z309+Z310)*0.03</f>
        <v>-53615.869581946929</v>
      </c>
      <c r="AB319" s="525"/>
      <c r="AC319" s="293"/>
      <c r="AD319" s="306">
        <f>-(AC300+AC301+AC305+AC306+AC302+AC303+AC304+AD317+AC308+AC309+AC310)*0.03</f>
        <v>-52256.888376401155</v>
      </c>
      <c r="AE319" s="525"/>
      <c r="AF319" s="293"/>
      <c r="AG319" s="306">
        <f>-(AF300+AF301+AF305+AF306+AF302+AF303+AF304+AG317+AF308+AF309+AF310)*0.03</f>
        <v>-50461.084089439762</v>
      </c>
      <c r="AH319" s="525"/>
      <c r="AI319" s="293"/>
      <c r="AJ319" s="306">
        <f>-(AI300+AI301+AI305+AI306+AI302+AI303+AI304+AJ317+AI308+AI309+AI310)*0.03</f>
        <v>-49347.464850120698</v>
      </c>
      <c r="AK319" s="806"/>
      <c r="AL319" s="293"/>
      <c r="AM319" s="306">
        <f>-(AL300+AL301+AL305+AL306+AL302+AL303+AL304+AM317+AL308+AL309)*0.03</f>
        <v>-47421.464850120698</v>
      </c>
      <c r="AN319" s="525"/>
      <c r="AO319" s="293"/>
      <c r="AP319" s="306">
        <f>-(AO300+AO301+AO305+AO306+AO302+AO303+AO304+AP317+AO308+AO309)*0.03</f>
        <v>-46400.650538278547</v>
      </c>
      <c r="AQ319" s="525"/>
      <c r="AR319" s="293"/>
      <c r="AS319" s="306">
        <f>-(AR300+AR301+AR305+AR306+AR302+AR303+AR304+AS317+AR308+AR309)*0.03</f>
        <v>-45281.755492338576</v>
      </c>
      <c r="AT319" s="525"/>
      <c r="AU319" s="342"/>
      <c r="AV319" s="28"/>
      <c r="AW319" s="28"/>
      <c r="AX319" s="342"/>
      <c r="AY319" s="28"/>
      <c r="AZ319" s="28"/>
      <c r="BA319" s="28"/>
      <c r="BB319" s="28"/>
      <c r="BC319" s="28"/>
      <c r="BD319" s="28"/>
      <c r="BE319" s="28"/>
      <c r="BF319" s="28"/>
      <c r="BG319" s="28"/>
      <c r="BH319" s="28"/>
      <c r="BI319" s="28"/>
      <c r="BJ319" s="28"/>
      <c r="BK319" s="28"/>
      <c r="BL319" s="28"/>
    </row>
    <row r="320" spans="1:64" ht="16.5" hidden="1" thickBot="1">
      <c r="A320" s="28"/>
      <c r="B320" s="331">
        <v>332</v>
      </c>
      <c r="C320" s="527">
        <f>C261</f>
        <v>0</v>
      </c>
      <c r="D320" s="288" t="s">
        <v>113</v>
      </c>
      <c r="E320" s="288"/>
      <c r="F320" s="317">
        <f>-(E300+E301+E305+E302+E306+E304+E303+E304+F317+E308+E309+E310)*$C320</f>
        <v>0</v>
      </c>
      <c r="G320" s="547"/>
      <c r="H320" s="288"/>
      <c r="I320" s="317">
        <f>-(H300+H301+H305+H302+H306+H304+H303+H304+I317+H308+H309+H310)*$C320</f>
        <v>0</v>
      </c>
      <c r="J320" s="547"/>
      <c r="K320" s="288"/>
      <c r="L320" s="317">
        <f>-(K300+K301+K305+K302+K306+K304+K303+K304+L317+K308+K309+K310)*$C320</f>
        <v>0</v>
      </c>
      <c r="M320" s="547"/>
      <c r="N320" s="288"/>
      <c r="O320" s="317">
        <f>-(N300+N301+N305+N302+N306+N304+N303+N304+O317+N308+N309+N310)*$C320</f>
        <v>0</v>
      </c>
      <c r="P320" s="547"/>
      <c r="Q320" s="288"/>
      <c r="R320" s="317">
        <f>-(Q300+Q301+Q305+Q302+Q306+Q304+Q303+Q304+R317+Q308+Q309+Q310)*$C320</f>
        <v>0</v>
      </c>
      <c r="S320" s="547"/>
      <c r="T320" s="288"/>
      <c r="U320" s="317">
        <f>-(T300+T301+T305+T302+T306+T304+T303+T304+U317+T308+T309+T310)*$C320</f>
        <v>0</v>
      </c>
      <c r="V320" s="547"/>
      <c r="W320" s="288"/>
      <c r="X320" s="317">
        <f>-(W300+W301+W305+W302+W306+W304+W303+W304+X317+W308+W309+W310)*$C320</f>
        <v>0</v>
      </c>
      <c r="Y320" s="547"/>
      <c r="Z320" s="288"/>
      <c r="AA320" s="317">
        <f>-(Z300+Z301+Z305+Z302+Z306+Z304+Z303+Z304+AA317+Z308+Z309+Z310)*$C320</f>
        <v>0</v>
      </c>
      <c r="AB320" s="547"/>
      <c r="AC320" s="288"/>
      <c r="AD320" s="317">
        <f>-(AC300+AC301+AC305+AC302+AC306+AC304+AC303+AC304+AD317+AC308+AC309+AC310)*$C320</f>
        <v>0</v>
      </c>
      <c r="AE320" s="547"/>
      <c r="AF320" s="288"/>
      <c r="AG320" s="317">
        <f>-(AF300+AF301+AF305+AF302+AF306+AF304+AF303+AF304+AG317+AF308+AF309+AF310)*$C320</f>
        <v>0</v>
      </c>
      <c r="AH320" s="547"/>
      <c r="AI320" s="288"/>
      <c r="AJ320" s="317">
        <f>-(AI300+AI301+AI305+AI302+AI306+AI304+AI303+AI304+AJ317+AI308+AI309)*$C320</f>
        <v>0</v>
      </c>
      <c r="AK320" s="806"/>
      <c r="AL320" s="288"/>
      <c r="AM320" s="317">
        <f>-(AL300+AL301+AL305+AL302+AL306+AL304+AL303+AL304+AM317+AL308+AL309)*$C320</f>
        <v>0</v>
      </c>
      <c r="AN320" s="547"/>
      <c r="AO320" s="288"/>
      <c r="AP320" s="317">
        <f>-(AO300+AO301+AO305+AO302+AO306+AO304+AO303+AO304+AP317+AO308+AO309)*$C320</f>
        <v>0</v>
      </c>
      <c r="AQ320" s="547"/>
      <c r="AR320" s="288"/>
      <c r="AS320" s="317">
        <f>-(AR300+AR301+AR305+AR302+AR306+AR304+AR303+AR304+AS317+AR308+AR309)*$C320</f>
        <v>0</v>
      </c>
      <c r="AT320" s="547"/>
      <c r="AU320" s="342"/>
      <c r="AV320" s="28"/>
      <c r="AW320" s="28"/>
      <c r="AX320" s="342"/>
      <c r="AY320" s="28"/>
      <c r="AZ320" s="28"/>
      <c r="BA320" s="28"/>
      <c r="BB320" s="28"/>
      <c r="BC320" s="28"/>
      <c r="BD320" s="28"/>
      <c r="BE320" s="28"/>
      <c r="BF320" s="28"/>
      <c r="BG320" s="28"/>
      <c r="BH320" s="28"/>
      <c r="BI320" s="28"/>
      <c r="BJ320" s="28"/>
      <c r="BK320" s="28"/>
      <c r="BL320" s="28"/>
    </row>
    <row r="321" spans="1:64" ht="16.5" hidden="1" thickBot="1">
      <c r="A321" s="28"/>
      <c r="B321" s="318" t="s">
        <v>114</v>
      </c>
      <c r="C321" s="527">
        <f>C262</f>
        <v>0</v>
      </c>
      <c r="D321" s="291"/>
      <c r="E321" s="291"/>
      <c r="F321" s="306">
        <f>-(E300+E301+E305+E306+E302+E303+E304+F317+E308)*$C321</f>
        <v>0</v>
      </c>
      <c r="G321" s="519"/>
      <c r="H321" s="291"/>
      <c r="I321" s="306">
        <f>-(H300+H301+H305+H306+H302+H303+H304+I317+H308)*$C321</f>
        <v>0</v>
      </c>
      <c r="J321" s="519"/>
      <c r="K321" s="291"/>
      <c r="L321" s="306">
        <f>-(K300+K301+K305+K306+K302+K303+K304+L317+K308)*$C321</f>
        <v>0</v>
      </c>
      <c r="M321" s="519"/>
      <c r="N321" s="291"/>
      <c r="O321" s="306">
        <f>-(N300+N301+N305+N306+N302+N303+N304+O317+N308)*$C321</f>
        <v>0</v>
      </c>
      <c r="P321" s="519"/>
      <c r="Q321" s="291"/>
      <c r="R321" s="306">
        <f>-(Q300+Q301+Q305+Q306+Q302+Q303+Q304+R317+Q308)*$C321</f>
        <v>0</v>
      </c>
      <c r="S321" s="519"/>
      <c r="T321" s="291"/>
      <c r="U321" s="306">
        <f>-(T300+T301+T305+T306+T302+T303+T304+U317+T308)*$C321</f>
        <v>0</v>
      </c>
      <c r="V321" s="519"/>
      <c r="W321" s="291"/>
      <c r="X321" s="306">
        <f>-(W300+W301+W305+W306+W302+W303+W304+X317+W308)*$C321</f>
        <v>0</v>
      </c>
      <c r="Y321" s="519"/>
      <c r="Z321" s="291"/>
      <c r="AA321" s="306">
        <f>-(Z300+Z301+Z305+Z306+Z302+Z303+Z304+AA317+Z308)*$C321</f>
        <v>0</v>
      </c>
      <c r="AB321" s="519"/>
      <c r="AC321" s="291"/>
      <c r="AD321" s="306">
        <f>-(AC300+AC301+AC305+AC306+AC302+AC303+AC304+AD317+AC308)*$C321</f>
        <v>0</v>
      </c>
      <c r="AE321" s="519"/>
      <c r="AF321" s="291"/>
      <c r="AG321" s="306">
        <f>-(AF300+AF301+AF305+AF306+AF302+AF303+AF304+AG317+AF308)*$C321</f>
        <v>0</v>
      </c>
      <c r="AH321" s="519"/>
      <c r="AI321" s="291"/>
      <c r="AJ321" s="306">
        <f>-(AI300+AI301+AI305+AI306+AI302+AI303+AI304+AJ317+AI308)*$C321</f>
        <v>0</v>
      </c>
      <c r="AK321" s="806"/>
      <c r="AL321" s="291"/>
      <c r="AM321" s="306">
        <f>-(AL300+AL301+AL305+AL306+AL302+AL303+AL304+AM317+AL308)*$C321</f>
        <v>0</v>
      </c>
      <c r="AN321" s="519"/>
      <c r="AO321" s="291"/>
      <c r="AP321" s="306">
        <f>-(AO300+AO301+AO305+AO306+AO302+AO303+AO304+AP317+AO308)*$C321</f>
        <v>0</v>
      </c>
      <c r="AQ321" s="519"/>
      <c r="AR321" s="291"/>
      <c r="AS321" s="306">
        <f>-(AR300+AR301+AR305+AR306+AR302+AR303+AR304+AS317+AR308)*$C321</f>
        <v>0</v>
      </c>
      <c r="AT321" s="519"/>
      <c r="AU321" s="28"/>
      <c r="AV321" s="28"/>
      <c r="AW321" s="28"/>
      <c r="AX321" s="28"/>
      <c r="AY321" s="28"/>
      <c r="AZ321" s="28"/>
      <c r="BA321" s="28"/>
      <c r="BB321" s="28"/>
      <c r="BC321" s="28"/>
      <c r="BD321" s="28"/>
      <c r="BE321" s="28"/>
      <c r="BF321" s="28"/>
      <c r="BG321" s="28"/>
      <c r="BH321" s="28"/>
      <c r="BI321" s="28"/>
      <c r="BJ321" s="28"/>
      <c r="BK321" s="28"/>
      <c r="BL321" s="28"/>
    </row>
    <row r="322" spans="1:64" ht="16.5" hidden="1" thickBot="1">
      <c r="A322" s="28"/>
      <c r="B322" s="284"/>
      <c r="C322" s="284"/>
      <c r="D322" s="335" t="s">
        <v>115</v>
      </c>
      <c r="E322" s="284"/>
      <c r="F322" s="376">
        <f>SUM(F318:F321)</f>
        <v>-446527.77883266506</v>
      </c>
      <c r="G322" s="548"/>
      <c r="H322" s="284"/>
      <c r="I322" s="376">
        <f>SUM(I318:I321)</f>
        <v>-435981.34520260012</v>
      </c>
      <c r="J322" s="548"/>
      <c r="K322" s="284"/>
      <c r="L322" s="376">
        <f>SUM(L318:L321)</f>
        <v>-426853.66981251567</v>
      </c>
      <c r="M322" s="548"/>
      <c r="N322" s="284"/>
      <c r="O322" s="376">
        <f>SUM(O318:O321)</f>
        <v>-418519.70532591682</v>
      </c>
      <c r="P322" s="548"/>
      <c r="Q322" s="284"/>
      <c r="R322" s="376">
        <f>SUM(R318:R321)</f>
        <v>-410979.45174280362</v>
      </c>
      <c r="S322" s="548"/>
      <c r="T322" s="284"/>
      <c r="U322" s="376">
        <f>SUM(U318:U321)</f>
        <v>-404216.64918819041</v>
      </c>
      <c r="V322" s="548"/>
      <c r="W322" s="284"/>
      <c r="X322" s="376">
        <f>SUM(X318:X321)</f>
        <v>-398521.86598836293</v>
      </c>
      <c r="Y322" s="548"/>
      <c r="Z322" s="284"/>
      <c r="AA322" s="376">
        <f>SUM(AA318:AA321)</f>
        <v>-393183.04360094416</v>
      </c>
      <c r="AB322" s="548"/>
      <c r="AC322" s="284"/>
      <c r="AD322" s="376">
        <f>SUM(AD318:AD321)</f>
        <v>-383217.18142694182</v>
      </c>
      <c r="AE322" s="548"/>
      <c r="AF322" s="284"/>
      <c r="AG322" s="376">
        <f>SUM(AG318:AG321)</f>
        <v>-370047.94998922496</v>
      </c>
      <c r="AH322" s="548"/>
      <c r="AI322" s="284"/>
      <c r="AJ322" s="376">
        <f>SUM(AJ318:AJ321)</f>
        <v>-361881.40890088514</v>
      </c>
      <c r="AK322" s="806"/>
      <c r="AL322" s="284"/>
      <c r="AM322" s="376">
        <f>SUM(AM318:AM321)</f>
        <v>-347757.40890088514</v>
      </c>
      <c r="AN322" s="548"/>
      <c r="AO322" s="284"/>
      <c r="AP322" s="376">
        <f>SUM(AP318:AP321)</f>
        <v>-340271.43728070939</v>
      </c>
      <c r="AQ322" s="548"/>
      <c r="AR322" s="284"/>
      <c r="AS322" s="376">
        <f>SUM(AS318:AS321)</f>
        <v>-332066.20694381621</v>
      </c>
      <c r="AT322" s="548"/>
      <c r="AU322" s="33"/>
      <c r="AV322" s="33"/>
      <c r="AW322" s="28"/>
      <c r="AX322" s="33"/>
      <c r="AY322" s="33"/>
      <c r="AZ322" s="28"/>
      <c r="BA322" s="28"/>
      <c r="BB322" s="28"/>
      <c r="BC322" s="28"/>
      <c r="BD322" s="28"/>
      <c r="BE322" s="28"/>
      <c r="BF322" s="28"/>
      <c r="BG322" s="28"/>
      <c r="BH322" s="28"/>
      <c r="BI322" s="28"/>
      <c r="BJ322" s="28"/>
      <c r="BK322" s="28"/>
      <c r="BL322" s="28"/>
    </row>
    <row r="323" spans="1:64" ht="13.5" hidden="1" thickBot="1">
      <c r="A323" s="28"/>
      <c r="B323" s="317"/>
      <c r="C323" s="286"/>
      <c r="D323" s="286"/>
      <c r="E323" s="286"/>
      <c r="F323" s="286"/>
      <c r="G323" s="522"/>
      <c r="H323" s="286"/>
      <c r="I323" s="286"/>
      <c r="J323" s="522"/>
      <c r="K323" s="286"/>
      <c r="L323" s="286"/>
      <c r="M323" s="522"/>
      <c r="N323" s="286"/>
      <c r="O323" s="286"/>
      <c r="P323" s="522"/>
      <c r="Q323" s="286"/>
      <c r="R323" s="286"/>
      <c r="S323" s="522"/>
      <c r="T323" s="286"/>
      <c r="U323" s="286"/>
      <c r="V323" s="522"/>
      <c r="W323" s="286"/>
      <c r="X323" s="286"/>
      <c r="Y323" s="522"/>
      <c r="Z323" s="286"/>
      <c r="AA323" s="286"/>
      <c r="AB323" s="522"/>
      <c r="AC323" s="286"/>
      <c r="AD323" s="286"/>
      <c r="AE323" s="522"/>
      <c r="AF323" s="286"/>
      <c r="AG323" s="286"/>
      <c r="AH323" s="522"/>
      <c r="AI323" s="286"/>
      <c r="AJ323" s="286"/>
      <c r="AK323" s="522"/>
      <c r="AL323" s="286"/>
      <c r="AM323" s="286"/>
      <c r="AN323" s="522"/>
      <c r="AO323" s="286"/>
      <c r="AP323" s="286"/>
      <c r="AQ323" s="522"/>
      <c r="AR323" s="286"/>
      <c r="AS323" s="286"/>
      <c r="AT323" s="522"/>
      <c r="AU323" s="28"/>
      <c r="AV323" s="28"/>
      <c r="AW323" s="28"/>
      <c r="AX323" s="28"/>
      <c r="AY323" s="28"/>
      <c r="AZ323" s="28"/>
      <c r="BA323" s="28"/>
      <c r="BB323" s="28"/>
      <c r="BC323" s="28"/>
      <c r="BD323" s="28"/>
      <c r="BE323" s="28"/>
      <c r="BF323" s="28"/>
      <c r="BG323" s="28"/>
      <c r="BH323" s="28"/>
      <c r="BI323" s="28"/>
      <c r="BJ323" s="28"/>
      <c r="BK323" s="28"/>
      <c r="BL323" s="28"/>
    </row>
    <row r="324" spans="1:64" ht="24" hidden="1" thickBot="1">
      <c r="A324" s="28"/>
      <c r="B324" s="317"/>
      <c r="C324" s="286"/>
      <c r="D324" s="335"/>
      <c r="E324" s="335" t="s">
        <v>119</v>
      </c>
      <c r="F324" s="549">
        <f>E316+F322</f>
        <v>1711555.9409199944</v>
      </c>
      <c r="G324" s="548"/>
      <c r="H324" s="335" t="s">
        <v>119</v>
      </c>
      <c r="I324" s="549">
        <f>H316+I322</f>
        <v>1674164.0398679459</v>
      </c>
      <c r="J324" s="548"/>
      <c r="K324" s="335" t="s">
        <v>119</v>
      </c>
      <c r="L324" s="549">
        <f>K316+L322</f>
        <v>1641802.2816667377</v>
      </c>
      <c r="M324" s="548"/>
      <c r="N324" s="335" t="s">
        <v>119</v>
      </c>
      <c r="O324" s="549">
        <f>N316+O322</f>
        <v>1612254.5893960686</v>
      </c>
      <c r="P324" s="548"/>
      <c r="Q324" s="335" t="s">
        <v>119</v>
      </c>
      <c r="R324" s="549">
        <f>Q316+R322</f>
        <v>1585520.9630559399</v>
      </c>
      <c r="S324" s="548"/>
      <c r="T324" s="335" t="s">
        <v>119</v>
      </c>
      <c r="U324" s="549">
        <f>T316+U322</f>
        <v>1561543.7539986749</v>
      </c>
      <c r="V324" s="548"/>
      <c r="W324" s="335" t="s">
        <v>119</v>
      </c>
      <c r="X324" s="549">
        <f>W316+X322</f>
        <v>1541353.1590174683</v>
      </c>
      <c r="Y324" s="548"/>
      <c r="Z324" s="335" t="s">
        <v>119</v>
      </c>
      <c r="AA324" s="549">
        <f>Z316+AA322</f>
        <v>1522424.6069166202</v>
      </c>
      <c r="AB324" s="548"/>
      <c r="AC324" s="335" t="s">
        <v>119</v>
      </c>
      <c r="AD324" s="549">
        <f>AC316+AD322</f>
        <v>1487091.0955724299</v>
      </c>
      <c r="AE324" s="548"/>
      <c r="AF324" s="335" t="s">
        <v>119</v>
      </c>
      <c r="AG324" s="549">
        <f>AF316+AG322</f>
        <v>1440400.1841114338</v>
      </c>
      <c r="AH324" s="548"/>
      <c r="AI324" s="335" t="s">
        <v>119</v>
      </c>
      <c r="AJ324" s="549">
        <f>AI316+AJ322</f>
        <v>1411446.083889138</v>
      </c>
      <c r="AK324" s="548"/>
      <c r="AL324" s="335" t="s">
        <v>119</v>
      </c>
      <c r="AM324" s="549">
        <f>AL316+AM322</f>
        <v>1348958.0841031382</v>
      </c>
      <c r="AN324" s="548"/>
      <c r="AO324" s="335" t="s">
        <v>119</v>
      </c>
      <c r="AP324" s="549">
        <f>AO316+AP322</f>
        <v>1322416.9119952423</v>
      </c>
      <c r="AQ324" s="548"/>
      <c r="AR324" s="335" t="s">
        <v>119</v>
      </c>
      <c r="AS324" s="549">
        <f>AR316+AS322</f>
        <v>1293325.6408008032</v>
      </c>
      <c r="AT324" s="548"/>
      <c r="AU324" s="28"/>
      <c r="AV324" s="77"/>
      <c r="AW324" s="597"/>
      <c r="AX324" s="28"/>
      <c r="AY324" s="28"/>
      <c r="AZ324" s="28"/>
      <c r="BA324" s="28"/>
      <c r="BB324" s="28"/>
      <c r="BC324" s="28"/>
      <c r="BD324" s="28"/>
      <c r="BE324" s="28"/>
      <c r="BF324" s="28"/>
      <c r="BG324" s="28"/>
      <c r="BH324" s="28"/>
      <c r="BI324" s="28"/>
      <c r="BJ324" s="28"/>
    </row>
    <row r="325" spans="1:64" ht="24" hidden="1" thickBot="1">
      <c r="A325" s="28"/>
      <c r="B325" s="550"/>
      <c r="C325" s="286"/>
      <c r="D325" s="335"/>
      <c r="E325" s="335"/>
      <c r="F325" s="551"/>
      <c r="G325" s="548"/>
      <c r="H325" s="335"/>
      <c r="I325" s="551"/>
      <c r="J325" s="548"/>
      <c r="K325" s="335"/>
      <c r="L325" s="551"/>
      <c r="M325" s="548"/>
      <c r="N325" s="335"/>
      <c r="O325" s="551"/>
      <c r="P325" s="548"/>
      <c r="Q325" s="335"/>
      <c r="R325" s="551"/>
      <c r="S325" s="548"/>
      <c r="T325" s="335"/>
      <c r="U325" s="551"/>
      <c r="V325" s="548"/>
      <c r="W325" s="335"/>
      <c r="X325" s="551"/>
      <c r="Y325" s="548"/>
      <c r="Z325" s="335"/>
      <c r="AA325" s="551"/>
      <c r="AB325" s="548"/>
      <c r="AC325" s="335"/>
      <c r="AD325" s="551"/>
      <c r="AE325" s="548"/>
      <c r="AF325" s="335"/>
      <c r="AG325" s="551"/>
      <c r="AH325" s="548"/>
      <c r="AI325" s="335"/>
      <c r="AJ325" s="551"/>
      <c r="AK325" s="548"/>
      <c r="AL325" s="335"/>
      <c r="AM325" s="551"/>
      <c r="AN325" s="548"/>
      <c r="AO325" s="335"/>
      <c r="AP325" s="551"/>
      <c r="AQ325" s="548"/>
      <c r="AR325" s="335"/>
      <c r="AS325" s="551"/>
      <c r="AT325" s="548"/>
      <c r="AU325" s="77"/>
      <c r="AV325" s="597"/>
      <c r="AW325" s="28"/>
      <c r="AX325" s="77"/>
      <c r="AY325" s="597"/>
      <c r="AZ325" s="28"/>
      <c r="BA325" s="28"/>
      <c r="BB325" s="28"/>
      <c r="BC325" s="28"/>
      <c r="BD325" s="28"/>
      <c r="BE325" s="28"/>
      <c r="BF325" s="28"/>
      <c r="BG325" s="28"/>
      <c r="BH325" s="28"/>
      <c r="BI325" s="28"/>
      <c r="BJ325" s="28"/>
      <c r="BK325" s="28"/>
      <c r="BL325" s="28"/>
    </row>
    <row r="326" spans="1:64" ht="18.75" hidden="1" thickBot="1">
      <c r="A326" s="28"/>
      <c r="B326" s="331"/>
      <c r="C326" s="335"/>
      <c r="D326" s="552"/>
      <c r="E326" s="338" t="s">
        <v>121</v>
      </c>
      <c r="F326" s="339">
        <f>F324-I324</f>
        <v>37391.90105204843</v>
      </c>
      <c r="G326" s="553"/>
      <c r="H326" s="338" t="s">
        <v>121</v>
      </c>
      <c r="I326" s="339">
        <f>I324-L324</f>
        <v>32361.758201208198</v>
      </c>
      <c r="J326" s="553"/>
      <c r="K326" s="338" t="s">
        <v>121</v>
      </c>
      <c r="L326" s="339">
        <f>L324-O324</f>
        <v>29547.692270669155</v>
      </c>
      <c r="M326" s="553"/>
      <c r="N326" s="338" t="s">
        <v>121</v>
      </c>
      <c r="O326" s="339">
        <f>O324-R324</f>
        <v>26733.626340128714</v>
      </c>
      <c r="P326" s="553"/>
      <c r="Q326" s="338" t="s">
        <v>121</v>
      </c>
      <c r="R326" s="339">
        <f>R324-U324</f>
        <v>23977.209057264961</v>
      </c>
      <c r="S326" s="553"/>
      <c r="T326" s="338" t="s">
        <v>121</v>
      </c>
      <c r="U326" s="339">
        <f>U324-X324</f>
        <v>20190.594981206581</v>
      </c>
      <c r="V326" s="553"/>
      <c r="W326" s="338" t="s">
        <v>121</v>
      </c>
      <c r="X326" s="339">
        <f>X324-AA324</f>
        <v>18928.552100848174</v>
      </c>
      <c r="Y326" s="553"/>
      <c r="Z326" s="338" t="s">
        <v>121</v>
      </c>
      <c r="AA326" s="339">
        <f>AA324-AD324</f>
        <v>35333.511344190221</v>
      </c>
      <c r="AB326" s="553"/>
      <c r="AC326" s="338" t="s">
        <v>121</v>
      </c>
      <c r="AD326" s="339">
        <f>AD324-AG324</f>
        <v>46690.91146099614</v>
      </c>
      <c r="AE326" s="553"/>
      <c r="AF326" s="338" t="s">
        <v>121</v>
      </c>
      <c r="AG326" s="339">
        <f>AG324-AJ324</f>
        <v>28954.100222295849</v>
      </c>
      <c r="AH326" s="553"/>
      <c r="AI326" s="338" t="s">
        <v>121</v>
      </c>
      <c r="AJ326" s="339">
        <f>AJ324-AM324</f>
        <v>62487.999785999767</v>
      </c>
      <c r="AK326" s="553"/>
      <c r="AL326" s="338" t="s">
        <v>121</v>
      </c>
      <c r="AM326" s="339">
        <f>AM324-AP324</f>
        <v>26541.172107895836</v>
      </c>
      <c r="AN326" s="553"/>
      <c r="AO326" s="338" t="s">
        <v>121</v>
      </c>
      <c r="AP326" s="339">
        <f>AP324-AS324</f>
        <v>29091.271194439149</v>
      </c>
      <c r="AQ326" s="553"/>
      <c r="AR326" s="338" t="s">
        <v>121</v>
      </c>
      <c r="AS326" s="339"/>
      <c r="AT326" s="553"/>
      <c r="AU326" s="366"/>
      <c r="AV326" s="365"/>
      <c r="AW326" s="598"/>
      <c r="AX326" s="366"/>
      <c r="AY326" s="365"/>
      <c r="AZ326" s="598"/>
      <c r="BA326" s="28"/>
      <c r="BB326" s="28"/>
      <c r="BC326" s="28"/>
      <c r="BD326" s="28"/>
      <c r="BE326" s="28"/>
      <c r="BF326" s="28"/>
      <c r="BG326" s="28"/>
      <c r="BH326" s="28"/>
      <c r="BI326" s="28"/>
      <c r="BJ326" s="28"/>
      <c r="BK326" s="28"/>
      <c r="BL326" s="28"/>
    </row>
    <row r="327" spans="1:64" ht="18.75" hidden="1" thickBot="1">
      <c r="A327" s="28"/>
      <c r="B327" s="331"/>
      <c r="C327" s="335"/>
      <c r="D327" s="552"/>
      <c r="E327" s="338" t="s">
        <v>122</v>
      </c>
      <c r="F327" s="340">
        <f>F326/I324</f>
        <v>2.2334669818256169E-2</v>
      </c>
      <c r="G327" s="553"/>
      <c r="H327" s="338" t="s">
        <v>122</v>
      </c>
      <c r="I327" s="340">
        <f>I326/L324</f>
        <v>1.9711117813988498E-2</v>
      </c>
      <c r="J327" s="553"/>
      <c r="K327" s="338" t="s">
        <v>122</v>
      </c>
      <c r="L327" s="340">
        <f>L326/O324</f>
        <v>1.8326939470358319E-2</v>
      </c>
      <c r="M327" s="553"/>
      <c r="N327" s="338" t="s">
        <v>122</v>
      </c>
      <c r="O327" s="340">
        <f>O326/R324</f>
        <v>1.686109926203827E-2</v>
      </c>
      <c r="P327" s="553"/>
      <c r="Q327" s="338" t="s">
        <v>122</v>
      </c>
      <c r="R327" s="340">
        <f>R326/U324</f>
        <v>1.5354810901626076E-2</v>
      </c>
      <c r="S327" s="553"/>
      <c r="T327" s="338" t="s">
        <v>122</v>
      </c>
      <c r="U327" s="340">
        <f>U326/X324</f>
        <v>1.3099265968402092E-2</v>
      </c>
      <c r="V327" s="553"/>
      <c r="W327" s="338" t="s">
        <v>122</v>
      </c>
      <c r="X327" s="340">
        <f>X326/AA324</f>
        <v>1.2433162216935219E-2</v>
      </c>
      <c r="Y327" s="553"/>
      <c r="Z327" s="338" t="s">
        <v>122</v>
      </c>
      <c r="AA327" s="340">
        <f>AA326/AD324</f>
        <v>2.3760152588762021E-2</v>
      </c>
      <c r="AB327" s="553"/>
      <c r="AC327" s="338" t="s">
        <v>122</v>
      </c>
      <c r="AD327" s="340">
        <f>AD326/AG324</f>
        <v>3.241523569354389E-2</v>
      </c>
      <c r="AE327" s="553"/>
      <c r="AF327" s="338" t="s">
        <v>122</v>
      </c>
      <c r="AG327" s="340">
        <f>AG326/AJ324</f>
        <v>2.0513784091925717E-2</v>
      </c>
      <c r="AH327" s="553"/>
      <c r="AI327" s="338" t="s">
        <v>122</v>
      </c>
      <c r="AJ327" s="340">
        <f>AJ326/AM324</f>
        <v>4.6323158979061411E-2</v>
      </c>
      <c r="AK327" s="553"/>
      <c r="AL327" s="338" t="s">
        <v>122</v>
      </c>
      <c r="AM327" s="340">
        <f>AM326/AP324</f>
        <v>2.0070200151819689E-2</v>
      </c>
      <c r="AN327" s="553"/>
      <c r="AO327" s="338" t="s">
        <v>122</v>
      </c>
      <c r="AP327" s="340">
        <f>AP326/AS324</f>
        <v>2.2493384710463464E-2</v>
      </c>
      <c r="AQ327" s="553"/>
      <c r="AR327" s="338" t="s">
        <v>122</v>
      </c>
      <c r="AS327" s="340"/>
      <c r="AT327" s="553"/>
      <c r="AU327" s="366"/>
      <c r="AV327" s="365"/>
      <c r="AW327" s="598"/>
      <c r="AX327" s="366"/>
      <c r="AY327" s="365"/>
      <c r="AZ327" s="598"/>
      <c r="BA327" s="28"/>
      <c r="BB327" s="28"/>
      <c r="BC327" s="28"/>
      <c r="BD327" s="28"/>
      <c r="BE327" s="28"/>
      <c r="BF327" s="28"/>
      <c r="BG327" s="28"/>
      <c r="BH327" s="28"/>
      <c r="BI327" s="28"/>
      <c r="BJ327" s="28"/>
      <c r="BK327" s="28"/>
      <c r="BL327" s="28"/>
    </row>
    <row r="328" spans="1:64" s="13" customFormat="1" ht="18.75" hidden="1" thickBot="1">
      <c r="A328" s="30"/>
      <c r="B328" s="554"/>
      <c r="C328" s="555"/>
      <c r="D328" s="556"/>
      <c r="E328" s="368"/>
      <c r="F328" s="453"/>
      <c r="G328" s="556"/>
      <c r="H328" s="368"/>
      <c r="I328" s="453"/>
      <c r="J328" s="556"/>
      <c r="K328" s="368"/>
      <c r="L328" s="453"/>
      <c r="M328" s="556"/>
      <c r="N328" s="368"/>
      <c r="O328" s="453"/>
      <c r="P328" s="556"/>
      <c r="Q328" s="368"/>
      <c r="R328" s="453"/>
      <c r="S328" s="556"/>
      <c r="T328" s="368"/>
      <c r="U328" s="453"/>
      <c r="V328" s="556"/>
      <c r="W328" s="368"/>
      <c r="X328" s="453"/>
      <c r="Y328" s="556"/>
      <c r="Z328" s="368"/>
      <c r="AA328" s="453"/>
      <c r="AB328" s="556"/>
      <c r="AC328" s="368"/>
      <c r="AD328" s="453"/>
      <c r="AE328" s="556"/>
      <c r="AF328" s="368"/>
      <c r="AG328" s="453"/>
      <c r="AH328" s="556"/>
      <c r="AI328" s="368"/>
      <c r="AJ328" s="453"/>
      <c r="AK328" s="556"/>
      <c r="AL328" s="368"/>
      <c r="AM328" s="453"/>
      <c r="AN328" s="556"/>
      <c r="AO328" s="368"/>
      <c r="AP328" s="453"/>
      <c r="AQ328" s="556"/>
      <c r="AR328" s="368"/>
      <c r="AS328" s="453"/>
      <c r="AT328" s="556"/>
      <c r="AU328" s="456"/>
      <c r="AV328" s="455"/>
      <c r="AW328" s="599"/>
      <c r="AX328" s="456"/>
      <c r="AY328" s="455"/>
      <c r="AZ328" s="599"/>
      <c r="BA328" s="30"/>
      <c r="BB328" s="30"/>
      <c r="BC328" s="30"/>
      <c r="BD328" s="30"/>
      <c r="BE328" s="30"/>
      <c r="BF328" s="30"/>
      <c r="BG328" s="30"/>
      <c r="BH328" s="30"/>
      <c r="BI328" s="30"/>
      <c r="BJ328" s="30"/>
      <c r="BK328" s="30"/>
      <c r="BL328" s="30"/>
    </row>
    <row r="329" spans="1:64" ht="18.75" hidden="1" thickBot="1">
      <c r="A329" s="28"/>
      <c r="B329" s="331"/>
      <c r="C329" s="335"/>
      <c r="D329" s="552"/>
      <c r="E329" s="372" t="s">
        <v>187</v>
      </c>
      <c r="F329" s="373">
        <f>F324-$AS324</f>
        <v>418230.30011919118</v>
      </c>
      <c r="G329" s="326"/>
      <c r="H329" s="372" t="s">
        <v>187</v>
      </c>
      <c r="I329" s="373">
        <f>I324-$AS324</f>
        <v>380838.39906714275</v>
      </c>
      <c r="J329" s="326"/>
      <c r="K329" s="372" t="s">
        <v>187</v>
      </c>
      <c r="L329" s="373">
        <f>L324-$AS324</f>
        <v>348476.64086593455</v>
      </c>
      <c r="M329" s="326"/>
      <c r="N329" s="372" t="s">
        <v>187</v>
      </c>
      <c r="O329" s="373">
        <f>O324-$AS324</f>
        <v>318928.94859526539</v>
      </c>
      <c r="P329" s="326"/>
      <c r="Q329" s="372" t="s">
        <v>187</v>
      </c>
      <c r="R329" s="373">
        <f>R324-$AS324</f>
        <v>292195.32225513668</v>
      </c>
      <c r="S329" s="326"/>
      <c r="T329" s="372" t="s">
        <v>187</v>
      </c>
      <c r="U329" s="373">
        <f>U324-$AS324</f>
        <v>268218.11319787172</v>
      </c>
      <c r="V329" s="326"/>
      <c r="W329" s="372" t="s">
        <v>187</v>
      </c>
      <c r="X329" s="373">
        <f>X324-$AS324</f>
        <v>248027.51821666514</v>
      </c>
      <c r="Y329" s="326"/>
      <c r="Z329" s="372" t="s">
        <v>187</v>
      </c>
      <c r="AA329" s="373">
        <f>AA324-$AS324</f>
        <v>229098.96611581696</v>
      </c>
      <c r="AB329" s="326"/>
      <c r="AC329" s="372" t="s">
        <v>187</v>
      </c>
      <c r="AD329" s="373">
        <f>AD324-$AS324</f>
        <v>193765.45477162674</v>
      </c>
      <c r="AE329" s="326"/>
      <c r="AF329" s="372" t="s">
        <v>187</v>
      </c>
      <c r="AG329" s="373">
        <f>AG324-$AS324</f>
        <v>147074.5433106306</v>
      </c>
      <c r="AH329" s="326"/>
      <c r="AI329" s="372" t="s">
        <v>187</v>
      </c>
      <c r="AJ329" s="373">
        <f>AJ324-$AS324</f>
        <v>118120.44308833475</v>
      </c>
      <c r="AK329" s="326"/>
      <c r="AL329" s="372" t="s">
        <v>187</v>
      </c>
      <c r="AM329" s="373">
        <f>AM324-$AS324</f>
        <v>55632.443302334985</v>
      </c>
      <c r="AN329" s="326"/>
      <c r="AO329" s="372" t="s">
        <v>187</v>
      </c>
      <c r="AP329" s="373">
        <f>AP324-$AS324</f>
        <v>29091.271194439149</v>
      </c>
      <c r="AQ329" s="326"/>
      <c r="AR329" s="372" t="s">
        <v>71</v>
      </c>
      <c r="AS329" s="373"/>
      <c r="AT329" s="326"/>
      <c r="AU329" s="366"/>
      <c r="AV329" s="365"/>
      <c r="AW329" s="598"/>
      <c r="AX329" s="366"/>
      <c r="AY329" s="365"/>
      <c r="AZ329" s="598"/>
      <c r="BA329" s="28"/>
      <c r="BB329" s="28"/>
      <c r="BC329" s="28"/>
      <c r="BD329" s="28"/>
      <c r="BE329" s="28"/>
      <c r="BF329" s="28"/>
      <c r="BG329" s="28"/>
      <c r="BH329" s="28"/>
      <c r="BI329" s="28"/>
      <c r="BJ329" s="28"/>
      <c r="BK329" s="28"/>
      <c r="BL329" s="28"/>
    </row>
    <row r="330" spans="1:64" ht="18.75" hidden="1" thickBot="1">
      <c r="A330" s="28"/>
      <c r="B330" s="331"/>
      <c r="C330" s="335"/>
      <c r="D330" s="552"/>
      <c r="E330" s="372" t="s">
        <v>125</v>
      </c>
      <c r="F330" s="458">
        <f>F329/$AS324</f>
        <v>0.32337586677724162</v>
      </c>
      <c r="G330" s="326"/>
      <c r="H330" s="372" t="s">
        <v>125</v>
      </c>
      <c r="I330" s="458">
        <f>I329/$AS324</f>
        <v>0.29446443111677173</v>
      </c>
      <c r="J330" s="326"/>
      <c r="K330" s="372" t="s">
        <v>125</v>
      </c>
      <c r="L330" s="458">
        <f>L329/$AS324</f>
        <v>0.26944230429867938</v>
      </c>
      <c r="M330" s="326"/>
      <c r="N330" s="372" t="s">
        <v>125</v>
      </c>
      <c r="O330" s="458">
        <f>O329/$AS324</f>
        <v>0.24659601459520319</v>
      </c>
      <c r="P330" s="326"/>
      <c r="Q330" s="372" t="s">
        <v>125</v>
      </c>
      <c r="R330" s="458">
        <f>R329/$AS324</f>
        <v>0.22592556200634417</v>
      </c>
      <c r="S330" s="326"/>
      <c r="T330" s="372" t="s">
        <v>125</v>
      </c>
      <c r="U330" s="458">
        <f>U329/$AS324</f>
        <v>0.20738637257032655</v>
      </c>
      <c r="V330" s="326"/>
      <c r="W330" s="372" t="s">
        <v>125</v>
      </c>
      <c r="X330" s="458">
        <f>X329/$AS324</f>
        <v>0.19177499493715372</v>
      </c>
      <c r="Y330" s="326"/>
      <c r="Z330" s="372" t="s">
        <v>125</v>
      </c>
      <c r="AA330" s="458">
        <f>AA329/$AS324</f>
        <v>0.17713942945874261</v>
      </c>
      <c r="AB330" s="326"/>
      <c r="AC330" s="372" t="s">
        <v>125</v>
      </c>
      <c r="AD330" s="458">
        <f>AD329/$AS324</f>
        <v>0.14981954169844708</v>
      </c>
      <c r="AE330" s="326"/>
      <c r="AF330" s="372" t="s">
        <v>125</v>
      </c>
      <c r="AG330" s="458">
        <f>AG329/$AS324</f>
        <v>0.1137181067712883</v>
      </c>
      <c r="AH330" s="326"/>
      <c r="AI330" s="372" t="s">
        <v>125</v>
      </c>
      <c r="AJ330" s="458">
        <f>AJ329/$AS324</f>
        <v>9.1330782721663797E-2</v>
      </c>
      <c r="AK330" s="326"/>
      <c r="AL330" s="372" t="s">
        <v>125</v>
      </c>
      <c r="AM330" s="458">
        <f>AM329/$AS324</f>
        <v>4.3015031595514036E-2</v>
      </c>
      <c r="AN330" s="326"/>
      <c r="AO330" s="372" t="s">
        <v>125</v>
      </c>
      <c r="AP330" s="458">
        <f>AP329/$AS324</f>
        <v>2.2493384710463464E-2</v>
      </c>
      <c r="AQ330" s="326"/>
      <c r="AR330" s="372" t="s">
        <v>125</v>
      </c>
      <c r="AS330" s="458"/>
      <c r="AT330" s="326"/>
      <c r="AU330" s="366"/>
      <c r="AV330" s="365"/>
      <c r="AW330" s="598"/>
      <c r="AX330" s="366"/>
      <c r="AY330" s="365"/>
      <c r="AZ330" s="598"/>
      <c r="BA330" s="28"/>
      <c r="BB330" s="28"/>
      <c r="BC330" s="28"/>
      <c r="BD330" s="28"/>
      <c r="BE330" s="28"/>
      <c r="BF330" s="28"/>
      <c r="BG330" s="28"/>
      <c r="BH330" s="28"/>
      <c r="BI330" s="28"/>
      <c r="BJ330" s="28"/>
      <c r="BK330" s="28"/>
      <c r="BL330" s="28"/>
    </row>
    <row r="331" spans="1:64" ht="18.75" hidden="1" thickBot="1">
      <c r="A331" s="28"/>
      <c r="B331" s="331"/>
      <c r="C331" s="335"/>
      <c r="D331" s="552"/>
      <c r="E331" s="286"/>
      <c r="F331" s="286"/>
      <c r="G331" s="553"/>
      <c r="H331" s="286"/>
      <c r="I331" s="286"/>
      <c r="J331" s="553"/>
      <c r="K331" s="286"/>
      <c r="L331" s="286"/>
      <c r="M331" s="553"/>
      <c r="N331" s="286"/>
      <c r="O331" s="286"/>
      <c r="P331" s="553"/>
      <c r="Q331" s="286"/>
      <c r="R331" s="286"/>
      <c r="S331" s="553"/>
      <c r="T331" s="286"/>
      <c r="U331" s="286"/>
      <c r="V331" s="553"/>
      <c r="W331" s="286"/>
      <c r="X331" s="286"/>
      <c r="Y331" s="553"/>
      <c r="Z331" s="286"/>
      <c r="AA331" s="286"/>
      <c r="AB331" s="553"/>
      <c r="AC331" s="286"/>
      <c r="AD331" s="286"/>
      <c r="AE331" s="553"/>
      <c r="AF331" s="286"/>
      <c r="AG331" s="286"/>
      <c r="AH331" s="553"/>
      <c r="AI331" s="286"/>
      <c r="AJ331" s="286"/>
      <c r="AK331" s="553"/>
      <c r="AL331" s="286"/>
      <c r="AM331" s="286"/>
      <c r="AN331" s="553"/>
      <c r="AO331" s="286"/>
      <c r="AP331" s="286"/>
      <c r="AQ331" s="553"/>
      <c r="AR331" s="286"/>
      <c r="AS331" s="286"/>
      <c r="AT331" s="553"/>
      <c r="AU331" s="366"/>
      <c r="AV331" s="365"/>
      <c r="AW331" s="598"/>
      <c r="AX331" s="366"/>
      <c r="AY331" s="365"/>
      <c r="AZ331" s="598"/>
      <c r="BA331" s="28"/>
      <c r="BB331" s="28"/>
      <c r="BC331" s="28"/>
      <c r="BD331" s="28"/>
      <c r="BE331" s="28"/>
      <c r="BF331" s="28"/>
      <c r="BG331" s="28"/>
      <c r="BH331" s="28"/>
      <c r="BI331" s="28"/>
      <c r="BJ331" s="28"/>
      <c r="BK331" s="28"/>
      <c r="BL331" s="28"/>
    </row>
    <row r="332" spans="1:64" ht="18.75" hidden="1" thickBot="1">
      <c r="A332" s="28"/>
      <c r="B332" s="331"/>
      <c r="C332" s="335"/>
      <c r="D332" s="552"/>
      <c r="E332" s="267" t="s">
        <v>123</v>
      </c>
      <c r="F332" s="373">
        <f>(F324-E313-E314)-(I324-H313-H314)</f>
        <v>37391.90105204843</v>
      </c>
      <c r="G332" s="326"/>
      <c r="H332" s="267" t="s">
        <v>123</v>
      </c>
      <c r="I332" s="373">
        <f>(I324-H313-H314)-(L324-K313-K314)</f>
        <v>32361.758201208198</v>
      </c>
      <c r="J332" s="326"/>
      <c r="K332" s="267" t="s">
        <v>123</v>
      </c>
      <c r="L332" s="373">
        <f>(L324-K313-K314)-(O324-N313-N314)</f>
        <v>29547.692270669155</v>
      </c>
      <c r="M332" s="326"/>
      <c r="N332" s="267" t="s">
        <v>123</v>
      </c>
      <c r="O332" s="373">
        <f>(O324-N313-N314)-(R324-Q313-Q314)</f>
        <v>26733.626340128714</v>
      </c>
      <c r="P332" s="326"/>
      <c r="Q332" s="267" t="s">
        <v>123</v>
      </c>
      <c r="R332" s="373">
        <f>(R324-Q313-Q314)-(U324-T313-T314)</f>
        <v>23977.209057264961</v>
      </c>
      <c r="S332" s="326"/>
      <c r="T332" s="267" t="s">
        <v>123</v>
      </c>
      <c r="U332" s="373">
        <f>(U324-T313-T314)-(X324-W313-W314)</f>
        <v>20190.594981206581</v>
      </c>
      <c r="V332" s="326"/>
      <c r="W332" s="267" t="s">
        <v>123</v>
      </c>
      <c r="X332" s="373">
        <f>(X324-W313-W314)-(AA324-Z313-Z314)</f>
        <v>18928.552100848174</v>
      </c>
      <c r="Y332" s="326"/>
      <c r="Z332" s="267" t="s">
        <v>123</v>
      </c>
      <c r="AA332" s="373">
        <f>(AA324-Z313-Z314)-(AD324-AC313-AC314)</f>
        <v>35333.511344190221</v>
      </c>
      <c r="AB332" s="326"/>
      <c r="AC332" s="267" t="s">
        <v>123</v>
      </c>
      <c r="AD332" s="373">
        <f>(AD324-AC313-AC314)-(AG324-AF313-AF314)</f>
        <v>46690.91146099614</v>
      </c>
      <c r="AE332" s="326"/>
      <c r="AF332" s="267" t="s">
        <v>123</v>
      </c>
      <c r="AG332" s="373">
        <f>(AG324-AF313-AF314)-(AJ324-AI313-AI314)</f>
        <v>28954.100222295849</v>
      </c>
      <c r="AH332" s="326"/>
      <c r="AI332" s="267" t="s">
        <v>123</v>
      </c>
      <c r="AJ332" s="373">
        <f>(AJ324-AI313-AI314)-(AM324-AL313-AL314)</f>
        <v>50076</v>
      </c>
      <c r="AK332" s="326"/>
      <c r="AL332" s="267" t="s">
        <v>123</v>
      </c>
      <c r="AM332" s="373">
        <f>(AM324-AL313-AL314)-(AP324-AO313-AO314)</f>
        <v>26541.172107895836</v>
      </c>
      <c r="AN332" s="326"/>
      <c r="AO332" s="267" t="s">
        <v>123</v>
      </c>
      <c r="AP332" s="373">
        <f>(AP324-AO313-AO314)-(AS324-AR313-AR314)</f>
        <v>29091.271194439149</v>
      </c>
      <c r="AQ332" s="326"/>
      <c r="AR332" s="267" t="s">
        <v>116</v>
      </c>
      <c r="AS332" s="373"/>
      <c r="AT332" s="326"/>
      <c r="AU332" s="366"/>
      <c r="AV332" s="365"/>
      <c r="AW332" s="598"/>
      <c r="AX332" s="366"/>
      <c r="AY332" s="365"/>
      <c r="AZ332" s="598"/>
      <c r="BA332" s="28"/>
      <c r="BB332" s="28"/>
      <c r="BC332" s="28"/>
      <c r="BD332" s="28"/>
      <c r="BE332" s="28"/>
      <c r="BF332" s="28"/>
      <c r="BG332" s="28"/>
      <c r="BH332" s="28"/>
      <c r="BI332" s="28"/>
      <c r="BJ332" s="28"/>
      <c r="BK332" s="28"/>
      <c r="BL332" s="28"/>
    </row>
    <row r="333" spans="1:64" ht="18.75" hidden="1" thickBot="1">
      <c r="A333" s="28"/>
      <c r="B333" s="331"/>
      <c r="C333" s="335"/>
      <c r="D333" s="552"/>
      <c r="E333" s="269" t="s">
        <v>124</v>
      </c>
      <c r="F333" s="458">
        <f>F332/(I324-H313-H314)</f>
        <v>2.4190102962235741E-2</v>
      </c>
      <c r="G333" s="326"/>
      <c r="H333" s="269" t="s">
        <v>124</v>
      </c>
      <c r="I333" s="458">
        <f>I332/(L324-K313-K314)</f>
        <v>2.1383616999458982E-2</v>
      </c>
      <c r="J333" s="326"/>
      <c r="K333" s="269" t="s">
        <v>124</v>
      </c>
      <c r="L333" s="458">
        <f>L332/(O324-N313-N314)</f>
        <v>1.9912956022247567E-2</v>
      </c>
      <c r="M333" s="326"/>
      <c r="N333" s="269" t="s">
        <v>124</v>
      </c>
      <c r="O333" s="458">
        <f>O332/(R324-Q313-Q314)</f>
        <v>1.8347033047851791E-2</v>
      </c>
      <c r="P333" s="326"/>
      <c r="Q333" s="269" t="s">
        <v>124</v>
      </c>
      <c r="R333" s="458">
        <f>R332/(U324-T313-T314)</f>
        <v>1.6730638305461409E-2</v>
      </c>
      <c r="S333" s="326"/>
      <c r="T333" s="269" t="s">
        <v>124</v>
      </c>
      <c r="U333" s="458">
        <f>U332/(X324-W313-W314)</f>
        <v>1.4289763463051205E-2</v>
      </c>
      <c r="V333" s="326"/>
      <c r="W333" s="269" t="s">
        <v>124</v>
      </c>
      <c r="X333" s="458">
        <f>X332/(AA324-Z313-Z314)</f>
        <v>1.3578465486515949E-2</v>
      </c>
      <c r="Y333" s="326"/>
      <c r="Z333" s="269" t="s">
        <v>124</v>
      </c>
      <c r="AA333" s="458">
        <f>AA332/(AD324-AC313-AC314)</f>
        <v>2.6005781204521242E-2</v>
      </c>
      <c r="AB333" s="326"/>
      <c r="AC333" s="269" t="s">
        <v>124</v>
      </c>
      <c r="AD333" s="458">
        <f>AD332/(AG324-AF313-AF314)</f>
        <v>3.5587905400098339E-2</v>
      </c>
      <c r="AE333" s="326"/>
      <c r="AF333" s="269" t="s">
        <v>124</v>
      </c>
      <c r="AG333" s="458">
        <f>AG332/(AJ324-AI313-AI314)</f>
        <v>2.2566898678612612E-2</v>
      </c>
      <c r="AH333" s="326"/>
      <c r="AI333" s="269" t="s">
        <v>124</v>
      </c>
      <c r="AJ333" s="458">
        <f>AJ332/(AM324-AL313-AL314)</f>
        <v>4.0614519312873951E-2</v>
      </c>
      <c r="AK333" s="326"/>
      <c r="AL333" s="269" t="s">
        <v>124</v>
      </c>
      <c r="AM333" s="458">
        <f>AM332/(AP324-AO313-AO314)</f>
        <v>2.2000000000000422E-2</v>
      </c>
      <c r="AN333" s="326"/>
      <c r="AO333" s="269" t="s">
        <v>124</v>
      </c>
      <c r="AP333" s="458">
        <f>AP332/(AS324-AR313-AR314)</f>
        <v>2.4709621651688791E-2</v>
      </c>
      <c r="AQ333" s="326"/>
      <c r="AR333" s="269" t="s">
        <v>117</v>
      </c>
      <c r="AS333" s="458"/>
      <c r="AT333" s="326"/>
      <c r="AU333" s="366"/>
      <c r="AV333" s="365"/>
      <c r="AW333" s="598"/>
      <c r="AX333" s="366"/>
      <c r="AY333" s="365"/>
      <c r="AZ333" s="598"/>
      <c r="BA333" s="28"/>
      <c r="BB333" s="28"/>
      <c r="BC333" s="28"/>
      <c r="BD333" s="28"/>
      <c r="BE333" s="28"/>
      <c r="BF333" s="28"/>
      <c r="BG333" s="28"/>
      <c r="BH333" s="28"/>
      <c r="BI333" s="28"/>
      <c r="BJ333" s="28"/>
      <c r="BK333" s="28"/>
      <c r="BL333" s="28"/>
    </row>
    <row r="334" spans="1:64" ht="18.75" hidden="1" thickBot="1">
      <c r="A334" s="28"/>
      <c r="B334" s="331"/>
      <c r="C334" s="335"/>
      <c r="D334" s="552"/>
      <c r="E334" s="377"/>
      <c r="F334" s="557"/>
      <c r="G334" s="553"/>
      <c r="H334" s="377"/>
      <c r="I334" s="557"/>
      <c r="J334" s="553"/>
      <c r="K334" s="377"/>
      <c r="L334" s="557"/>
      <c r="M334" s="553"/>
      <c r="N334" s="377"/>
      <c r="O334" s="557"/>
      <c r="P334" s="553"/>
      <c r="Q334" s="377"/>
      <c r="R334" s="557"/>
      <c r="S334" s="553"/>
      <c r="T334" s="377"/>
      <c r="U334" s="557"/>
      <c r="V334" s="553"/>
      <c r="W334" s="377"/>
      <c r="X334" s="557"/>
      <c r="Y334" s="553"/>
      <c r="Z334" s="377"/>
      <c r="AA334" s="557"/>
      <c r="AB334" s="553"/>
      <c r="AC334" s="377"/>
      <c r="AD334" s="557"/>
      <c r="AE334" s="553"/>
      <c r="AF334" s="377"/>
      <c r="AG334" s="557"/>
      <c r="AH334" s="553"/>
      <c r="AI334" s="377"/>
      <c r="AJ334" s="557"/>
      <c r="AK334" s="553"/>
      <c r="AL334" s="377"/>
      <c r="AM334" s="557"/>
      <c r="AN334" s="553"/>
      <c r="AO334" s="377"/>
      <c r="AP334" s="557"/>
      <c r="AQ334" s="553"/>
      <c r="AR334" s="377"/>
      <c r="AS334" s="557"/>
      <c r="AT334" s="553"/>
      <c r="AU334" s="366"/>
      <c r="AV334" s="365"/>
      <c r="AW334" s="598"/>
      <c r="AX334" s="366"/>
      <c r="AY334" s="365"/>
      <c r="AZ334" s="598"/>
      <c r="BA334" s="28"/>
      <c r="BB334" s="28"/>
      <c r="BC334" s="28"/>
      <c r="BD334" s="28"/>
      <c r="BE334" s="28"/>
      <c r="BF334" s="28"/>
      <c r="BG334" s="28"/>
      <c r="BH334" s="28"/>
      <c r="BI334" s="28"/>
      <c r="BJ334" s="28"/>
      <c r="BK334" s="28"/>
      <c r="BL334" s="28"/>
    </row>
    <row r="335" spans="1:64" ht="18.75" hidden="1" thickBot="1">
      <c r="A335" s="28"/>
      <c r="B335" s="331"/>
      <c r="C335" s="335"/>
      <c r="D335" s="552"/>
      <c r="E335" s="335" t="s">
        <v>127</v>
      </c>
      <c r="F335" s="337"/>
      <c r="G335" s="553"/>
      <c r="H335" s="335" t="s">
        <v>127</v>
      </c>
      <c r="I335" s="337"/>
      <c r="J335" s="553"/>
      <c r="K335" s="335" t="s">
        <v>127</v>
      </c>
      <c r="L335" s="337"/>
      <c r="M335" s="553"/>
      <c r="N335" s="335" t="s">
        <v>127</v>
      </c>
      <c r="O335" s="337"/>
      <c r="P335" s="553"/>
      <c r="Q335" s="335" t="s">
        <v>127</v>
      </c>
      <c r="R335" s="337"/>
      <c r="S335" s="553"/>
      <c r="T335" s="335" t="s">
        <v>127</v>
      </c>
      <c r="U335" s="337"/>
      <c r="V335" s="553"/>
      <c r="W335" s="335" t="s">
        <v>127</v>
      </c>
      <c r="X335" s="337"/>
      <c r="Y335" s="553"/>
      <c r="Z335" s="335" t="s">
        <v>127</v>
      </c>
      <c r="AA335" s="337"/>
      <c r="AB335" s="553"/>
      <c r="AC335" s="335" t="s">
        <v>127</v>
      </c>
      <c r="AD335" s="337"/>
      <c r="AE335" s="553"/>
      <c r="AF335" s="335" t="s">
        <v>127</v>
      </c>
      <c r="AG335" s="337"/>
      <c r="AH335" s="553"/>
      <c r="AI335" s="335" t="s">
        <v>127</v>
      </c>
      <c r="AJ335" s="337"/>
      <c r="AK335" s="553"/>
      <c r="AL335" s="335" t="s">
        <v>127</v>
      </c>
      <c r="AM335" s="337"/>
      <c r="AN335" s="553"/>
      <c r="AO335" s="335" t="s">
        <v>127</v>
      </c>
      <c r="AP335" s="337"/>
      <c r="AQ335" s="553"/>
      <c r="AR335" s="335" t="s">
        <v>127</v>
      </c>
      <c r="AS335" s="337"/>
      <c r="AT335" s="553"/>
      <c r="AU335" s="366"/>
      <c r="AV335" s="365"/>
      <c r="AW335" s="598"/>
      <c r="AX335" s="366"/>
      <c r="AY335" s="365"/>
      <c r="AZ335" s="598"/>
      <c r="BA335" s="28"/>
      <c r="BB335" s="28"/>
      <c r="BC335" s="28"/>
      <c r="BD335" s="28"/>
      <c r="BE335" s="28"/>
      <c r="BF335" s="28"/>
      <c r="BG335" s="28"/>
      <c r="BH335" s="28"/>
      <c r="BI335" s="28"/>
      <c r="BJ335" s="28"/>
      <c r="BK335" s="28"/>
      <c r="BL335" s="28"/>
    </row>
    <row r="336" spans="1:64" ht="18.75" hidden="1" thickBot="1">
      <c r="A336" s="28"/>
      <c r="B336" s="331"/>
      <c r="C336" s="335"/>
      <c r="D336" s="552"/>
      <c r="E336" s="284" t="s">
        <v>128</v>
      </c>
      <c r="F336" s="375">
        <f>(E300+E301+E302+E303+E304+E305+E306+E308+E309+E310)*0.5</f>
        <v>1014835.8609833297</v>
      </c>
      <c r="G336" s="553"/>
      <c r="H336" s="284" t="s">
        <v>128</v>
      </c>
      <c r="I336" s="375">
        <f>(H300+H301+H302+H303+H304+H305+H306+H308+H309+H310)*0.5</f>
        <v>990866.69364227296</v>
      </c>
      <c r="J336" s="553"/>
      <c r="K336" s="284" t="s">
        <v>128</v>
      </c>
      <c r="L336" s="375">
        <f>(K300+K301+K302+K303+K304+K305+K306+K308+K309+K310)*0.5</f>
        <v>970121.97684662673</v>
      </c>
      <c r="M336" s="553"/>
      <c r="N336" s="284" t="s">
        <v>128</v>
      </c>
      <c r="O336" s="375">
        <f>(N300+N301+N302+N303+N304+N305+N306+N308+N309+N310)*0.5</f>
        <v>951181.14846799278</v>
      </c>
      <c r="P336" s="553"/>
      <c r="Q336" s="284" t="s">
        <v>128</v>
      </c>
      <c r="R336" s="375">
        <f>(Q300+Q301+Q302+Q303+Q304+Q305+Q306+Q308+Q309+Q310)*0.5</f>
        <v>934044.20850637183</v>
      </c>
      <c r="S336" s="553"/>
      <c r="T336" s="284" t="s">
        <v>128</v>
      </c>
      <c r="U336" s="375">
        <f>(T300+T301+T302+T303+T304+T305+T306+T308+T309+T310)*0.5</f>
        <v>918674.20270043274</v>
      </c>
      <c r="V336" s="553"/>
      <c r="W336" s="284" t="s">
        <v>128</v>
      </c>
      <c r="X336" s="375">
        <f>(W300+W301+W302+W303+W304+W305+W306+W308+W309+W310)*0.5</f>
        <v>905731.51360991574</v>
      </c>
      <c r="Y336" s="553"/>
      <c r="Z336" s="284" t="s">
        <v>128</v>
      </c>
      <c r="AA336" s="375">
        <f>(Z300+Z301+Z302+Z303+Z304+Z305+Z306+Z308+Z309+Z310)*0.5</f>
        <v>893597.82636578218</v>
      </c>
      <c r="AB336" s="553"/>
      <c r="AC336" s="284" t="s">
        <v>128</v>
      </c>
      <c r="AD336" s="375">
        <f>(AC300+AC301+AC302+AC303+AC304+AC305+AC306+AC308+AC309+AC310)*0.5</f>
        <v>870948.13960668596</v>
      </c>
      <c r="AE336" s="553"/>
      <c r="AF336" s="284" t="s">
        <v>128</v>
      </c>
      <c r="AG336" s="375">
        <f>(AF300+AF301+AF302+AF303+AF304+AF305+AF306+AF308+AF309+AF310)*0.5</f>
        <v>841018.06815732946</v>
      </c>
      <c r="AH336" s="553"/>
      <c r="AI336" s="284" t="s">
        <v>128</v>
      </c>
      <c r="AJ336" s="375">
        <f>(AI300+AI301+AI302+AI303+AI304+AI305+AI306+AI308+AI309)*0.5</f>
        <v>809957.7475020116</v>
      </c>
      <c r="AK336" s="553"/>
      <c r="AL336" s="284" t="s">
        <v>128</v>
      </c>
      <c r="AM336" s="375">
        <f>(AL300+AL301+AL302+AL303+AL304+AL305+AL306+AL308+AL309)*0.5</f>
        <v>790357.7475020116</v>
      </c>
      <c r="AN336" s="553"/>
      <c r="AO336" s="284" t="s">
        <v>128</v>
      </c>
      <c r="AP336" s="375">
        <f>(AO300+AO301+AO302+AO303+AO304+AO305+AO306+AO308+AO309)*0.5</f>
        <v>773344.1756379758</v>
      </c>
      <c r="AQ336" s="553"/>
      <c r="AR336" s="284" t="s">
        <v>128</v>
      </c>
      <c r="AS336" s="375">
        <f>(AR300+AR301+AR302+AR303+AR304+AR305+AR306+AR308+AR309)*0.5</f>
        <v>754695.92487230967</v>
      </c>
      <c r="AT336" s="553"/>
      <c r="AU336" s="366"/>
      <c r="AV336" s="365"/>
      <c r="AW336" s="598"/>
      <c r="AX336" s="366"/>
      <c r="AY336" s="365"/>
      <c r="AZ336" s="598"/>
      <c r="BA336" s="28"/>
      <c r="BB336" s="28"/>
      <c r="BC336" s="28"/>
      <c r="BD336" s="28"/>
      <c r="BE336" s="28"/>
      <c r="BF336" s="28"/>
      <c r="BG336" s="28"/>
      <c r="BH336" s="28"/>
      <c r="BI336" s="28"/>
      <c r="BJ336" s="28"/>
      <c r="BK336" s="28"/>
      <c r="BL336" s="28"/>
    </row>
    <row r="337" spans="1:64" ht="18.75" hidden="1" thickBot="1">
      <c r="A337" s="28"/>
      <c r="B337" s="331"/>
      <c r="C337" s="335"/>
      <c r="D337" s="552"/>
      <c r="E337" s="284" t="s">
        <v>129</v>
      </c>
      <c r="F337" s="337"/>
      <c r="G337" s="553"/>
      <c r="H337" s="284" t="s">
        <v>129</v>
      </c>
      <c r="I337" s="337"/>
      <c r="J337" s="553"/>
      <c r="K337" s="284" t="s">
        <v>129</v>
      </c>
      <c r="L337" s="337"/>
      <c r="M337" s="553"/>
      <c r="N337" s="284" t="s">
        <v>129</v>
      </c>
      <c r="O337" s="337"/>
      <c r="P337" s="553"/>
      <c r="Q337" s="284" t="s">
        <v>129</v>
      </c>
      <c r="R337" s="337"/>
      <c r="S337" s="553"/>
      <c r="T337" s="284" t="s">
        <v>129</v>
      </c>
      <c r="U337" s="337"/>
      <c r="V337" s="553"/>
      <c r="W337" s="284" t="s">
        <v>129</v>
      </c>
      <c r="X337" s="337"/>
      <c r="Y337" s="553"/>
      <c r="Z337" s="284" t="s">
        <v>129</v>
      </c>
      <c r="AA337" s="337"/>
      <c r="AB337" s="553"/>
      <c r="AC337" s="284" t="s">
        <v>129</v>
      </c>
      <c r="AD337" s="337"/>
      <c r="AE337" s="553"/>
      <c r="AF337" s="284" t="s">
        <v>129</v>
      </c>
      <c r="AG337" s="337"/>
      <c r="AH337" s="553"/>
      <c r="AI337" s="284" t="s">
        <v>129</v>
      </c>
      <c r="AJ337" s="337"/>
      <c r="AK337" s="553"/>
      <c r="AL337" s="284" t="s">
        <v>129</v>
      </c>
      <c r="AM337" s="337"/>
      <c r="AN337" s="553"/>
      <c r="AO337" s="284" t="s">
        <v>129</v>
      </c>
      <c r="AP337" s="337"/>
      <c r="AQ337" s="553"/>
      <c r="AR337" s="284" t="s">
        <v>129</v>
      </c>
      <c r="AS337" s="337"/>
      <c r="AT337" s="553"/>
      <c r="AU337" s="366"/>
      <c r="AV337" s="365"/>
      <c r="AW337" s="598"/>
      <c r="AX337" s="366"/>
      <c r="AY337" s="365"/>
      <c r="AZ337" s="598"/>
      <c r="BA337" s="28"/>
      <c r="BB337" s="28"/>
      <c r="BC337" s="28"/>
      <c r="BD337" s="28"/>
      <c r="BE337" s="28"/>
      <c r="BF337" s="28"/>
      <c r="BG337" s="28"/>
      <c r="BH337" s="28"/>
      <c r="BI337" s="28"/>
      <c r="BJ337" s="28"/>
      <c r="BK337" s="28"/>
      <c r="BL337" s="28"/>
    </row>
    <row r="338" spans="1:64" ht="18.75" hidden="1" thickBot="1">
      <c r="A338" s="28"/>
      <c r="B338" s="331"/>
      <c r="C338" s="335"/>
      <c r="D338" s="552"/>
      <c r="E338" s="286" t="s">
        <v>130</v>
      </c>
      <c r="F338" s="286">
        <f>F336*0.78</f>
        <v>791571.97156699724</v>
      </c>
      <c r="G338" s="553"/>
      <c r="H338" s="286" t="s">
        <v>130</v>
      </c>
      <c r="I338" s="286">
        <f>I336*0.78</f>
        <v>772876.0210409729</v>
      </c>
      <c r="J338" s="553"/>
      <c r="K338" s="286" t="s">
        <v>130</v>
      </c>
      <c r="L338" s="286">
        <f>L336*0.78</f>
        <v>756695.14194036892</v>
      </c>
      <c r="M338" s="553"/>
      <c r="N338" s="286" t="s">
        <v>130</v>
      </c>
      <c r="O338" s="286">
        <f>O336*0.78</f>
        <v>741921.29580503434</v>
      </c>
      <c r="P338" s="553"/>
      <c r="Q338" s="286" t="s">
        <v>130</v>
      </c>
      <c r="R338" s="286">
        <f>R336*0.78</f>
        <v>728554.4826349701</v>
      </c>
      <c r="S338" s="553"/>
      <c r="T338" s="286" t="s">
        <v>130</v>
      </c>
      <c r="U338" s="286">
        <f>U336*0.78</f>
        <v>716565.87810633751</v>
      </c>
      <c r="V338" s="553"/>
      <c r="W338" s="286" t="s">
        <v>130</v>
      </c>
      <c r="X338" s="286">
        <f>X336*0.78</f>
        <v>706470.58061573433</v>
      </c>
      <c r="Y338" s="553"/>
      <c r="Z338" s="286" t="s">
        <v>130</v>
      </c>
      <c r="AA338" s="286">
        <f>AA336*0.78</f>
        <v>697006.30456531013</v>
      </c>
      <c r="AB338" s="553"/>
      <c r="AC338" s="286" t="s">
        <v>130</v>
      </c>
      <c r="AD338" s="286">
        <f>AD336*0.78</f>
        <v>679339.54889321502</v>
      </c>
      <c r="AE338" s="553"/>
      <c r="AF338" s="286" t="s">
        <v>130</v>
      </c>
      <c r="AG338" s="286">
        <f>AG336*0.78</f>
        <v>655994.09316271695</v>
      </c>
      <c r="AH338" s="553"/>
      <c r="AI338" s="286" t="s">
        <v>130</v>
      </c>
      <c r="AJ338" s="286">
        <f>AJ336*0.78</f>
        <v>631767.04305156902</v>
      </c>
      <c r="AK338" s="553"/>
      <c r="AL338" s="286" t="s">
        <v>130</v>
      </c>
      <c r="AM338" s="286">
        <f>AM336*0.78</f>
        <v>616479.04305156902</v>
      </c>
      <c r="AN338" s="553"/>
      <c r="AO338" s="286" t="s">
        <v>130</v>
      </c>
      <c r="AP338" s="286">
        <f>AP336*0.78</f>
        <v>603208.45699762111</v>
      </c>
      <c r="AQ338" s="553"/>
      <c r="AR338" s="286" t="s">
        <v>130</v>
      </c>
      <c r="AS338" s="286">
        <f>AS336*0.78</f>
        <v>588662.82140040153</v>
      </c>
      <c r="AT338" s="553"/>
      <c r="AU338" s="366"/>
      <c r="AV338" s="365"/>
      <c r="AW338" s="598"/>
      <c r="AX338" s="366"/>
      <c r="AY338" s="365"/>
      <c r="AZ338" s="598"/>
      <c r="BA338" s="28"/>
      <c r="BB338" s="28"/>
      <c r="BC338" s="28"/>
      <c r="BD338" s="28"/>
      <c r="BE338" s="28"/>
      <c r="BF338" s="28"/>
      <c r="BG338" s="28"/>
      <c r="BH338" s="28"/>
      <c r="BI338" s="28"/>
      <c r="BJ338" s="28"/>
      <c r="BK338" s="28"/>
      <c r="BL338" s="28"/>
    </row>
    <row r="339" spans="1:64" ht="18.75" hidden="1" thickBot="1">
      <c r="A339" s="28"/>
      <c r="B339" s="331"/>
      <c r="C339" s="335"/>
      <c r="D339" s="552"/>
      <c r="E339" s="284" t="s">
        <v>131</v>
      </c>
      <c r="F339" s="284"/>
      <c r="G339" s="553"/>
      <c r="H339" s="284" t="s">
        <v>131</v>
      </c>
      <c r="I339" s="284"/>
      <c r="J339" s="553"/>
      <c r="K339" s="284" t="s">
        <v>131</v>
      </c>
      <c r="L339" s="284"/>
      <c r="M339" s="553"/>
      <c r="N339" s="284" t="s">
        <v>131</v>
      </c>
      <c r="O339" s="284"/>
      <c r="P339" s="553"/>
      <c r="Q339" s="284" t="s">
        <v>131</v>
      </c>
      <c r="R339" s="284"/>
      <c r="S339" s="553"/>
      <c r="T339" s="284" t="s">
        <v>131</v>
      </c>
      <c r="U339" s="284"/>
      <c r="V339" s="553"/>
      <c r="W339" s="284" t="s">
        <v>131</v>
      </c>
      <c r="X339" s="284"/>
      <c r="Y339" s="553"/>
      <c r="Z339" s="284" t="s">
        <v>131</v>
      </c>
      <c r="AA339" s="284"/>
      <c r="AB339" s="553"/>
      <c r="AC339" s="284" t="s">
        <v>131</v>
      </c>
      <c r="AD339" s="284"/>
      <c r="AE339" s="553"/>
      <c r="AF339" s="284" t="s">
        <v>131</v>
      </c>
      <c r="AG339" s="284"/>
      <c r="AH339" s="553"/>
      <c r="AI339" s="284" t="s">
        <v>131</v>
      </c>
      <c r="AJ339" s="284"/>
      <c r="AK339" s="553"/>
      <c r="AL339" s="284" t="s">
        <v>131</v>
      </c>
      <c r="AM339" s="284"/>
      <c r="AN339" s="553"/>
      <c r="AO339" s="284" t="s">
        <v>131</v>
      </c>
      <c r="AP339" s="284"/>
      <c r="AQ339" s="553"/>
      <c r="AR339" s="284" t="s">
        <v>131</v>
      </c>
      <c r="AS339" s="284"/>
      <c r="AT339" s="553"/>
      <c r="AU339" s="366"/>
      <c r="AV339" s="365"/>
      <c r="AW339" s="598"/>
      <c r="AX339" s="366"/>
      <c r="AY339" s="365"/>
      <c r="AZ339" s="598"/>
      <c r="BA339" s="28"/>
      <c r="BB339" s="28"/>
      <c r="BC339" s="28"/>
      <c r="BD339" s="28"/>
      <c r="BE339" s="28"/>
      <c r="BF339" s="28"/>
      <c r="BG339" s="28"/>
      <c r="BH339" s="28"/>
      <c r="BI339" s="28"/>
      <c r="BJ339" s="28"/>
      <c r="BK339" s="28"/>
      <c r="BL339" s="28"/>
    </row>
    <row r="340" spans="1:64" ht="18.75" hidden="1" thickBot="1">
      <c r="A340" s="28"/>
      <c r="B340" s="331"/>
      <c r="C340" s="335"/>
      <c r="D340" s="552"/>
      <c r="E340" s="376">
        <v>502</v>
      </c>
      <c r="F340" s="375">
        <f>-(E300+E301+E305+E306+E302+E303+E304+F317+E308+E309+F336+E310)*0.19</f>
        <v>-578456.44076049794</v>
      </c>
      <c r="G340" s="553"/>
      <c r="H340" s="376">
        <v>502</v>
      </c>
      <c r="I340" s="375">
        <f>-(H300+H301+H305+H306+H302+H303+H304+I317+H308+H309+I336+H310)*0.19</f>
        <v>-564794.01537609554</v>
      </c>
      <c r="J340" s="553"/>
      <c r="K340" s="376">
        <v>502</v>
      </c>
      <c r="L340" s="375">
        <f>-(K300+K301+K305+K306+K302+K303+K304+L317+K308+K309+L336+K310)*0.19</f>
        <v>-552969.52680257719</v>
      </c>
      <c r="M340" s="553"/>
      <c r="N340" s="376">
        <v>502</v>
      </c>
      <c r="O340" s="375">
        <f>-(N300+N301+N305+N306+N302+N303+N304+O317+N308+N309+O336+N310)*0.19</f>
        <v>-542173.25462675584</v>
      </c>
      <c r="P340" s="553"/>
      <c r="Q340" s="376">
        <v>502</v>
      </c>
      <c r="R340" s="375">
        <f>-(Q300+Q301+Q305+Q306+Q302+Q303+Q304+R317+Q308+Q309+R336+Q310)*0.19</f>
        <v>-532405.19884863193</v>
      </c>
      <c r="S340" s="553"/>
      <c r="T340" s="376">
        <v>502</v>
      </c>
      <c r="U340" s="375">
        <f>-(T300+T301+T305+T306+T302+T303+T304+U317+T308+T309+U336+T310)*0.19</f>
        <v>-523644.29553924664</v>
      </c>
      <c r="V340" s="553"/>
      <c r="W340" s="376">
        <v>502</v>
      </c>
      <c r="X340" s="375">
        <f>-(W300+W301+W305+W306+W302+W303+W304+X317+W308+W309+X336+W310)*0.19</f>
        <v>-516266.96275765193</v>
      </c>
      <c r="Y340" s="553"/>
      <c r="Z340" s="376">
        <v>502</v>
      </c>
      <c r="AA340" s="375">
        <f>-(Z300+Z301+Z305+Z306+Z302+Z303+Z304+AA317+Z308+Z309+AA336+Z310)*0.19</f>
        <v>-509350.76102849591</v>
      </c>
      <c r="AB340" s="553"/>
      <c r="AC340" s="376">
        <v>502</v>
      </c>
      <c r="AD340" s="375">
        <f>-(AC300+AC301+AC305+AC306+AC302+AC303+AC304+AD317+AC308+AC309+AD336+AC310)*0.19</f>
        <v>-496440.43957581103</v>
      </c>
      <c r="AE340" s="553"/>
      <c r="AF340" s="376">
        <v>502</v>
      </c>
      <c r="AG340" s="375">
        <f>-(AF300+AF301+AF305+AF306+AF302+AF303+AF304+AG317+AF308+AF309+AG336+AF310)*0.19</f>
        <v>-479380.29884967784</v>
      </c>
      <c r="AH340" s="553"/>
      <c r="AI340" s="376">
        <v>502</v>
      </c>
      <c r="AJ340" s="375">
        <f>-(AI300+AI301+AI305+AI306+AI302+AI303+AI304+AJ317+AI308+AI309+AJ336)*0.19</f>
        <v>-461675.91607614659</v>
      </c>
      <c r="AK340" s="553"/>
      <c r="AL340" s="376">
        <v>502</v>
      </c>
      <c r="AM340" s="375">
        <f>-(AL300+AL301+AL305+AL306+AL302+AL303+AL304+AM317+AL308+AL309+AM336)*0.19</f>
        <v>-450503.91607614659</v>
      </c>
      <c r="AN340" s="553"/>
      <c r="AO340" s="376">
        <v>502</v>
      </c>
      <c r="AP340" s="375">
        <f>-(AO300+AO301+AO305+AO306+AO302+AO303+AO304+AP317+AO308+AO309+AP336)*0.19</f>
        <v>-440806.1801136462</v>
      </c>
      <c r="AQ340" s="553"/>
      <c r="AR340" s="376">
        <v>502</v>
      </c>
      <c r="AS340" s="375">
        <f>-(AR300+AR301+AR305+AR306+AR302+AR303+AR304+AS317+AR308+AR309+AS336)*0.19</f>
        <v>-430176.67717721645</v>
      </c>
      <c r="AT340" s="553"/>
      <c r="AU340" s="366"/>
      <c r="AV340" s="365"/>
      <c r="AW340" s="598"/>
      <c r="AX340" s="366"/>
      <c r="AY340" s="365"/>
      <c r="AZ340" s="598"/>
      <c r="BA340" s="28"/>
      <c r="BB340" s="28"/>
      <c r="BC340" s="28"/>
      <c r="BD340" s="28"/>
      <c r="BE340" s="28"/>
      <c r="BF340" s="28"/>
      <c r="BG340" s="28"/>
      <c r="BH340" s="28"/>
      <c r="BI340" s="28"/>
      <c r="BJ340" s="28"/>
      <c r="BK340" s="28"/>
      <c r="BL340" s="28"/>
    </row>
    <row r="341" spans="1:64" ht="18.75" hidden="1" thickBot="1">
      <c r="A341" s="28"/>
      <c r="B341" s="331"/>
      <c r="C341" s="335"/>
      <c r="D341" s="552"/>
      <c r="E341" s="376">
        <v>504</v>
      </c>
      <c r="F341" s="375"/>
      <c r="G341" s="553"/>
      <c r="H341" s="376">
        <v>504</v>
      </c>
      <c r="I341" s="375"/>
      <c r="J341" s="553"/>
      <c r="K341" s="376">
        <v>504</v>
      </c>
      <c r="L341" s="375"/>
      <c r="M341" s="553"/>
      <c r="N341" s="376">
        <v>504</v>
      </c>
      <c r="O341" s="375"/>
      <c r="P341" s="553"/>
      <c r="Q341" s="376">
        <v>504</v>
      </c>
      <c r="R341" s="375"/>
      <c r="S341" s="553"/>
      <c r="T341" s="376">
        <v>504</v>
      </c>
      <c r="U341" s="375"/>
      <c r="V341" s="553"/>
      <c r="W341" s="376">
        <v>504</v>
      </c>
      <c r="X341" s="375"/>
      <c r="Y341" s="553"/>
      <c r="Z341" s="376">
        <v>504</v>
      </c>
      <c r="AA341" s="375"/>
      <c r="AB341" s="553"/>
      <c r="AC341" s="376">
        <v>504</v>
      </c>
      <c r="AD341" s="375"/>
      <c r="AE341" s="553"/>
      <c r="AF341" s="376">
        <v>504</v>
      </c>
      <c r="AG341" s="375"/>
      <c r="AH341" s="553"/>
      <c r="AI341" s="376">
        <v>504</v>
      </c>
      <c r="AJ341" s="375"/>
      <c r="AK341" s="553"/>
      <c r="AL341" s="376">
        <v>504</v>
      </c>
      <c r="AM341" s="375"/>
      <c r="AN341" s="553"/>
      <c r="AO341" s="376">
        <v>504</v>
      </c>
      <c r="AP341" s="375"/>
      <c r="AQ341" s="553"/>
      <c r="AR341" s="376">
        <v>504</v>
      </c>
      <c r="AS341" s="375"/>
      <c r="AT341" s="553"/>
      <c r="AU341" s="366"/>
      <c r="AV341" s="365"/>
      <c r="AW341" s="598"/>
      <c r="AX341" s="366"/>
      <c r="AY341" s="365"/>
      <c r="AZ341" s="598"/>
      <c r="BA341" s="28"/>
      <c r="BB341" s="28"/>
      <c r="BC341" s="28"/>
      <c r="BD341" s="28"/>
      <c r="BE341" s="28"/>
      <c r="BF341" s="28"/>
      <c r="BG341" s="28"/>
      <c r="BH341" s="28"/>
      <c r="BI341" s="28"/>
      <c r="BJ341" s="28"/>
      <c r="BK341" s="28"/>
      <c r="BL341" s="28"/>
    </row>
    <row r="342" spans="1:64" ht="16.5" hidden="1" thickBot="1">
      <c r="A342" s="28"/>
      <c r="B342" s="331"/>
      <c r="C342" s="335"/>
      <c r="D342" s="552"/>
      <c r="E342" s="376">
        <v>505</v>
      </c>
      <c r="F342" s="375">
        <f>-(E300+E301+E305+E306+E302+E303+E304+F317+E308+E309+F336+E310)*0.03</f>
        <v>-91335.227488499673</v>
      </c>
      <c r="G342" s="553"/>
      <c r="H342" s="376">
        <v>505</v>
      </c>
      <c r="I342" s="375">
        <f>-(H300+H301+H305+H306+H302+H303+H304+I317+H308+H309+I336+H310)*0.03</f>
        <v>-89178.00242780456</v>
      </c>
      <c r="J342" s="553"/>
      <c r="K342" s="376">
        <v>505</v>
      </c>
      <c r="L342" s="375">
        <f>-(K300+K301+K305+K306+K302+K303+K304+L317+K308+K309+L336+K310)*0.03</f>
        <v>-87310.977916196396</v>
      </c>
      <c r="M342" s="553"/>
      <c r="N342" s="376">
        <v>505</v>
      </c>
      <c r="O342" s="375">
        <f>-(N300+N301+N305+N306+N302+N303+N304+O317+N308+N309+O336+N310)*0.03</f>
        <v>-85606.303362119346</v>
      </c>
      <c r="P342" s="553"/>
      <c r="Q342" s="376">
        <v>505</v>
      </c>
      <c r="R342" s="375">
        <f>-(Q300+Q301+Q305+Q306+Q302+Q303+Q304+R317+Q308+Q309+R336+Q310)*0.03</f>
        <v>-84063.978765573454</v>
      </c>
      <c r="S342" s="553"/>
      <c r="T342" s="376">
        <v>505</v>
      </c>
      <c r="U342" s="375">
        <f>-(T300+T301+T305+T306+T302+T303+T304+U317+T308+T309+U336+T310)*0.03</f>
        <v>-82680.678243038943</v>
      </c>
      <c r="V342" s="553"/>
      <c r="W342" s="376">
        <v>505</v>
      </c>
      <c r="X342" s="375">
        <f>-(W300+W301+W305+W306+W302+W303+W304+X317+W308+W309+X336+W310)*0.03</f>
        <v>-81515.83622489241</v>
      </c>
      <c r="Y342" s="553"/>
      <c r="Z342" s="376">
        <v>505</v>
      </c>
      <c r="AA342" s="375">
        <f>-(Z300+Z301+Z305+Z306+Z302+Z303+Z304+AA317+Z308+Z309+AA336+Z310)*0.03</f>
        <v>-80423.804372920407</v>
      </c>
      <c r="AB342" s="553"/>
      <c r="AC342" s="376">
        <v>505</v>
      </c>
      <c r="AD342" s="375">
        <f>-(AC300+AC301+AC305+AC306+AC302+AC303+AC304+AD317+AC308+AC309+AD336+AC310)*0.03</f>
        <v>-78385.332564601733</v>
      </c>
      <c r="AE342" s="553"/>
      <c r="AF342" s="376">
        <v>505</v>
      </c>
      <c r="AG342" s="375">
        <f>-(AF300+AF301+AF305+AF306+AF302+AF303+AF304+AG317+AF308+AF309+AG336+AF310)*0.03</f>
        <v>-75691.626134159655</v>
      </c>
      <c r="AH342" s="553"/>
      <c r="AI342" s="376">
        <v>505</v>
      </c>
      <c r="AJ342" s="375">
        <f>-(AI300+AI301+AI305+AI306+AI302+AI303+AI304+AJ317+AI308+AI309+AJ336)*0.03</f>
        <v>-72896.197275181039</v>
      </c>
      <c r="AK342" s="553"/>
      <c r="AL342" s="376">
        <v>505</v>
      </c>
      <c r="AM342" s="375">
        <f>-(AL300+AL301+AL305+AL306+AL302+AL303+AL304+AM317+AL308+AL309+AM336)*0.03</f>
        <v>-71132.197275181039</v>
      </c>
      <c r="AN342" s="553"/>
      <c r="AO342" s="376">
        <v>505</v>
      </c>
      <c r="AP342" s="375">
        <f>-(AO300+AO301+AO305+AO306+AO302+AO303+AO304+AP317+AO308+AO309+AP336)*0.03</f>
        <v>-69600.975807417824</v>
      </c>
      <c r="AQ342" s="553"/>
      <c r="AR342" s="376">
        <v>505</v>
      </c>
      <c r="AS342" s="375">
        <f>-(AR300+AR301+AR305+AR306+AR302+AR303+AR304+AS317+AR308+AR309+AS336)*0.03</f>
        <v>-67922.633238507857</v>
      </c>
      <c r="AT342" s="553"/>
      <c r="AU342" s="28"/>
    </row>
    <row r="343" spans="1:64" ht="18.75" hidden="1" thickBot="1">
      <c r="A343" s="28"/>
      <c r="B343" s="331"/>
      <c r="C343" s="335"/>
      <c r="D343" s="552"/>
      <c r="E343" s="337"/>
      <c r="F343" s="337"/>
      <c r="G343" s="553"/>
      <c r="H343" s="337"/>
      <c r="I343" s="337"/>
      <c r="J343" s="553"/>
      <c r="K343" s="337"/>
      <c r="L343" s="337"/>
      <c r="M343" s="553"/>
      <c r="N343" s="337"/>
      <c r="O343" s="337"/>
      <c r="P343" s="553"/>
      <c r="Q343" s="337"/>
      <c r="R343" s="337"/>
      <c r="S343" s="553"/>
      <c r="T343" s="337"/>
      <c r="U343" s="337"/>
      <c r="V343" s="553"/>
      <c r="W343" s="337"/>
      <c r="X343" s="337"/>
      <c r="Y343" s="553"/>
      <c r="Z343" s="337"/>
      <c r="AA343" s="337"/>
      <c r="AB343" s="553"/>
      <c r="AC343" s="337"/>
      <c r="AD343" s="337"/>
      <c r="AE343" s="553"/>
      <c r="AF343" s="337"/>
      <c r="AG343" s="337"/>
      <c r="AH343" s="553"/>
      <c r="AI343" s="337"/>
      <c r="AJ343" s="337"/>
      <c r="AK343" s="553"/>
      <c r="AL343" s="337"/>
      <c r="AM343" s="337"/>
      <c r="AN343" s="553"/>
      <c r="AO343" s="337"/>
      <c r="AP343" s="337"/>
      <c r="AQ343" s="553"/>
      <c r="AR343" s="337"/>
      <c r="AS343" s="337"/>
      <c r="AT343" s="553"/>
      <c r="AU343" s="366"/>
      <c r="AV343" s="365"/>
      <c r="AW343" s="598"/>
      <c r="AX343" s="366"/>
      <c r="AY343" s="365"/>
      <c r="AZ343" s="598"/>
      <c r="BA343" s="28"/>
      <c r="BB343" s="28"/>
      <c r="BC343" s="28"/>
      <c r="BD343" s="28"/>
      <c r="BE343" s="28"/>
      <c r="BF343" s="28"/>
      <c r="BG343" s="28"/>
      <c r="BH343" s="28"/>
      <c r="BI343" s="28"/>
      <c r="BJ343" s="28"/>
      <c r="BK343" s="28"/>
      <c r="BL343" s="28"/>
    </row>
    <row r="344" spans="1:64" ht="18.75" hidden="1" thickBot="1">
      <c r="A344" s="28"/>
      <c r="B344" s="331"/>
      <c r="C344" s="335"/>
      <c r="D344" s="552"/>
      <c r="E344" s="377" t="s">
        <v>132</v>
      </c>
      <c r="F344" s="377"/>
      <c r="G344" s="553"/>
      <c r="H344" s="377" t="s">
        <v>132</v>
      </c>
      <c r="I344" s="377"/>
      <c r="J344" s="553"/>
      <c r="K344" s="377" t="s">
        <v>132</v>
      </c>
      <c r="L344" s="377"/>
      <c r="M344" s="553"/>
      <c r="N344" s="377" t="s">
        <v>132</v>
      </c>
      <c r="O344" s="377"/>
      <c r="P344" s="553"/>
      <c r="Q344" s="377" t="s">
        <v>132</v>
      </c>
      <c r="R344" s="377"/>
      <c r="S344" s="553"/>
      <c r="T344" s="377" t="s">
        <v>132</v>
      </c>
      <c r="U344" s="377"/>
      <c r="V344" s="553"/>
      <c r="W344" s="377" t="s">
        <v>132</v>
      </c>
      <c r="X344" s="377"/>
      <c r="Y344" s="553"/>
      <c r="Z344" s="377" t="s">
        <v>132</v>
      </c>
      <c r="AA344" s="377"/>
      <c r="AB344" s="553"/>
      <c r="AC344" s="377" t="s">
        <v>132</v>
      </c>
      <c r="AD344" s="377"/>
      <c r="AE344" s="553"/>
      <c r="AF344" s="377" t="s">
        <v>132</v>
      </c>
      <c r="AG344" s="377"/>
      <c r="AH344" s="553"/>
      <c r="AI344" s="377" t="s">
        <v>132</v>
      </c>
      <c r="AJ344" s="377"/>
      <c r="AK344" s="553"/>
      <c r="AL344" s="377" t="s">
        <v>132</v>
      </c>
      <c r="AM344" s="377"/>
      <c r="AN344" s="553"/>
      <c r="AO344" s="377" t="s">
        <v>132</v>
      </c>
      <c r="AP344" s="377"/>
      <c r="AQ344" s="553"/>
      <c r="AR344" s="377" t="s">
        <v>132</v>
      </c>
      <c r="AS344" s="377"/>
      <c r="AT344" s="553"/>
      <c r="AU344" s="366"/>
      <c r="AV344" s="365"/>
      <c r="AW344" s="598"/>
      <c r="AX344" s="366"/>
      <c r="AY344" s="365"/>
      <c r="AZ344" s="598"/>
      <c r="BA344" s="28"/>
      <c r="BB344" s="28"/>
      <c r="BC344" s="28"/>
      <c r="BD344" s="28"/>
      <c r="BE344" s="28"/>
      <c r="BF344" s="28"/>
      <c r="BG344" s="28"/>
      <c r="BH344" s="28"/>
      <c r="BI344" s="28"/>
      <c r="BJ344" s="28"/>
      <c r="BK344" s="28"/>
      <c r="BL344" s="28"/>
    </row>
    <row r="345" spans="1:64" ht="18.75" hidden="1" thickBot="1">
      <c r="A345" s="28"/>
      <c r="B345" s="331"/>
      <c r="C345" s="335"/>
      <c r="D345" s="552"/>
      <c r="E345" s="377"/>
      <c r="F345" s="337">
        <f>E316+F336+F337+F340+F341+F342</f>
        <v>2503127.9124869918</v>
      </c>
      <c r="G345" s="553"/>
      <c r="H345" s="377"/>
      <c r="I345" s="337">
        <f>H316+I336+I337+I340+I341+I342</f>
        <v>2447040.0609089187</v>
      </c>
      <c r="J345" s="553"/>
      <c r="K345" s="377"/>
      <c r="L345" s="337">
        <f>K316+L336+L337+L340+L341+L342</f>
        <v>2398497.4236071068</v>
      </c>
      <c r="M345" s="553"/>
      <c r="N345" s="377"/>
      <c r="O345" s="337">
        <f>N316+O336+O337+O340+O341+O342</f>
        <v>2354175.8852011026</v>
      </c>
      <c r="P345" s="553"/>
      <c r="Q345" s="377"/>
      <c r="R345" s="337">
        <f>Q316+R336+R337+R340+R341+R342</f>
        <v>2314075.4456909103</v>
      </c>
      <c r="S345" s="553"/>
      <c r="T345" s="377"/>
      <c r="U345" s="337">
        <f>T316+U336+U337+U340+U341+U342</f>
        <v>2278109.6321050124</v>
      </c>
      <c r="V345" s="553"/>
      <c r="W345" s="377"/>
      <c r="X345" s="337">
        <f>W316+X336+X337+X340+X341+X342</f>
        <v>2247823.7396332035</v>
      </c>
      <c r="Y345" s="553"/>
      <c r="Z345" s="377"/>
      <c r="AA345" s="337">
        <f>Z316+AA336+AA337+AA340+AA341+AA342</f>
        <v>2219430.9114819299</v>
      </c>
      <c r="AB345" s="553"/>
      <c r="AC345" s="377"/>
      <c r="AD345" s="337">
        <f>AC316+AD336+AD337+AD340+AD341+AD342</f>
        <v>2166430.6444656453</v>
      </c>
      <c r="AE345" s="553"/>
      <c r="AF345" s="377"/>
      <c r="AG345" s="337">
        <f>AF316+AG336+AG337+AG340+AG341+AG342</f>
        <v>2096394.2772741506</v>
      </c>
      <c r="AH345" s="553"/>
      <c r="AI345" s="377"/>
      <c r="AJ345" s="337">
        <f>AI316+AJ336+AJ337+AJ340+AJ341+AJ342</f>
        <v>2048713.126940707</v>
      </c>
      <c r="AK345" s="553"/>
      <c r="AL345" s="377"/>
      <c r="AM345" s="337">
        <f>AL316+AM336+AM337+AM340+AM341+AM342</f>
        <v>1965437.1271547072</v>
      </c>
      <c r="AN345" s="553"/>
      <c r="AO345" s="377"/>
      <c r="AP345" s="337">
        <f>AO316+AP336+AP337+AP340+AP341+AP342</f>
        <v>1925625.3689928635</v>
      </c>
      <c r="AQ345" s="553"/>
      <c r="AR345" s="377"/>
      <c r="AS345" s="337">
        <f>AR316+AS336+AS337+AS340+AS341+AS342</f>
        <v>1881988.4622012051</v>
      </c>
      <c r="AT345" s="553"/>
      <c r="AU345" s="366"/>
      <c r="AV345" s="365"/>
      <c r="AW345" s="598"/>
      <c r="AX345" s="366"/>
      <c r="AY345" s="365"/>
      <c r="AZ345" s="598"/>
      <c r="BA345" s="28"/>
      <c r="BB345" s="28"/>
      <c r="BC345" s="28"/>
      <c r="BD345" s="28"/>
      <c r="BE345" s="28"/>
      <c r="BF345" s="28"/>
      <c r="BG345" s="28"/>
      <c r="BH345" s="28"/>
      <c r="BI345" s="28"/>
      <c r="BJ345" s="28"/>
      <c r="BK345" s="28"/>
      <c r="BL345" s="28"/>
    </row>
    <row r="346" spans="1:64" ht="18.75" hidden="1" thickBot="1">
      <c r="A346" s="28"/>
      <c r="B346" s="331"/>
      <c r="C346" s="335"/>
      <c r="D346" s="552"/>
      <c r="E346" s="378" t="s">
        <v>133</v>
      </c>
      <c r="F346" s="378"/>
      <c r="G346" s="553"/>
      <c r="H346" s="378" t="s">
        <v>133</v>
      </c>
      <c r="I346" s="378"/>
      <c r="J346" s="553"/>
      <c r="K346" s="378" t="s">
        <v>133</v>
      </c>
      <c r="L346" s="378"/>
      <c r="M346" s="553"/>
      <c r="N346" s="378" t="s">
        <v>133</v>
      </c>
      <c r="O346" s="378"/>
      <c r="P346" s="553"/>
      <c r="Q346" s="378" t="s">
        <v>133</v>
      </c>
      <c r="R346" s="378"/>
      <c r="S346" s="553"/>
      <c r="T346" s="378" t="s">
        <v>133</v>
      </c>
      <c r="U346" s="378"/>
      <c r="V346" s="553"/>
      <c r="W346" s="378" t="s">
        <v>133</v>
      </c>
      <c r="X346" s="378"/>
      <c r="Y346" s="553"/>
      <c r="Z346" s="378" t="s">
        <v>133</v>
      </c>
      <c r="AA346" s="378"/>
      <c r="AB346" s="553"/>
      <c r="AC346" s="378" t="s">
        <v>133</v>
      </c>
      <c r="AD346" s="378"/>
      <c r="AE346" s="553"/>
      <c r="AF346" s="378" t="s">
        <v>133</v>
      </c>
      <c r="AG346" s="378"/>
      <c r="AH346" s="553"/>
      <c r="AI346" s="378" t="s">
        <v>133</v>
      </c>
      <c r="AJ346" s="378"/>
      <c r="AK346" s="553"/>
      <c r="AL346" s="378" t="s">
        <v>133</v>
      </c>
      <c r="AM346" s="378"/>
      <c r="AN346" s="553"/>
      <c r="AO346" s="378" t="s">
        <v>133</v>
      </c>
      <c r="AP346" s="378"/>
      <c r="AQ346" s="553"/>
      <c r="AR346" s="378" t="s">
        <v>133</v>
      </c>
      <c r="AS346" s="378"/>
      <c r="AT346" s="553"/>
      <c r="AU346" s="366"/>
      <c r="AV346" s="365"/>
      <c r="AW346" s="598"/>
      <c r="AX346" s="366"/>
      <c r="AY346" s="365"/>
      <c r="AZ346" s="598"/>
      <c r="BA346" s="28"/>
      <c r="BB346" s="28"/>
      <c r="BC346" s="28"/>
      <c r="BD346" s="28"/>
      <c r="BE346" s="28"/>
      <c r="BF346" s="28"/>
      <c r="BG346" s="28"/>
      <c r="BH346" s="28"/>
      <c r="BI346" s="28"/>
      <c r="BJ346" s="28"/>
      <c r="BK346" s="28"/>
      <c r="BL346" s="28"/>
    </row>
    <row r="347" spans="1:64" ht="21" hidden="1" thickBot="1">
      <c r="A347" s="28"/>
      <c r="B347" s="331"/>
      <c r="C347" s="335"/>
      <c r="D347" s="552"/>
      <c r="E347" s="286"/>
      <c r="F347" s="558">
        <f>F345-F324+F320</f>
        <v>791571.97156699747</v>
      </c>
      <c r="G347" s="553"/>
      <c r="H347" s="286"/>
      <c r="I347" s="558">
        <f>I345-I324+I320</f>
        <v>772876.02104097279</v>
      </c>
      <c r="J347" s="553"/>
      <c r="K347" s="286"/>
      <c r="L347" s="558">
        <f>L345-L324+L320</f>
        <v>756695.14194036904</v>
      </c>
      <c r="M347" s="553"/>
      <c r="N347" s="286"/>
      <c r="O347" s="558">
        <f>O345-O324+O320</f>
        <v>741921.29580503399</v>
      </c>
      <c r="P347" s="553"/>
      <c r="Q347" s="286"/>
      <c r="R347" s="558">
        <f>R345-R324+R320</f>
        <v>728554.48263497045</v>
      </c>
      <c r="S347" s="553"/>
      <c r="T347" s="286"/>
      <c r="U347" s="558">
        <f>U345-U324+U320</f>
        <v>716565.87810633751</v>
      </c>
      <c r="V347" s="553"/>
      <c r="W347" s="286"/>
      <c r="X347" s="558">
        <f>X345-X324+X320</f>
        <v>706470.58061573515</v>
      </c>
      <c r="Y347" s="553"/>
      <c r="Z347" s="286"/>
      <c r="AA347" s="558">
        <f>AA345-AA324+AA320</f>
        <v>697006.30456530978</v>
      </c>
      <c r="AB347" s="553"/>
      <c r="AC347" s="286"/>
      <c r="AD347" s="558">
        <f>AD345-AD324+AD320</f>
        <v>679339.54889321537</v>
      </c>
      <c r="AE347" s="553"/>
      <c r="AF347" s="286"/>
      <c r="AG347" s="558">
        <f>AG345-AG324+AG320</f>
        <v>655994.09316271683</v>
      </c>
      <c r="AH347" s="553"/>
      <c r="AI347" s="286"/>
      <c r="AJ347" s="558">
        <f>AJ345-AJ324+AJ320</f>
        <v>637267.04305156902</v>
      </c>
      <c r="AK347" s="553"/>
      <c r="AL347" s="286"/>
      <c r="AM347" s="558">
        <f>AM345-AM324+AM320</f>
        <v>616479.04305156902</v>
      </c>
      <c r="AN347" s="553"/>
      <c r="AO347" s="286"/>
      <c r="AP347" s="558">
        <f>AP345-AP324+AP320</f>
        <v>603208.45699762111</v>
      </c>
      <c r="AQ347" s="553"/>
      <c r="AR347" s="286"/>
      <c r="AS347" s="558">
        <f>AS345-AS324+AS320</f>
        <v>588662.82140040188</v>
      </c>
      <c r="AT347" s="553"/>
      <c r="AU347" s="366"/>
      <c r="AV347" s="365"/>
      <c r="AW347" s="598"/>
      <c r="AX347" s="366"/>
      <c r="AY347" s="365"/>
      <c r="AZ347" s="598"/>
      <c r="BA347" s="28"/>
      <c r="BB347" s="28"/>
      <c r="BC347" s="28"/>
      <c r="BD347" s="28"/>
      <c r="BE347" s="28"/>
      <c r="BF347" s="28"/>
      <c r="BG347" s="28"/>
      <c r="BH347" s="28"/>
      <c r="BI347" s="28"/>
      <c r="BJ347" s="28"/>
      <c r="BK347" s="28"/>
      <c r="BL347" s="28"/>
    </row>
    <row r="348" spans="1:64" ht="18" hidden="1">
      <c r="A348" s="28"/>
      <c r="B348" s="141"/>
      <c r="C348" s="77"/>
      <c r="D348" s="492"/>
      <c r="E348" s="21">
        <v>45992</v>
      </c>
      <c r="F348" s="22">
        <f>(1+Aumentodic25respene25)*(1+Aumentoene25respdic24)-1</f>
        <v>0.29963870703408513</v>
      </c>
      <c r="G348" s="20"/>
      <c r="H348" s="21">
        <v>45962</v>
      </c>
      <c r="I348" s="22">
        <f>(1+Aumentonov25respene25)*(1+Aumentoene25respdic24)-1</f>
        <v>0.26794020198447344</v>
      </c>
      <c r="J348" s="20"/>
      <c r="K348" s="21">
        <v>45931</v>
      </c>
      <c r="L348" s="22" cm="1">
        <f t="array" ref="L348">(1+Aumentooct25respene25)*(1+Aumentoene25respdic24)-1</f>
        <v>0.24050593609017179</v>
      </c>
      <c r="M348" s="20"/>
      <c r="N348" s="21">
        <v>45901</v>
      </c>
      <c r="O348" s="22" cm="1">
        <f t="array" ref="O348">(1+Aumentosep25respene25)*(1+Aumentoene25respdic24)-1</f>
        <v>0.21545725853450493</v>
      </c>
      <c r="P348" s="20"/>
      <c r="Q348" s="21">
        <v>45870</v>
      </c>
      <c r="R348" s="22" cm="1">
        <f t="array" ref="R348">(1+Aumentoago25respene25)*(1+Aumentoene25respdic24)-1</f>
        <v>0.19279416931747306</v>
      </c>
      <c r="S348" s="20"/>
      <c r="T348" s="21">
        <v>45839</v>
      </c>
      <c r="U348" s="22">
        <f>(1+Aumentojul25respene25)*(1+Aumentoene25respdic24)-1</f>
        <v>0.17246852876408125</v>
      </c>
      <c r="V348" s="20"/>
      <c r="W348" s="21">
        <v>45809</v>
      </c>
      <c r="X348" s="22">
        <f>(1+Aumentojun25respene25)*(1+Aumentoene25respdic24)-1</f>
        <v>0.15535219987701421</v>
      </c>
      <c r="Y348" s="20"/>
      <c r="Z348" s="21">
        <v>45778</v>
      </c>
      <c r="AA348" s="22" cm="1">
        <f t="array" ref="AA348">(1+Aumentomay25respene25)*(1+Aumentoene25respdic24)-1</f>
        <v>0.13930564154538927</v>
      </c>
      <c r="AB348" s="20"/>
      <c r="AC348" s="21">
        <v>45748</v>
      </c>
      <c r="AD348" s="22">
        <f>(1+Aumentoabr25respene25)*(1+Aumentoene25respdic24)-1</f>
        <v>0.10935206599302227</v>
      </c>
      <c r="AE348" s="20"/>
      <c r="AF348" s="21">
        <v>45717</v>
      </c>
      <c r="AG348" s="22">
        <f>(1+Aumentomar25respene25)*(1+Aumentoene25respdic24)-1</f>
        <v>6.9770555441680093E-2</v>
      </c>
      <c r="AH348" s="20"/>
      <c r="AI348" s="787" t="s">
        <v>201</v>
      </c>
      <c r="AJ348" s="20"/>
      <c r="AK348" s="20"/>
      <c r="AL348" s="21" t="s">
        <v>200</v>
      </c>
      <c r="AM348" s="22">
        <f>(1+Aumentofeb25respene25)*(1+Aumentoene25respdic24)-1</f>
        <v>4.522515072791311E-2</v>
      </c>
      <c r="AN348" s="20"/>
      <c r="AO348" s="21">
        <v>45658</v>
      </c>
      <c r="AP348" s="22">
        <v>2.2725196406967674E-2</v>
      </c>
      <c r="AQ348" s="20"/>
      <c r="AR348" s="728">
        <v>45627</v>
      </c>
      <c r="AS348" s="729">
        <f>Aumentodic24</f>
        <v>1.1820279278367574</v>
      </c>
      <c r="AT348" s="492"/>
      <c r="AU348" s="365"/>
      <c r="AV348" s="598"/>
      <c r="AW348" s="363"/>
      <c r="AX348" s="365"/>
      <c r="AY348" s="598"/>
      <c r="AZ348" s="28"/>
      <c r="BA348" s="28"/>
      <c r="BB348" s="28"/>
      <c r="BC348" s="28"/>
      <c r="BD348" s="28"/>
      <c r="BE348" s="28"/>
      <c r="BF348" s="28"/>
      <c r="BG348" s="28"/>
      <c r="BH348" s="28"/>
      <c r="BI348" s="28"/>
      <c r="BJ348" s="28"/>
      <c r="BK348" s="28"/>
    </row>
    <row r="349" spans="1:64" ht="18" hidden="1">
      <c r="A349" s="28"/>
      <c r="B349" s="141"/>
      <c r="C349" s="77"/>
      <c r="D349" s="492"/>
      <c r="E349" s="492"/>
      <c r="F349" s="492"/>
      <c r="G349" s="492"/>
      <c r="H349" s="492"/>
      <c r="I349" s="492"/>
      <c r="J349" s="492"/>
      <c r="K349" s="492"/>
      <c r="L349" s="492"/>
      <c r="M349" s="492"/>
      <c r="N349" s="492"/>
      <c r="O349" s="492"/>
      <c r="P349" s="492"/>
      <c r="Q349" s="492"/>
      <c r="R349" s="492"/>
      <c r="S349" s="492"/>
      <c r="T349" s="492"/>
      <c r="U349" s="492"/>
      <c r="V349" s="492"/>
      <c r="W349" s="492"/>
      <c r="X349" s="492"/>
      <c r="Y349" s="492"/>
      <c r="Z349" s="492"/>
      <c r="AA349" s="492"/>
      <c r="AB349" s="492"/>
      <c r="AC349" s="492"/>
      <c r="AD349" s="492"/>
      <c r="AE349" s="492"/>
      <c r="AF349" s="492"/>
      <c r="AG349" s="492"/>
      <c r="AH349" s="492"/>
      <c r="AI349" s="492"/>
      <c r="AJ349" s="492"/>
      <c r="AK349" s="492"/>
      <c r="AL349" s="492"/>
      <c r="AM349" s="492"/>
      <c r="AN349" s="492"/>
      <c r="AO349" s="492"/>
      <c r="AP349" s="492"/>
      <c r="AQ349" s="492"/>
      <c r="AR349" s="365"/>
      <c r="AS349" s="598"/>
      <c r="AT349" s="363"/>
      <c r="AU349" s="365"/>
      <c r="AV349" s="598"/>
      <c r="AW349" s="28"/>
      <c r="AX349" s="28"/>
      <c r="AY349" s="28"/>
      <c r="AZ349" s="28"/>
      <c r="BA349" s="28"/>
      <c r="BB349" s="28"/>
      <c r="BC349" s="28"/>
      <c r="BD349" s="28"/>
      <c r="BE349" s="28"/>
      <c r="BF349" s="28"/>
      <c r="BG349" s="28"/>
      <c r="BH349" s="28"/>
    </row>
    <row r="350" spans="1:64" s="14" customFormat="1" ht="18" hidden="1">
      <c r="A350" s="37"/>
      <c r="B350" s="37"/>
      <c r="C350" s="37"/>
      <c r="D350" s="37"/>
      <c r="E350" s="37"/>
      <c r="F350" s="37"/>
      <c r="G350" s="37"/>
      <c r="H350" s="37"/>
      <c r="I350" s="37"/>
      <c r="J350" s="37"/>
      <c r="K350" s="37"/>
      <c r="L350" s="37"/>
      <c r="M350" s="37"/>
      <c r="N350" s="37"/>
      <c r="O350" s="37"/>
      <c r="P350" s="37"/>
      <c r="Q350" s="37"/>
      <c r="R350" s="37"/>
      <c r="S350" s="37"/>
      <c r="T350" s="37"/>
      <c r="U350" s="37"/>
      <c r="V350" s="37"/>
      <c r="W350" s="37"/>
      <c r="X350" s="37"/>
      <c r="Y350" s="37"/>
      <c r="Z350" s="37"/>
      <c r="AA350" s="37"/>
      <c r="AB350" s="37"/>
      <c r="AC350" s="37"/>
      <c r="AD350" s="37"/>
      <c r="AE350" s="37"/>
      <c r="AF350" s="37"/>
      <c r="AG350" s="37"/>
      <c r="AH350" s="37"/>
      <c r="AI350" s="37"/>
      <c r="AJ350" s="37"/>
      <c r="AK350" s="37"/>
      <c r="AL350" s="37"/>
      <c r="AM350" s="37"/>
      <c r="AN350" s="37"/>
      <c r="AO350" s="37"/>
      <c r="AP350" s="37"/>
      <c r="AQ350" s="37"/>
      <c r="AR350" s="36"/>
      <c r="AS350" s="36"/>
      <c r="AT350" s="37"/>
      <c r="AU350" s="600"/>
      <c r="AV350" s="37"/>
      <c r="AW350" s="37"/>
      <c r="AX350" s="37"/>
      <c r="AY350" s="37"/>
      <c r="AZ350" s="37"/>
      <c r="BA350" s="37"/>
      <c r="BB350" s="37"/>
      <c r="BC350" s="37"/>
      <c r="BD350" s="37"/>
      <c r="BE350" s="37"/>
      <c r="BF350" s="37"/>
      <c r="BG350" s="37"/>
      <c r="BH350" s="37"/>
      <c r="BI350" s="37"/>
    </row>
    <row r="351" spans="1:64" s="14" customFormat="1" ht="18.75" thickBot="1">
      <c r="A351" s="559"/>
      <c r="B351" s="559"/>
      <c r="C351" s="559"/>
      <c r="D351" s="559"/>
      <c r="E351" s="559"/>
      <c r="F351" s="559"/>
      <c r="G351" s="559"/>
      <c r="H351" s="559"/>
      <c r="I351" s="559"/>
      <c r="J351" s="559"/>
      <c r="K351" s="559"/>
      <c r="L351" s="559"/>
      <c r="M351" s="559"/>
      <c r="N351" s="559"/>
      <c r="O351" s="559"/>
      <c r="P351" s="559"/>
      <c r="Q351" s="559"/>
      <c r="R351" s="559"/>
      <c r="S351" s="559"/>
      <c r="T351" s="559"/>
      <c r="U351" s="559"/>
      <c r="V351" s="559"/>
      <c r="W351" s="559"/>
      <c r="X351" s="559"/>
      <c r="Y351" s="559"/>
      <c r="Z351" s="559"/>
      <c r="AA351" s="559"/>
      <c r="AB351" s="559"/>
      <c r="AC351" s="37"/>
      <c r="AD351" s="37"/>
      <c r="AE351" s="37"/>
      <c r="AF351" s="37"/>
      <c r="AG351" s="37"/>
      <c r="AH351" s="37"/>
      <c r="AI351" s="37"/>
      <c r="AJ351" s="37"/>
      <c r="AK351" s="37"/>
      <c r="AL351" s="37"/>
      <c r="AM351" s="37"/>
      <c r="AN351" s="37"/>
    </row>
    <row r="352" spans="1:64" ht="12.75">
      <c r="A352" s="152"/>
      <c r="B352" s="152"/>
      <c r="C352" s="30"/>
      <c r="D352" s="30"/>
      <c r="E352" s="382"/>
      <c r="G352" s="382"/>
      <c r="H352" s="821"/>
      <c r="I352" s="452" t="str">
        <f>canthorsup&amp;" horas sup"</f>
        <v>36 horas sup</v>
      </c>
      <c r="J352" s="826">
        <f>porantighorsup</f>
        <v>1.2</v>
      </c>
      <c r="K352" s="827"/>
      <c r="L352" s="854"/>
      <c r="M352" s="855"/>
      <c r="N352" s="855"/>
      <c r="P352" s="854"/>
    </row>
    <row r="353" spans="1:64">
      <c r="A353" s="28"/>
      <c r="B353" s="28"/>
      <c r="C353" s="28"/>
      <c r="D353" s="28"/>
      <c r="E353" s="384"/>
      <c r="G353" s="560"/>
      <c r="H353" s="822">
        <v>45627</v>
      </c>
      <c r="I353" s="757">
        <v>45658</v>
      </c>
      <c r="J353" s="757">
        <v>45689</v>
      </c>
      <c r="K353" s="757">
        <v>45717</v>
      </c>
      <c r="L353" s="823">
        <v>45748</v>
      </c>
      <c r="M353" s="823">
        <v>45778</v>
      </c>
      <c r="N353" s="823">
        <v>45809</v>
      </c>
      <c r="O353" s="823">
        <v>45839</v>
      </c>
      <c r="P353" s="834">
        <v>45870</v>
      </c>
      <c r="Q353" s="834">
        <v>45901</v>
      </c>
      <c r="R353" s="834">
        <v>45931</v>
      </c>
      <c r="S353" s="834">
        <v>45962</v>
      </c>
      <c r="T353" s="834">
        <v>45992</v>
      </c>
    </row>
    <row r="354" spans="1:64" ht="14.25">
      <c r="A354" s="28"/>
      <c r="B354" s="28"/>
      <c r="C354" s="28"/>
      <c r="D354" s="28"/>
      <c r="E354" s="385"/>
      <c r="G354" s="385"/>
      <c r="H354" s="780">
        <f>AR359</f>
        <v>1420678.0348013593</v>
      </c>
      <c r="I354" s="776">
        <f>AO359</f>
        <v>1452930.6738886042</v>
      </c>
      <c r="J354" s="828">
        <f>AL359</f>
        <v>1482343.1487528738</v>
      </c>
      <c r="K354" s="828">
        <f>AF359</f>
        <v>1572744.6008113001</v>
      </c>
      <c r="L354" s="829">
        <f>AC359</f>
        <v>1624486.6937110587</v>
      </c>
      <c r="M354" s="829">
        <f>Z359</f>
        <v>1663642.6858259737</v>
      </c>
      <c r="N354" s="829">
        <f>W359</f>
        <v>1684618.9690320692</v>
      </c>
      <c r="O354" s="829">
        <f>T359</f>
        <v>1706993.842676223</v>
      </c>
      <c r="P354" s="829">
        <f>Q359</f>
        <v>1733565.0850228034</v>
      </c>
      <c r="Q354" s="829">
        <f>N359</f>
        <v>1763190.8366752546</v>
      </c>
      <c r="R354" s="829">
        <f>K359</f>
        <v>1795935.0885016485</v>
      </c>
      <c r="S354" s="829">
        <f>H359</f>
        <v>1831797.8405019841</v>
      </c>
      <c r="T354" s="829">
        <f>E359</f>
        <v>1873234.9115632419</v>
      </c>
    </row>
    <row r="355" spans="1:64" ht="23.25">
      <c r="A355" s="28"/>
      <c r="B355" s="28"/>
      <c r="C355" s="736" t="s">
        <v>153</v>
      </c>
      <c r="D355" s="562"/>
      <c r="E355" s="386"/>
      <c r="G355" s="387"/>
      <c r="H355" s="780" t="s">
        <v>71</v>
      </c>
      <c r="I355" s="254">
        <f t="shared" ref="I355:J355" si="472">I354-$H354</f>
        <v>32252.639087244868</v>
      </c>
      <c r="J355" s="254">
        <f t="shared" si="472"/>
        <v>61665.113951514475</v>
      </c>
      <c r="K355" s="254">
        <f t="shared" ref="K355:L355" si="473">K354-$H354</f>
        <v>152066.56600994081</v>
      </c>
      <c r="L355" s="824">
        <f t="shared" si="473"/>
        <v>203808.65890969941</v>
      </c>
      <c r="M355" s="824">
        <f t="shared" ref="M355:N355" si="474">M354-$H354</f>
        <v>242964.65102461446</v>
      </c>
      <c r="N355" s="824">
        <f t="shared" si="474"/>
        <v>263940.93423070991</v>
      </c>
      <c r="O355" s="824">
        <f t="shared" ref="O355:P355" si="475">O354-$H354</f>
        <v>286315.80787486373</v>
      </c>
      <c r="P355" s="824">
        <f t="shared" si="475"/>
        <v>312887.05022144411</v>
      </c>
      <c r="Q355" s="824">
        <f t="shared" ref="Q355:R355" si="476">Q354-$H354</f>
        <v>342512.80187389534</v>
      </c>
      <c r="R355" s="824">
        <f t="shared" si="476"/>
        <v>375257.05370028922</v>
      </c>
      <c r="S355" s="824">
        <f t="shared" ref="S355:T355" si="477">S354-$H354</f>
        <v>411119.80570062483</v>
      </c>
      <c r="T355" s="824">
        <f t="shared" si="477"/>
        <v>452556.87676188257</v>
      </c>
    </row>
    <row r="356" spans="1:64">
      <c r="A356" s="28"/>
      <c r="B356" s="959" t="s">
        <v>135</v>
      </c>
      <c r="C356" s="950"/>
      <c r="D356" s="388">
        <v>36</v>
      </c>
      <c r="E356" s="389"/>
      <c r="G356" s="390"/>
      <c r="H356" s="781" t="s">
        <v>74</v>
      </c>
      <c r="I356" s="777">
        <f t="shared" ref="I356:J356" si="478">I355/$H354</f>
        <v>2.2702286019192566E-2</v>
      </c>
      <c r="J356" s="777">
        <f t="shared" si="478"/>
        <v>4.3405410966416862E-2</v>
      </c>
      <c r="K356" s="777">
        <f t="shared" ref="K356:L356" si="479">K355/$H354</f>
        <v>0.10703802148331443</v>
      </c>
      <c r="L356" s="825">
        <f t="shared" si="479"/>
        <v>0.1434587245787862</v>
      </c>
      <c r="M356" s="825">
        <f t="shared" ref="M356:N356" si="480">M355/$H354</f>
        <v>0.17102020660056594</v>
      </c>
      <c r="N356" s="825">
        <f t="shared" si="480"/>
        <v>0.18578518690733078</v>
      </c>
      <c r="O356" s="825">
        <f t="shared" ref="O356:P356" si="481">O355/$H354</f>
        <v>0.20153461999213404</v>
      </c>
      <c r="P356" s="825">
        <f t="shared" si="481"/>
        <v>0.22023783190622237</v>
      </c>
      <c r="Q356" s="825">
        <f t="shared" ref="Q356:R356" si="482">Q355/$H354</f>
        <v>0.24109108009246152</v>
      </c>
      <c r="R356" s="825">
        <f t="shared" si="482"/>
        <v>0.26413940703514716</v>
      </c>
      <c r="S356" s="825">
        <f t="shared" ref="S356:T356" si="483">S355/$H354</f>
        <v>0.28938281273427868</v>
      </c>
      <c r="T356" s="825">
        <f t="shared" si="483"/>
        <v>0.31854992171055813</v>
      </c>
    </row>
    <row r="357" spans="1:64" ht="16.5" thickBot="1">
      <c r="A357" s="28"/>
      <c r="B357" s="959" t="s">
        <v>136</v>
      </c>
      <c r="C357" s="950"/>
      <c r="D357" s="391">
        <v>24</v>
      </c>
      <c r="E357" s="392"/>
      <c r="G357" s="563"/>
      <c r="H357" s="782" t="s">
        <v>75</v>
      </c>
      <c r="I357" s="255"/>
      <c r="J357" s="830"/>
      <c r="K357" s="831"/>
      <c r="L357" s="832"/>
      <c r="M357" s="832"/>
      <c r="N357" s="832"/>
      <c r="O357" s="832"/>
      <c r="P357" s="832"/>
      <c r="Q357" s="832"/>
      <c r="R357" s="832"/>
      <c r="S357" s="832"/>
      <c r="T357" s="832"/>
    </row>
    <row r="358" spans="1:64" ht="24" thickBot="1">
      <c r="A358" s="28"/>
      <c r="B358" s="28"/>
      <c r="C358" s="28"/>
      <c r="D358" s="564">
        <f>LOOKUP(D357,D33:D44,E33:E44)</f>
        <v>1.2</v>
      </c>
      <c r="E358" s="395" t="s">
        <v>77</v>
      </c>
      <c r="F358" s="177"/>
      <c r="G358" s="565"/>
      <c r="H358" s="395" t="s">
        <v>77</v>
      </c>
      <c r="I358" s="177"/>
      <c r="J358" s="565"/>
      <c r="K358" s="395" t="s">
        <v>77</v>
      </c>
      <c r="L358" s="177"/>
      <c r="M358" s="565"/>
      <c r="N358" s="395" t="s">
        <v>77</v>
      </c>
      <c r="O358" s="177"/>
      <c r="P358" s="565"/>
      <c r="Q358" s="395" t="s">
        <v>77</v>
      </c>
      <c r="R358" s="177"/>
      <c r="S358" s="565"/>
      <c r="T358" s="395" t="s">
        <v>77</v>
      </c>
      <c r="U358" s="177"/>
      <c r="V358" s="565"/>
      <c r="W358" s="395" t="s">
        <v>77</v>
      </c>
      <c r="X358" s="177"/>
      <c r="Y358" s="565"/>
      <c r="Z358" s="395" t="s">
        <v>77</v>
      </c>
      <c r="AA358" s="177"/>
      <c r="AB358" s="565"/>
      <c r="AC358" s="395" t="s">
        <v>77</v>
      </c>
      <c r="AD358" s="177"/>
      <c r="AE358" s="565"/>
      <c r="AF358" s="395" t="s">
        <v>77</v>
      </c>
      <c r="AG358" s="177"/>
      <c r="AH358" s="820"/>
      <c r="AI358" s="395" t="s">
        <v>77</v>
      </c>
      <c r="AJ358" s="177"/>
      <c r="AK358" s="565"/>
      <c r="AL358" s="395" t="s">
        <v>77</v>
      </c>
      <c r="AM358" s="177"/>
      <c r="AN358" s="565"/>
      <c r="AO358" s="395" t="s">
        <v>77</v>
      </c>
      <c r="AP358" s="177"/>
      <c r="AQ358" s="565"/>
      <c r="AR358" s="395" t="s">
        <v>77</v>
      </c>
      <c r="AS358" s="177"/>
      <c r="AT358" s="565"/>
      <c r="AU358" s="601"/>
      <c r="AV358" s="28"/>
      <c r="AW358" s="28"/>
      <c r="AX358" s="28"/>
      <c r="AY358" s="28"/>
      <c r="AZ358" s="28"/>
      <c r="BA358" s="28"/>
      <c r="BB358" s="28"/>
      <c r="BC358" s="28"/>
      <c r="BD358" s="28"/>
      <c r="BE358" s="28"/>
      <c r="BF358" s="28"/>
      <c r="BG358" s="28"/>
      <c r="BH358" s="28"/>
      <c r="BI358" s="28"/>
      <c r="BJ358" s="28"/>
      <c r="BK358" s="28"/>
      <c r="BL358" s="28"/>
    </row>
    <row r="359" spans="1:64" ht="21" thickBot="1">
      <c r="A359" s="91"/>
      <c r="B359" s="566" t="s">
        <v>137</v>
      </c>
      <c r="C359" s="397"/>
      <c r="D359" s="567"/>
      <c r="E359" s="568">
        <f>F390</f>
        <v>1873234.9115632419</v>
      </c>
      <c r="F359" s="181"/>
      <c r="G359" s="569"/>
      <c r="H359" s="568">
        <f>I390</f>
        <v>1831797.8405019841</v>
      </c>
      <c r="I359" s="181"/>
      <c r="J359" s="569"/>
      <c r="K359" s="568">
        <f>L390</f>
        <v>1795935.0885016485</v>
      </c>
      <c r="L359" s="181"/>
      <c r="M359" s="569"/>
      <c r="N359" s="568">
        <f>O390</f>
        <v>1763190.8366752546</v>
      </c>
      <c r="O359" s="181"/>
      <c r="P359" s="569"/>
      <c r="Q359" s="568">
        <f>R390</f>
        <v>1733565.0850228034</v>
      </c>
      <c r="R359" s="181"/>
      <c r="S359" s="569"/>
      <c r="T359" s="568">
        <f>U390</f>
        <v>1706993.842676223</v>
      </c>
      <c r="U359" s="181"/>
      <c r="V359" s="569"/>
      <c r="W359" s="568">
        <f>X390</f>
        <v>1684618.9690320692</v>
      </c>
      <c r="X359" s="181"/>
      <c r="Y359" s="569"/>
      <c r="Z359" s="568">
        <f>AA390</f>
        <v>1663642.6858259737</v>
      </c>
      <c r="AA359" s="181"/>
      <c r="AB359" s="569"/>
      <c r="AC359" s="568">
        <f>AD390</f>
        <v>1624486.6937110587</v>
      </c>
      <c r="AD359" s="181"/>
      <c r="AE359" s="569"/>
      <c r="AF359" s="568">
        <f>AG390</f>
        <v>1572744.6008113001</v>
      </c>
      <c r="AG359" s="181"/>
      <c r="AH359" s="569"/>
      <c r="AI359" s="568">
        <f>AJ390</f>
        <v>1540658.1485645541</v>
      </c>
      <c r="AJ359" s="181"/>
      <c r="AK359" s="569"/>
      <c r="AL359" s="568">
        <f>AM390</f>
        <v>1482343.1487528738</v>
      </c>
      <c r="AM359" s="181"/>
      <c r="AN359" s="569"/>
      <c r="AO359" s="568">
        <f>AP390</f>
        <v>1452930.6738886042</v>
      </c>
      <c r="AP359" s="181"/>
      <c r="AQ359" s="569"/>
      <c r="AR359" s="568">
        <f>AS390</f>
        <v>1420678.0348013593</v>
      </c>
      <c r="AS359" s="181"/>
      <c r="AT359" s="569"/>
      <c r="AU359" s="602"/>
      <c r="AV359" s="603"/>
      <c r="AW359" s="91"/>
      <c r="AX359" s="91"/>
      <c r="AY359" s="603"/>
      <c r="AZ359" s="91"/>
      <c r="BA359" s="91"/>
      <c r="BB359" s="91"/>
      <c r="BC359" s="91"/>
      <c r="BD359" s="91"/>
      <c r="BE359" s="91"/>
      <c r="BF359" s="91"/>
      <c r="BG359" s="91"/>
      <c r="BH359" s="91"/>
      <c r="BI359" s="91"/>
      <c r="BJ359" s="91"/>
      <c r="BK359" s="91"/>
      <c r="BL359" s="91"/>
    </row>
    <row r="360" spans="1:64" ht="16.5" thickTop="1">
      <c r="A360" s="28"/>
      <c r="B360" s="973" t="s">
        <v>138</v>
      </c>
      <c r="C360" s="946"/>
      <c r="D360" s="570">
        <v>17</v>
      </c>
      <c r="E360" s="743" t="s">
        <v>181</v>
      </c>
      <c r="F360" s="184"/>
      <c r="G360" s="571"/>
      <c r="H360" s="743" t="s">
        <v>181</v>
      </c>
      <c r="I360" s="184"/>
      <c r="J360" s="571"/>
      <c r="K360" s="743" t="s">
        <v>181</v>
      </c>
      <c r="L360" s="184"/>
      <c r="M360" s="571"/>
      <c r="N360" s="743" t="s">
        <v>181</v>
      </c>
      <c r="O360" s="184"/>
      <c r="P360" s="571"/>
      <c r="Q360" s="743" t="s">
        <v>181</v>
      </c>
      <c r="R360" s="184"/>
      <c r="S360" s="571"/>
      <c r="T360" s="743" t="s">
        <v>181</v>
      </c>
      <c r="U360" s="184"/>
      <c r="V360" s="571"/>
      <c r="W360" s="743" t="s">
        <v>181</v>
      </c>
      <c r="X360" s="184"/>
      <c r="Y360" s="571"/>
      <c r="Z360" s="743" t="s">
        <v>181</v>
      </c>
      <c r="AA360" s="184"/>
      <c r="AB360" s="571"/>
      <c r="AC360" s="743" t="s">
        <v>181</v>
      </c>
      <c r="AD360" s="184"/>
      <c r="AE360" s="571"/>
      <c r="AF360" s="743" t="s">
        <v>181</v>
      </c>
      <c r="AG360" s="184"/>
      <c r="AH360" s="571"/>
      <c r="AI360" s="743" t="s">
        <v>181</v>
      </c>
      <c r="AJ360" s="184"/>
      <c r="AK360" s="571"/>
      <c r="AL360" s="743" t="s">
        <v>181</v>
      </c>
      <c r="AM360" s="184"/>
      <c r="AN360" s="571"/>
      <c r="AO360" s="743" t="s">
        <v>181</v>
      </c>
      <c r="AP360" s="184"/>
      <c r="AQ360" s="571"/>
      <c r="AR360" s="743" t="s">
        <v>181</v>
      </c>
      <c r="AS360" s="184"/>
      <c r="AT360" s="571"/>
      <c r="AU360" s="28"/>
      <c r="AV360" s="77"/>
      <c r="AW360" s="28"/>
      <c r="AX360" s="28"/>
      <c r="AY360" s="77"/>
      <c r="AZ360" s="28"/>
      <c r="BA360" s="28"/>
      <c r="BB360" s="28"/>
      <c r="BC360" s="28"/>
      <c r="BD360" s="28"/>
      <c r="BE360" s="28"/>
      <c r="BF360" s="28"/>
      <c r="BG360" s="28"/>
      <c r="BH360" s="28"/>
      <c r="BI360" s="28"/>
      <c r="BJ360" s="28"/>
      <c r="BK360" s="28"/>
      <c r="BL360" s="28"/>
    </row>
    <row r="361" spans="1:64" ht="18">
      <c r="A361" s="28"/>
      <c r="B361" s="973" t="s">
        <v>139</v>
      </c>
      <c r="C361" s="946"/>
      <c r="D361" s="572">
        <v>24</v>
      </c>
      <c r="E361" s="744">
        <f>E359-E379-E380</f>
        <v>1744822.9135115617</v>
      </c>
      <c r="F361" s="403"/>
      <c r="G361" s="189"/>
      <c r="H361" s="744">
        <f>H359-H379-H380</f>
        <v>1703385.842450304</v>
      </c>
      <c r="I361" s="403"/>
      <c r="J361" s="189"/>
      <c r="K361" s="744">
        <f>K359-K379-K380</f>
        <v>1667523.0904499684</v>
      </c>
      <c r="L361" s="403"/>
      <c r="M361" s="189"/>
      <c r="N361" s="744">
        <f>N359-N379-N380</f>
        <v>1634778.8386235745</v>
      </c>
      <c r="O361" s="403"/>
      <c r="P361" s="189"/>
      <c r="Q361" s="744">
        <f>Q359-Q379-Q380</f>
        <v>1605153.0869711232</v>
      </c>
      <c r="R361" s="403"/>
      <c r="S361" s="189"/>
      <c r="T361" s="744">
        <f>T359-T379-T380</f>
        <v>1578581.8446245429</v>
      </c>
      <c r="U361" s="403"/>
      <c r="V361" s="189"/>
      <c r="W361" s="744">
        <f>W359-W379-W380</f>
        <v>1556206.970980389</v>
      </c>
      <c r="X361" s="403"/>
      <c r="Y361" s="189"/>
      <c r="Z361" s="744">
        <f>Z359-Z379-Z380</f>
        <v>1535230.6877742936</v>
      </c>
      <c r="AA361" s="403"/>
      <c r="AB361" s="189"/>
      <c r="AC361" s="744">
        <f>AC359-AC379-AC380</f>
        <v>1496074.6956593785</v>
      </c>
      <c r="AD361" s="403"/>
      <c r="AE361" s="189"/>
      <c r="AF361" s="744">
        <f>AF359-AF379-AF380</f>
        <v>1444332.6027596199</v>
      </c>
      <c r="AG361" s="403"/>
      <c r="AH361" s="189"/>
      <c r="AI361" s="744">
        <f>AI359-AI379-AI380</f>
        <v>1412246.1505128739</v>
      </c>
      <c r="AJ361" s="403"/>
      <c r="AK361" s="189"/>
      <c r="AL361" s="744">
        <f>AL359-AL379-AL380</f>
        <v>1366343.1505128739</v>
      </c>
      <c r="AM361" s="403"/>
      <c r="AN361" s="189"/>
      <c r="AO361" s="744">
        <f>AO359-AO379-AO380</f>
        <v>1336930.6756486043</v>
      </c>
      <c r="AP361" s="403"/>
      <c r="AQ361" s="189"/>
      <c r="AR361" s="744">
        <f>AR359-AR379-AR380</f>
        <v>1304678.0365613594</v>
      </c>
      <c r="AS361" s="403"/>
      <c r="AT361" s="189"/>
      <c r="AU361" s="28"/>
      <c r="AV361" s="77"/>
      <c r="AW361" s="28"/>
      <c r="AX361" s="28"/>
      <c r="AY361" s="77"/>
      <c r="AZ361" s="28"/>
      <c r="BA361" s="28"/>
      <c r="BB361" s="28"/>
      <c r="BC361" s="28"/>
      <c r="BD361" s="28"/>
      <c r="BE361" s="28"/>
      <c r="BF361" s="28"/>
      <c r="BG361" s="28"/>
      <c r="BH361" s="28"/>
      <c r="BI361" s="28"/>
      <c r="BJ361" s="28"/>
      <c r="BK361" s="28"/>
      <c r="BL361" s="28"/>
    </row>
    <row r="362" spans="1:64">
      <c r="A362" s="28"/>
      <c r="B362" s="55" t="s">
        <v>141</v>
      </c>
      <c r="D362" s="405">
        <v>15</v>
      </c>
      <c r="E362" s="405"/>
      <c r="F362" s="405"/>
      <c r="G362" s="405"/>
      <c r="H362" s="405"/>
      <c r="I362" s="405"/>
      <c r="J362" s="405"/>
      <c r="K362" s="405"/>
      <c r="L362" s="405"/>
      <c r="M362" s="405"/>
      <c r="N362" s="405"/>
      <c r="O362" s="405"/>
      <c r="P362" s="405"/>
      <c r="Q362" s="405"/>
      <c r="R362" s="405"/>
      <c r="S362" s="405"/>
      <c r="T362" s="405"/>
      <c r="U362" s="405"/>
      <c r="V362" s="405"/>
      <c r="W362" s="405"/>
      <c r="X362" s="405"/>
      <c r="Y362" s="405"/>
      <c r="Z362" s="405"/>
      <c r="AA362" s="405"/>
      <c r="AB362" s="405"/>
      <c r="AC362" s="405"/>
      <c r="AD362" s="405"/>
      <c r="AE362" s="405"/>
      <c r="AF362" s="405"/>
      <c r="AG362" s="405"/>
      <c r="AH362" s="405"/>
      <c r="AI362" s="405"/>
      <c r="AJ362" s="405"/>
      <c r="AK362" s="405"/>
      <c r="AL362" s="405"/>
      <c r="AM362" s="405"/>
      <c r="AN362" s="405"/>
      <c r="AO362" s="405"/>
      <c r="AP362" s="405"/>
      <c r="AQ362" s="405"/>
      <c r="AR362" s="405"/>
      <c r="AS362" s="405"/>
      <c r="AT362" s="405"/>
      <c r="AU362" s="28"/>
      <c r="AV362" s="28"/>
      <c r="AW362" s="28"/>
      <c r="AX362" s="28"/>
      <c r="AY362" s="28"/>
      <c r="AZ362" s="28"/>
      <c r="BA362" s="28"/>
      <c r="BB362" s="28"/>
      <c r="BC362" s="28"/>
      <c r="BD362" s="28"/>
      <c r="BE362" s="28"/>
      <c r="BF362" s="28"/>
      <c r="BG362" s="28"/>
      <c r="BH362" s="28"/>
      <c r="BI362" s="28"/>
      <c r="BJ362" s="28"/>
      <c r="BK362" s="28"/>
      <c r="BL362" s="28"/>
    </row>
    <row r="363" spans="1:64" ht="12.75">
      <c r="A363" s="28"/>
      <c r="B363" s="974" t="s">
        <v>76</v>
      </c>
      <c r="C363" s="946"/>
      <c r="D363" s="573">
        <v>0</v>
      </c>
      <c r="E363" s="573"/>
      <c r="F363" s="573"/>
      <c r="G363" s="573"/>
      <c r="H363" s="573"/>
      <c r="I363" s="573"/>
      <c r="J363" s="573"/>
      <c r="K363" s="573"/>
      <c r="L363" s="573"/>
      <c r="M363" s="573"/>
      <c r="N363" s="573"/>
      <c r="O363" s="573"/>
      <c r="P363" s="573"/>
      <c r="Q363" s="573"/>
      <c r="R363" s="573"/>
      <c r="S363" s="573"/>
      <c r="T363" s="573"/>
      <c r="U363" s="573"/>
      <c r="V363" s="573"/>
      <c r="W363" s="573"/>
      <c r="X363" s="573"/>
      <c r="Y363" s="573"/>
      <c r="Z363" s="573"/>
      <c r="AA363" s="573"/>
      <c r="AB363" s="573"/>
      <c r="AC363" s="573"/>
      <c r="AD363" s="573"/>
      <c r="AE363" s="573"/>
      <c r="AF363" s="573"/>
      <c r="AG363" s="573"/>
      <c r="AH363" s="573"/>
      <c r="AI363" s="573"/>
      <c r="AJ363" s="573"/>
      <c r="AK363" s="573"/>
      <c r="AL363" s="573"/>
      <c r="AM363" s="573"/>
      <c r="AN363" s="573"/>
      <c r="AO363" s="573"/>
      <c r="AP363" s="573"/>
      <c r="AQ363" s="573"/>
      <c r="AR363" s="573"/>
      <c r="AS363" s="573"/>
      <c r="AT363" s="573"/>
      <c r="AU363" s="28"/>
      <c r="AV363" s="33"/>
      <c r="AW363" s="464"/>
      <c r="AX363" s="28"/>
      <c r="AY363" s="33"/>
      <c r="AZ363" s="464"/>
      <c r="BA363" s="28"/>
      <c r="BB363" s="28"/>
      <c r="BC363" s="28"/>
      <c r="BD363" s="28"/>
      <c r="BE363" s="28"/>
      <c r="BF363" s="28"/>
      <c r="BG363" s="28"/>
      <c r="BH363" s="28"/>
      <c r="BI363" s="28"/>
      <c r="BJ363" s="28"/>
      <c r="BK363" s="28"/>
      <c r="BL363" s="28"/>
    </row>
    <row r="364" spans="1:64" ht="18">
      <c r="A364" s="91"/>
      <c r="B364" s="975" t="s">
        <v>79</v>
      </c>
      <c r="C364" s="946"/>
      <c r="D364" s="574">
        <f>canthorsup*86.9</f>
        <v>3128.4</v>
      </c>
      <c r="E364" s="574"/>
      <c r="F364" s="574"/>
      <c r="G364" s="574"/>
      <c r="H364" s="574"/>
      <c r="I364" s="574"/>
      <c r="J364" s="574"/>
      <c r="K364" s="574"/>
      <c r="L364" s="574"/>
      <c r="M364" s="574"/>
      <c r="N364" s="574"/>
      <c r="O364" s="574"/>
      <c r="P364" s="574"/>
      <c r="Q364" s="574"/>
      <c r="R364" s="574"/>
      <c r="S364" s="574"/>
      <c r="T364" s="574"/>
      <c r="U364" s="574"/>
      <c r="V364" s="574"/>
      <c r="W364" s="574"/>
      <c r="X364" s="574"/>
      <c r="Y364" s="574"/>
      <c r="Z364" s="574"/>
      <c r="AA364" s="574"/>
      <c r="AB364" s="574"/>
      <c r="AC364" s="574"/>
      <c r="AD364" s="574"/>
      <c r="AE364" s="574"/>
      <c r="AF364" s="574"/>
      <c r="AG364" s="574"/>
      <c r="AH364" s="574"/>
      <c r="AI364" s="574"/>
      <c r="AJ364" s="574"/>
      <c r="AK364" s="574"/>
      <c r="AL364" s="574"/>
      <c r="AM364" s="574"/>
      <c r="AN364" s="574"/>
      <c r="AO364" s="574"/>
      <c r="AP364" s="574"/>
      <c r="AQ364" s="574"/>
      <c r="AR364" s="574"/>
      <c r="AS364" s="574"/>
      <c r="AT364" s="574"/>
      <c r="AU364" s="91"/>
      <c r="AV364" s="77"/>
      <c r="AW364" s="603"/>
      <c r="AX364" s="91"/>
      <c r="AY364" s="77"/>
      <c r="AZ364" s="603"/>
      <c r="BA364" s="91"/>
      <c r="BB364" s="91"/>
      <c r="BC364" s="91"/>
      <c r="BD364" s="91"/>
      <c r="BE364" s="91"/>
      <c r="BF364" s="91"/>
      <c r="BG364" s="91"/>
      <c r="BH364" s="91"/>
      <c r="BI364" s="91"/>
      <c r="BJ364" s="91"/>
      <c r="BK364" s="91"/>
      <c r="BL364" s="91"/>
    </row>
    <row r="365" spans="1:64" ht="18">
      <c r="A365" s="91"/>
      <c r="B365" s="575"/>
      <c r="C365" s="576"/>
      <c r="D365" s="577"/>
      <c r="E365" s="21">
        <v>45992</v>
      </c>
      <c r="F365" s="22">
        <f>(1+Aumentodic25respene25)*(1+Aumentoene25respdic24)-1</f>
        <v>0.29963870703408513</v>
      </c>
      <c r="G365" s="20"/>
      <c r="H365" s="21">
        <v>45962</v>
      </c>
      <c r="I365" s="22">
        <f>(1+Aumentonov25respene25)*(1+Aumentoene25respdic24)-1</f>
        <v>0.26794020198447344</v>
      </c>
      <c r="J365" s="20"/>
      <c r="K365" s="21">
        <v>45931</v>
      </c>
      <c r="L365" s="22" cm="1">
        <f t="array" ref="L365">(1+Aumentooct25respene25)*(1+Aumentoene25respdic24)-1</f>
        <v>0.24050593609017179</v>
      </c>
      <c r="M365" s="20"/>
      <c r="N365" s="21">
        <v>45901</v>
      </c>
      <c r="O365" s="22" cm="1">
        <f t="array" ref="O365">(1+Aumentosep25respene25)*(1+Aumentoene25respdic24)-1</f>
        <v>0.21545725853450493</v>
      </c>
      <c r="P365" s="20"/>
      <c r="Q365" s="21">
        <v>45870</v>
      </c>
      <c r="R365" s="22" cm="1">
        <f t="array" ref="R365">(1+Aumentoago25respene25)*(1+Aumentoene25respdic24)-1</f>
        <v>0.19279416931747306</v>
      </c>
      <c r="S365" s="20"/>
      <c r="T365" s="21">
        <v>45839</v>
      </c>
      <c r="U365" s="22">
        <f>(1+Aumentojul25respene25)*(1+Aumentoene25respdic24)-1</f>
        <v>0.17246852876408125</v>
      </c>
      <c r="V365" s="20"/>
      <c r="W365" s="21">
        <v>45809</v>
      </c>
      <c r="X365" s="22">
        <f>(1+Aumentojun25respene25)*(1+Aumentoene25respdic24)-1</f>
        <v>0.15535219987701421</v>
      </c>
      <c r="Y365" s="20"/>
      <c r="Z365" s="21">
        <v>45778</v>
      </c>
      <c r="AA365" s="22" cm="1">
        <f t="array" ref="AA365">(1+Aumentomay25respene25)*(1+Aumentoene25respdic24)-1</f>
        <v>0.13930564154538927</v>
      </c>
      <c r="AB365" s="20"/>
      <c r="AC365" s="21">
        <v>45748</v>
      </c>
      <c r="AD365" s="22">
        <f>(1+Aumentoabr25respene25)*(1+Aumentoene25respdic24)-1</f>
        <v>0.10935206599302227</v>
      </c>
      <c r="AE365" s="20"/>
      <c r="AF365" s="21">
        <v>45717</v>
      </c>
      <c r="AG365" s="22">
        <f>(1+Aumentomar25respene25)*(1+Aumentoene25respdic24)-1</f>
        <v>6.9770555441680093E-2</v>
      </c>
      <c r="AH365" s="20"/>
      <c r="AI365" s="787" t="s">
        <v>201</v>
      </c>
      <c r="AJ365" s="20"/>
      <c r="AK365" s="20"/>
      <c r="AL365" s="21" t="s">
        <v>200</v>
      </c>
      <c r="AM365" s="22">
        <f>(1+Aumentofeb25respene25)*(1+Aumentoene25respdic24)-1</f>
        <v>4.522515072791311E-2</v>
      </c>
      <c r="AN365" s="20"/>
      <c r="AO365" s="21">
        <v>45658</v>
      </c>
      <c r="AP365" s="22">
        <v>2.2725196406967674E-2</v>
      </c>
      <c r="AQ365" s="20"/>
      <c r="AR365" s="728">
        <v>45627</v>
      </c>
      <c r="AS365" s="729">
        <f>Aumentodic24</f>
        <v>1.1820279278367574</v>
      </c>
      <c r="AT365" s="20"/>
      <c r="AU365" s="77"/>
      <c r="AV365" s="77"/>
      <c r="AW365" s="91"/>
      <c r="AX365" s="259"/>
      <c r="AY365" s="91"/>
      <c r="AZ365" s="91"/>
      <c r="BA365" s="91"/>
      <c r="BB365" s="91"/>
      <c r="BC365" s="91"/>
      <c r="BD365" s="91"/>
      <c r="BE365" s="91"/>
      <c r="BF365" s="91"/>
      <c r="BG365" s="91"/>
      <c r="BH365" s="91"/>
      <c r="BI365" s="91"/>
      <c r="BJ365" s="91"/>
      <c r="BK365" s="91"/>
      <c r="BL365" s="91"/>
    </row>
    <row r="366" spans="1:64">
      <c r="A366" s="91"/>
      <c r="B366" s="411" t="s">
        <v>82</v>
      </c>
      <c r="C366" s="412" t="s">
        <v>83</v>
      </c>
      <c r="D366" s="413" t="s">
        <v>84</v>
      </c>
      <c r="E366" s="413"/>
      <c r="F366" s="413"/>
      <c r="G366" s="578"/>
      <c r="H366" s="413"/>
      <c r="I366" s="413"/>
      <c r="J366" s="578"/>
      <c r="K366" s="413"/>
      <c r="L366" s="413"/>
      <c r="M366" s="578"/>
      <c r="N366" s="413"/>
      <c r="O366" s="413"/>
      <c r="P366" s="578"/>
      <c r="Q366" s="413"/>
      <c r="R366" s="413"/>
      <c r="S366" s="578"/>
      <c r="T366" s="413"/>
      <c r="U366" s="413"/>
      <c r="V366" s="578"/>
      <c r="W366" s="413"/>
      <c r="X366" s="413"/>
      <c r="Y366" s="578"/>
      <c r="Z366" s="413"/>
      <c r="AA366" s="413"/>
      <c r="AB366" s="578"/>
      <c r="AC366" s="413"/>
      <c r="AD366" s="413"/>
      <c r="AE366" s="578"/>
      <c r="AF366" s="413"/>
      <c r="AG366" s="413"/>
      <c r="AH366" s="578"/>
      <c r="AI366" s="413"/>
      <c r="AJ366" s="413"/>
      <c r="AK366" s="578"/>
      <c r="AL366" s="413"/>
      <c r="AM366" s="413"/>
      <c r="AN366" s="578"/>
      <c r="AO366" s="413"/>
      <c r="AP366" s="413"/>
      <c r="AQ366" s="578"/>
      <c r="AR366" s="413"/>
      <c r="AS366" s="413"/>
      <c r="AT366" s="578"/>
      <c r="AU366" s="77"/>
      <c r="AV366" s="77"/>
      <c r="AW366" s="91"/>
      <c r="AX366" s="259"/>
      <c r="AY366" s="91"/>
      <c r="AZ366" s="91"/>
      <c r="BA366" s="91"/>
      <c r="BB366" s="91"/>
      <c r="BC366" s="91"/>
      <c r="BD366" s="91"/>
      <c r="BE366" s="91"/>
      <c r="BF366" s="91"/>
      <c r="BG366" s="91"/>
      <c r="BH366" s="91"/>
      <c r="BI366" s="91"/>
      <c r="BJ366" s="91"/>
      <c r="BK366" s="91"/>
      <c r="BL366" s="91"/>
    </row>
    <row r="367" spans="1:64">
      <c r="A367" s="91"/>
      <c r="B367" s="427">
        <v>4</v>
      </c>
      <c r="C367" s="579">
        <f>C418</f>
        <v>36</v>
      </c>
      <c r="D367" s="429" t="s">
        <v>143</v>
      </c>
      <c r="E367" s="580">
        <f t="shared" ref="E367:E376" si="484">E418</f>
        <v>825984.49204517377</v>
      </c>
      <c r="F367" s="580"/>
      <c r="G367" s="581"/>
      <c r="H367" s="580">
        <f t="shared" ref="H367:H376" si="485">H418</f>
        <v>805838.52882455976</v>
      </c>
      <c r="I367" s="580"/>
      <c r="J367" s="581"/>
      <c r="K367" s="580">
        <f t="shared" ref="K367:K376" si="486">K418</f>
        <v>788402.69988479989</v>
      </c>
      <c r="L367" s="580"/>
      <c r="M367" s="581"/>
      <c r="N367" s="580">
        <f t="shared" ref="N367:N376" si="487">N418</f>
        <v>772483.02998327988</v>
      </c>
      <c r="O367" s="580"/>
      <c r="P367" s="581"/>
      <c r="Q367" s="580">
        <f t="shared" ref="Q367:Q376" si="488">Q418</f>
        <v>758079.51911999995</v>
      </c>
      <c r="R367" s="580"/>
      <c r="S367" s="581"/>
      <c r="T367" s="580">
        <f t="shared" ref="T367:T376" si="489">T418</f>
        <v>745160.99404031993</v>
      </c>
      <c r="U367" s="580"/>
      <c r="V367" s="581"/>
      <c r="W367" s="580">
        <f t="shared" ref="W367:W376" si="490">W418</f>
        <v>734282.73135359993</v>
      </c>
      <c r="X367" s="580"/>
      <c r="Y367" s="581"/>
      <c r="Z367" s="580">
        <f t="shared" ref="Z367:Z376" si="491">Z418</f>
        <v>724084.44767999998</v>
      </c>
      <c r="AA367" s="580"/>
      <c r="AB367" s="581"/>
      <c r="AC367" s="580">
        <f t="shared" ref="AC367:AC376" si="492">AC418</f>
        <v>705047.50800000003</v>
      </c>
      <c r="AD367" s="580"/>
      <c r="AE367" s="581"/>
      <c r="AF367" s="580">
        <f t="shared" ref="AF367:AF375" si="493">AF418</f>
        <v>679891.41792000004</v>
      </c>
      <c r="AG367" s="580"/>
      <c r="AH367" s="581"/>
      <c r="AI367" s="580">
        <f t="shared" ref="AI367:AI375" si="494">AI418</f>
        <v>664291.55308824009</v>
      </c>
      <c r="AJ367" s="580"/>
      <c r="AK367" s="581"/>
      <c r="AL367" s="580">
        <f t="shared" ref="AL367:AL374" si="495">AL418</f>
        <v>664291.55308824009</v>
      </c>
      <c r="AM367" s="580"/>
      <c r="AN367" s="581"/>
      <c r="AO367" s="580">
        <f t="shared" ref="AO367:AO374" si="496">AO418</f>
        <v>649991.73491999996</v>
      </c>
      <c r="AP367" s="580"/>
      <c r="AQ367" s="581"/>
      <c r="AR367" s="580">
        <f t="shared" ref="AR367:AR374" si="497">AR418</f>
        <v>634248.06192000001</v>
      </c>
      <c r="AS367" s="580"/>
      <c r="AT367" s="581"/>
      <c r="AU367" s="77"/>
      <c r="AV367" s="77"/>
      <c r="AW367" s="91"/>
      <c r="AX367" s="259"/>
      <c r="AY367" s="91"/>
      <c r="AZ367" s="91"/>
      <c r="BA367" s="91"/>
      <c r="BB367" s="91"/>
      <c r="BC367" s="91"/>
      <c r="BD367" s="91"/>
      <c r="BE367" s="91"/>
      <c r="BF367" s="91"/>
      <c r="BG367" s="91"/>
      <c r="BH367" s="91"/>
      <c r="BI367" s="91"/>
      <c r="BJ367" s="91"/>
      <c r="BK367" s="91"/>
      <c r="BL367" s="91"/>
    </row>
    <row r="368" spans="1:64">
      <c r="A368" s="91"/>
      <c r="B368" s="420">
        <v>10</v>
      </c>
      <c r="C368" s="421">
        <f>porantighorsup</f>
        <v>1.2</v>
      </c>
      <c r="D368" s="422" t="s">
        <v>94</v>
      </c>
      <c r="E368" s="422">
        <f t="shared" si="484"/>
        <v>1021181.3904542085</v>
      </c>
      <c r="F368" s="422"/>
      <c r="G368" s="582"/>
      <c r="H368" s="422">
        <f t="shared" si="485"/>
        <v>997006.23458947171</v>
      </c>
      <c r="I368" s="422"/>
      <c r="J368" s="582"/>
      <c r="K368" s="422">
        <f t="shared" si="486"/>
        <v>976083.23986175982</v>
      </c>
      <c r="L368" s="422"/>
      <c r="M368" s="582"/>
      <c r="N368" s="422">
        <f t="shared" si="487"/>
        <v>956979.63597993576</v>
      </c>
      <c r="O368" s="422"/>
      <c r="P368" s="582"/>
      <c r="Q368" s="422">
        <f t="shared" si="488"/>
        <v>939695.42294399987</v>
      </c>
      <c r="R368" s="422"/>
      <c r="S368" s="582"/>
      <c r="T368" s="422">
        <f t="shared" si="489"/>
        <v>924193.19284838391</v>
      </c>
      <c r="U368" s="422"/>
      <c r="V368" s="582"/>
      <c r="W368" s="422">
        <f t="shared" si="490"/>
        <v>911139.27762431989</v>
      </c>
      <c r="X368" s="422"/>
      <c r="Y368" s="582"/>
      <c r="Z368" s="422">
        <f t="shared" si="491"/>
        <v>898901.33721599996</v>
      </c>
      <c r="AA368" s="422"/>
      <c r="AB368" s="582"/>
      <c r="AC368" s="422">
        <f t="shared" si="492"/>
        <v>876057.00959999999</v>
      </c>
      <c r="AD368" s="422"/>
      <c r="AE368" s="582"/>
      <c r="AF368" s="422">
        <f t="shared" si="493"/>
        <v>845869.701504</v>
      </c>
      <c r="AG368" s="422"/>
      <c r="AH368" s="582"/>
      <c r="AI368" s="422">
        <f t="shared" si="494"/>
        <v>827149.86370588804</v>
      </c>
      <c r="AJ368" s="422"/>
      <c r="AK368" s="582"/>
      <c r="AL368" s="422">
        <f t="shared" si="495"/>
        <v>797149.86370588804</v>
      </c>
      <c r="AM368" s="422"/>
      <c r="AN368" s="582"/>
      <c r="AO368" s="422">
        <f t="shared" si="496"/>
        <v>779990.0819039999</v>
      </c>
      <c r="AP368" s="422"/>
      <c r="AQ368" s="582"/>
      <c r="AR368" s="422">
        <f t="shared" si="497"/>
        <v>761097.67430399999</v>
      </c>
      <c r="AS368" s="422"/>
      <c r="AT368" s="582"/>
      <c r="AU368" s="77"/>
      <c r="AV368" s="77"/>
      <c r="AW368" s="91"/>
      <c r="AX368" s="259"/>
      <c r="AY368" s="91"/>
      <c r="AZ368" s="91"/>
      <c r="BA368" s="91"/>
      <c r="BB368" s="91"/>
      <c r="BC368" s="91"/>
      <c r="BD368" s="91"/>
      <c r="BE368" s="91"/>
      <c r="BF368" s="91"/>
      <c r="BG368" s="91"/>
      <c r="BH368" s="91"/>
      <c r="BI368" s="91"/>
      <c r="BJ368" s="91"/>
      <c r="BK368" s="91"/>
      <c r="BL368" s="91"/>
    </row>
    <row r="369" spans="1:64">
      <c r="A369" s="91"/>
      <c r="B369" s="427">
        <v>6</v>
      </c>
      <c r="C369" s="443">
        <f>C420</f>
        <v>17</v>
      </c>
      <c r="D369" s="429" t="s">
        <v>93</v>
      </c>
      <c r="E369" s="429">
        <f t="shared" si="484"/>
        <v>72112.011443515541</v>
      </c>
      <c r="F369" s="429"/>
      <c r="G369" s="583"/>
      <c r="H369" s="429">
        <f t="shared" si="485"/>
        <v>70353.181896112728</v>
      </c>
      <c r="I369" s="429"/>
      <c r="J369" s="583"/>
      <c r="K369" s="429">
        <f t="shared" si="486"/>
        <v>68830.958769479999</v>
      </c>
      <c r="L369" s="429"/>
      <c r="M369" s="583"/>
      <c r="N369" s="429">
        <f t="shared" si="487"/>
        <v>67441.102871250128</v>
      </c>
      <c r="O369" s="429"/>
      <c r="P369" s="583"/>
      <c r="Q369" s="429">
        <f t="shared" si="488"/>
        <v>66183.614201423086</v>
      </c>
      <c r="R369" s="429"/>
      <c r="S369" s="583"/>
      <c r="T369" s="429">
        <f t="shared" si="489"/>
        <v>65055.821672430233</v>
      </c>
      <c r="U369" s="429"/>
      <c r="V369" s="583"/>
      <c r="W369" s="429">
        <f t="shared" si="490"/>
        <v>64106.101648015188</v>
      </c>
      <c r="X369" s="429"/>
      <c r="Y369" s="583"/>
      <c r="Z369" s="429">
        <f t="shared" si="491"/>
        <v>63215.739125126107</v>
      </c>
      <c r="AA369" s="429"/>
      <c r="AB369" s="583"/>
      <c r="AC369" s="429">
        <f t="shared" si="492"/>
        <v>61553.729082399783</v>
      </c>
      <c r="AD369" s="429"/>
      <c r="AE369" s="583"/>
      <c r="AF369" s="429">
        <f t="shared" si="493"/>
        <v>59357.501525940002</v>
      </c>
      <c r="AG369" s="429"/>
      <c r="AH369" s="583"/>
      <c r="AI369" s="429">
        <f t="shared" si="494"/>
        <v>57995.570324580003</v>
      </c>
      <c r="AJ369" s="429"/>
      <c r="AK369" s="583"/>
      <c r="AL369" s="429">
        <f t="shared" si="495"/>
        <v>57995.570324580003</v>
      </c>
      <c r="AM369" s="429"/>
      <c r="AN369" s="583"/>
      <c r="AO369" s="429">
        <f t="shared" si="496"/>
        <v>56747.133390000003</v>
      </c>
      <c r="AP369" s="429"/>
      <c r="AQ369" s="583"/>
      <c r="AR369" s="429">
        <f t="shared" si="497"/>
        <v>55372.322635167293</v>
      </c>
      <c r="AS369" s="429"/>
      <c r="AT369" s="583"/>
      <c r="AU369" s="77"/>
      <c r="AV369" s="77"/>
      <c r="AW369" s="91"/>
      <c r="AX369" s="259"/>
      <c r="AY369" s="91"/>
      <c r="AZ369" s="91"/>
      <c r="BA369" s="91"/>
      <c r="BB369" s="91"/>
      <c r="BC369" s="91"/>
      <c r="BD369" s="91"/>
      <c r="BE369" s="91"/>
      <c r="BF369" s="91"/>
      <c r="BG369" s="91"/>
      <c r="BH369" s="91"/>
      <c r="BI369" s="91"/>
      <c r="BJ369" s="91"/>
      <c r="BK369" s="91"/>
      <c r="BL369" s="91"/>
    </row>
    <row r="370" spans="1:64">
      <c r="A370" s="91"/>
      <c r="B370" s="420">
        <v>14</v>
      </c>
      <c r="C370" s="421">
        <v>7.0000000000000007E-2</v>
      </c>
      <c r="D370" s="422" t="s">
        <v>144</v>
      </c>
      <c r="E370" s="422">
        <f t="shared" si="484"/>
        <v>5047.840801046088</v>
      </c>
      <c r="F370" s="422"/>
      <c r="G370" s="582"/>
      <c r="H370" s="422">
        <f t="shared" si="485"/>
        <v>4924.7227327278915</v>
      </c>
      <c r="I370" s="422"/>
      <c r="J370" s="582"/>
      <c r="K370" s="422">
        <f t="shared" si="486"/>
        <v>4818.1671138636002</v>
      </c>
      <c r="L370" s="422"/>
      <c r="M370" s="582"/>
      <c r="N370" s="422">
        <f t="shared" si="487"/>
        <v>4720.8772009875092</v>
      </c>
      <c r="O370" s="422"/>
      <c r="P370" s="582"/>
      <c r="Q370" s="422">
        <f t="shared" si="488"/>
        <v>4632.8529940996168</v>
      </c>
      <c r="R370" s="422"/>
      <c r="S370" s="582"/>
      <c r="T370" s="422">
        <f t="shared" si="489"/>
        <v>4553.9075170701171</v>
      </c>
      <c r="U370" s="422"/>
      <c r="V370" s="582"/>
      <c r="W370" s="422">
        <f t="shared" si="490"/>
        <v>4487.4271153610634</v>
      </c>
      <c r="X370" s="422"/>
      <c r="Y370" s="582"/>
      <c r="Z370" s="422">
        <f t="shared" si="491"/>
        <v>4425.1017387588281</v>
      </c>
      <c r="AA370" s="422"/>
      <c r="AB370" s="582"/>
      <c r="AC370" s="422">
        <f t="shared" si="492"/>
        <v>4308.761035767985</v>
      </c>
      <c r="AD370" s="422"/>
      <c r="AE370" s="582"/>
      <c r="AF370" s="422">
        <f t="shared" si="493"/>
        <v>4155.0251068158004</v>
      </c>
      <c r="AG370" s="422"/>
      <c r="AH370" s="582"/>
      <c r="AI370" s="422">
        <f t="shared" si="494"/>
        <v>4059.6899227206004</v>
      </c>
      <c r="AJ370" s="422"/>
      <c r="AK370" s="582"/>
      <c r="AL370" s="422">
        <f t="shared" si="495"/>
        <v>4059.6899227206004</v>
      </c>
      <c r="AM370" s="422"/>
      <c r="AN370" s="582"/>
      <c r="AO370" s="422">
        <f t="shared" si="496"/>
        <v>3972.2993373000004</v>
      </c>
      <c r="AP370" s="422"/>
      <c r="AQ370" s="582"/>
      <c r="AR370" s="422">
        <f t="shared" si="497"/>
        <v>3876.0625844617107</v>
      </c>
      <c r="AS370" s="422"/>
      <c r="AT370" s="582"/>
      <c r="AU370" s="77"/>
      <c r="AV370" s="77"/>
      <c r="AW370" s="91"/>
      <c r="AX370" s="259"/>
      <c r="AY370" s="91"/>
      <c r="AZ370" s="91"/>
      <c r="BA370" s="91"/>
      <c r="BB370" s="91"/>
      <c r="BC370" s="91"/>
      <c r="BD370" s="91"/>
      <c r="BE370" s="91"/>
      <c r="BF370" s="91"/>
      <c r="BG370" s="91"/>
      <c r="BH370" s="91"/>
      <c r="BI370" s="91"/>
      <c r="BJ370" s="91"/>
      <c r="BK370" s="91"/>
      <c r="BL370" s="91"/>
    </row>
    <row r="371" spans="1:64">
      <c r="A371" s="91"/>
      <c r="B371" s="414">
        <v>188</v>
      </c>
      <c r="C371" s="584">
        <v>7.0000000000000007E-2</v>
      </c>
      <c r="D371" s="416" t="s">
        <v>96</v>
      </c>
      <c r="E371" s="416">
        <f t="shared" si="484"/>
        <v>141294.84305446476</v>
      </c>
      <c r="F371" s="416"/>
      <c r="G371" s="583"/>
      <c r="H371" s="416">
        <f t="shared" si="485"/>
        <v>137942.52980923391</v>
      </c>
      <c r="I371" s="416"/>
      <c r="J371" s="583"/>
      <c r="K371" s="416">
        <f t="shared" si="486"/>
        <v>135041.18626679518</v>
      </c>
      <c r="L371" s="416"/>
      <c r="M371" s="583"/>
      <c r="N371" s="416">
        <f t="shared" si="487"/>
        <v>132392.13346717719</v>
      </c>
      <c r="O371" s="416"/>
      <c r="P371" s="583"/>
      <c r="Q371" s="416">
        <f t="shared" si="488"/>
        <v>129995.37141038</v>
      </c>
      <c r="R371" s="416"/>
      <c r="S371" s="583"/>
      <c r="T371" s="416">
        <f t="shared" si="489"/>
        <v>127845.71999756928</v>
      </c>
      <c r="U371" s="416"/>
      <c r="V371" s="583"/>
      <c r="W371" s="416">
        <f t="shared" si="490"/>
        <v>126035.56350125441</v>
      </c>
      <c r="X371" s="416"/>
      <c r="Y371" s="583"/>
      <c r="Z371" s="416">
        <f t="shared" si="491"/>
        <v>124338.55527562</v>
      </c>
      <c r="AA371" s="416"/>
      <c r="AB371" s="583"/>
      <c r="AC371" s="416">
        <f t="shared" si="492"/>
        <v>121170.78449042002</v>
      </c>
      <c r="AD371" s="416"/>
      <c r="AE371" s="583"/>
      <c r="AF371" s="416">
        <f t="shared" si="493"/>
        <v>116984.78101968001</v>
      </c>
      <c r="AG371" s="416"/>
      <c r="AH371" s="583"/>
      <c r="AI371" s="416">
        <f t="shared" si="494"/>
        <v>114388.94479558898</v>
      </c>
      <c r="AJ371" s="416"/>
      <c r="AK371" s="583"/>
      <c r="AL371" s="416">
        <f t="shared" si="495"/>
        <v>110538.94479558898</v>
      </c>
      <c r="AM371" s="416"/>
      <c r="AN371" s="583"/>
      <c r="AO371" s="416">
        <f t="shared" si="496"/>
        <v>108159.43717768</v>
      </c>
      <c r="AP371" s="416"/>
      <c r="AQ371" s="583"/>
      <c r="AR371" s="416">
        <f t="shared" si="497"/>
        <v>105550.56401426243</v>
      </c>
      <c r="AS371" s="416"/>
      <c r="AT371" s="583"/>
      <c r="AU371" s="77"/>
      <c r="AV371" s="77"/>
      <c r="AW371" s="91"/>
      <c r="AX371" s="259"/>
      <c r="AY371" s="91"/>
      <c r="AZ371" s="91"/>
      <c r="BA371" s="91"/>
      <c r="BB371" s="91"/>
      <c r="BC371" s="91"/>
      <c r="BD371" s="91"/>
      <c r="BE371" s="91"/>
      <c r="BF371" s="91"/>
      <c r="BG371" s="91"/>
      <c r="BH371" s="91"/>
      <c r="BI371" s="91"/>
      <c r="BJ371" s="91"/>
      <c r="BK371" s="91"/>
      <c r="BL371" s="91"/>
    </row>
    <row r="372" spans="1:64">
      <c r="A372" s="91"/>
      <c r="B372" s="420">
        <v>117</v>
      </c>
      <c r="C372" s="585"/>
      <c r="D372" s="422" t="s">
        <v>101</v>
      </c>
      <c r="E372" s="422">
        <f t="shared" si="484"/>
        <v>43246.518843155973</v>
      </c>
      <c r="F372" s="422"/>
      <c r="G372" s="583"/>
      <c r="H372" s="422">
        <f t="shared" si="485"/>
        <v>42191.725700639981</v>
      </c>
      <c r="I372" s="422"/>
      <c r="J372" s="583"/>
      <c r="K372" s="422">
        <f t="shared" si="486"/>
        <v>41278.828531199986</v>
      </c>
      <c r="L372" s="422"/>
      <c r="M372" s="583"/>
      <c r="N372" s="422">
        <f t="shared" si="487"/>
        <v>40445.313724319989</v>
      </c>
      <c r="O372" s="422"/>
      <c r="P372" s="583"/>
      <c r="Q372" s="422">
        <f t="shared" si="488"/>
        <v>39691.181279999997</v>
      </c>
      <c r="R372" s="422"/>
      <c r="S372" s="583"/>
      <c r="T372" s="422">
        <f t="shared" si="489"/>
        <v>39014.829311999994</v>
      </c>
      <c r="U372" s="422"/>
      <c r="V372" s="583"/>
      <c r="W372" s="422">
        <f t="shared" si="490"/>
        <v>38445.269759999996</v>
      </c>
      <c r="X372" s="422"/>
      <c r="Y372" s="583"/>
      <c r="Z372" s="422">
        <f t="shared" si="491"/>
        <v>37911.307679999998</v>
      </c>
      <c r="AA372" s="422"/>
      <c r="AB372" s="583"/>
      <c r="AC372" s="422">
        <f t="shared" si="492"/>
        <v>36914.578463999998</v>
      </c>
      <c r="AD372" s="422"/>
      <c r="AE372" s="583"/>
      <c r="AF372" s="422">
        <f t="shared" si="493"/>
        <v>35597.472000000002</v>
      </c>
      <c r="AG372" s="422"/>
      <c r="AH372" s="583"/>
      <c r="AI372" s="422">
        <f t="shared" si="494"/>
        <v>34780.703999999998</v>
      </c>
      <c r="AJ372" s="422"/>
      <c r="AK372" s="583"/>
      <c r="AL372" s="422">
        <f t="shared" si="495"/>
        <v>34780.703999999998</v>
      </c>
      <c r="AM372" s="422"/>
      <c r="AN372" s="583"/>
      <c r="AO372" s="422">
        <f t="shared" si="496"/>
        <v>34032</v>
      </c>
      <c r="AP372" s="422"/>
      <c r="AQ372" s="583"/>
      <c r="AR372" s="422">
        <f t="shared" si="497"/>
        <v>33207.85812943583</v>
      </c>
      <c r="AS372" s="422"/>
      <c r="AT372" s="583"/>
      <c r="AU372" s="77"/>
      <c r="AV372" s="77"/>
      <c r="AW372" s="91"/>
      <c r="AX372" s="259"/>
      <c r="AY372" s="91"/>
      <c r="AZ372" s="91"/>
      <c r="BA372" s="91"/>
      <c r="BB372" s="91"/>
      <c r="BC372" s="91"/>
      <c r="BD372" s="91"/>
      <c r="BE372" s="91"/>
      <c r="BF372" s="91"/>
      <c r="BG372" s="91"/>
      <c r="BH372" s="91"/>
      <c r="BI372" s="91"/>
      <c r="BJ372" s="91"/>
      <c r="BK372" s="91"/>
      <c r="BL372" s="91"/>
    </row>
    <row r="373" spans="1:64">
      <c r="A373" s="91"/>
      <c r="B373" s="427">
        <v>29</v>
      </c>
      <c r="C373" s="427">
        <f>cantkmhs</f>
        <v>0</v>
      </c>
      <c r="D373" s="429" t="s">
        <v>102</v>
      </c>
      <c r="E373" s="429">
        <f t="shared" si="484"/>
        <v>0</v>
      </c>
      <c r="F373" s="429"/>
      <c r="G373" s="583"/>
      <c r="H373" s="429">
        <f t="shared" si="485"/>
        <v>0</v>
      </c>
      <c r="I373" s="429"/>
      <c r="J373" s="583"/>
      <c r="K373" s="429">
        <f t="shared" si="486"/>
        <v>0</v>
      </c>
      <c r="L373" s="429"/>
      <c r="M373" s="583"/>
      <c r="N373" s="429">
        <f t="shared" si="487"/>
        <v>0</v>
      </c>
      <c r="O373" s="429"/>
      <c r="P373" s="583"/>
      <c r="Q373" s="429">
        <f t="shared" si="488"/>
        <v>0</v>
      </c>
      <c r="R373" s="429"/>
      <c r="S373" s="583"/>
      <c r="T373" s="429">
        <f t="shared" si="489"/>
        <v>0</v>
      </c>
      <c r="U373" s="429"/>
      <c r="V373" s="583"/>
      <c r="W373" s="429">
        <f t="shared" si="490"/>
        <v>0</v>
      </c>
      <c r="X373" s="429"/>
      <c r="Y373" s="583"/>
      <c r="Z373" s="429">
        <f t="shared" si="491"/>
        <v>0</v>
      </c>
      <c r="AA373" s="429"/>
      <c r="AB373" s="583"/>
      <c r="AC373" s="429">
        <f t="shared" si="492"/>
        <v>0</v>
      </c>
      <c r="AD373" s="429"/>
      <c r="AE373" s="583"/>
      <c r="AF373" s="429">
        <f t="shared" si="493"/>
        <v>0</v>
      </c>
      <c r="AG373" s="429"/>
      <c r="AH373" s="583"/>
      <c r="AI373" s="429">
        <f t="shared" si="494"/>
        <v>0</v>
      </c>
      <c r="AJ373" s="429"/>
      <c r="AK373" s="583"/>
      <c r="AL373" s="429">
        <f t="shared" si="495"/>
        <v>0</v>
      </c>
      <c r="AM373" s="429"/>
      <c r="AN373" s="583"/>
      <c r="AO373" s="429">
        <f t="shared" si="496"/>
        <v>0</v>
      </c>
      <c r="AP373" s="429"/>
      <c r="AQ373" s="583"/>
      <c r="AR373" s="429">
        <f t="shared" si="497"/>
        <v>0</v>
      </c>
      <c r="AS373" s="429"/>
      <c r="AT373" s="583"/>
      <c r="AU373" s="77"/>
      <c r="AV373" s="77"/>
      <c r="AW373" s="91"/>
      <c r="AX373" s="259"/>
      <c r="AY373" s="91"/>
      <c r="AZ373" s="91"/>
      <c r="BA373" s="91"/>
      <c r="BB373" s="91"/>
      <c r="BC373" s="91"/>
      <c r="BD373" s="91"/>
      <c r="BE373" s="91"/>
      <c r="BF373" s="91"/>
      <c r="BG373" s="91"/>
      <c r="BH373" s="91"/>
      <c r="BI373" s="91"/>
      <c r="BJ373" s="91"/>
      <c r="BK373" s="91"/>
      <c r="BL373" s="91"/>
    </row>
    <row r="374" spans="1:64" ht="16.5" thickBot="1">
      <c r="A374" s="91"/>
      <c r="B374" s="433">
        <v>38</v>
      </c>
      <c r="C374" s="586">
        <f>D362</f>
        <v>15</v>
      </c>
      <c r="D374" s="435" t="s">
        <v>147</v>
      </c>
      <c r="E374" s="435">
        <f t="shared" si="484"/>
        <v>103085.35657838669</v>
      </c>
      <c r="F374" s="435"/>
      <c r="G374" s="587"/>
      <c r="H374" s="435">
        <f t="shared" si="485"/>
        <v>100571.07958866995</v>
      </c>
      <c r="I374" s="435"/>
      <c r="J374" s="587"/>
      <c r="K374" s="435">
        <f t="shared" si="486"/>
        <v>98395.035533599963</v>
      </c>
      <c r="L374" s="435"/>
      <c r="M374" s="587"/>
      <c r="N374" s="435">
        <f t="shared" si="487"/>
        <v>96408.212700709977</v>
      </c>
      <c r="O374" s="435"/>
      <c r="P374" s="587"/>
      <c r="Q374" s="435">
        <f t="shared" si="488"/>
        <v>94610.611089999991</v>
      </c>
      <c r="R374" s="435"/>
      <c r="S374" s="587"/>
      <c r="T374" s="435">
        <f t="shared" si="489"/>
        <v>92998.412335999994</v>
      </c>
      <c r="U374" s="435"/>
      <c r="V374" s="587"/>
      <c r="W374" s="435">
        <f t="shared" si="490"/>
        <v>91640.771279999986</v>
      </c>
      <c r="X374" s="435"/>
      <c r="Y374" s="587"/>
      <c r="Z374" s="435">
        <f t="shared" si="491"/>
        <v>90367.982790000009</v>
      </c>
      <c r="AA374" s="435"/>
      <c r="AB374" s="587"/>
      <c r="AC374" s="435">
        <f t="shared" si="492"/>
        <v>87992.110941999999</v>
      </c>
      <c r="AD374" s="435"/>
      <c r="AE374" s="587"/>
      <c r="AF374" s="435">
        <f t="shared" si="493"/>
        <v>84852.566000000006</v>
      </c>
      <c r="AG374" s="435"/>
      <c r="AH374" s="587"/>
      <c r="AI374" s="435">
        <f t="shared" si="494"/>
        <v>82905.661999999997</v>
      </c>
      <c r="AJ374" s="435"/>
      <c r="AK374" s="587"/>
      <c r="AL374" s="435">
        <f t="shared" si="495"/>
        <v>82905.661999999997</v>
      </c>
      <c r="AM374" s="435"/>
      <c r="AN374" s="587"/>
      <c r="AO374" s="435">
        <f t="shared" si="496"/>
        <v>81121</v>
      </c>
      <c r="AP374" s="435"/>
      <c r="AQ374" s="587"/>
      <c r="AR374" s="435">
        <f t="shared" si="497"/>
        <v>79311.605850313033</v>
      </c>
      <c r="AS374" s="435"/>
      <c r="AT374" s="587"/>
      <c r="AU374" s="77"/>
      <c r="AV374" s="77"/>
      <c r="AW374" s="91"/>
      <c r="AX374" s="259"/>
      <c r="AY374" s="91"/>
      <c r="AZ374" s="91"/>
      <c r="BA374" s="91"/>
      <c r="BB374" s="91"/>
      <c r="BC374" s="91"/>
      <c r="BD374" s="91"/>
      <c r="BE374" s="91"/>
      <c r="BF374" s="91"/>
      <c r="BG374" s="91"/>
      <c r="BH374" s="91"/>
      <c r="BI374" s="91"/>
      <c r="BJ374" s="91"/>
      <c r="BK374" s="91"/>
      <c r="BL374" s="91"/>
    </row>
    <row r="375" spans="1:64" s="748" customFormat="1" ht="16.5" thickBot="1">
      <c r="A375" s="91"/>
      <c r="B375" s="764">
        <v>25</v>
      </c>
      <c r="C375" s="810">
        <v>1</v>
      </c>
      <c r="D375" s="765" t="s">
        <v>197</v>
      </c>
      <c r="E375" s="809">
        <f t="shared" si="484"/>
        <v>25000</v>
      </c>
      <c r="F375" s="435"/>
      <c r="G375" s="587"/>
      <c r="H375" s="809">
        <f t="shared" si="485"/>
        <v>25000</v>
      </c>
      <c r="I375" s="435"/>
      <c r="J375" s="587"/>
      <c r="K375" s="809">
        <f t="shared" si="486"/>
        <v>25000</v>
      </c>
      <c r="L375" s="435"/>
      <c r="M375" s="587"/>
      <c r="N375" s="809">
        <f t="shared" si="487"/>
        <v>25000</v>
      </c>
      <c r="O375" s="435"/>
      <c r="P375" s="587"/>
      <c r="Q375" s="809">
        <f t="shared" si="488"/>
        <v>25000</v>
      </c>
      <c r="R375" s="435"/>
      <c r="S375" s="587"/>
      <c r="T375" s="809">
        <f t="shared" si="489"/>
        <v>25000</v>
      </c>
      <c r="U375" s="435"/>
      <c r="V375" s="587"/>
      <c r="W375" s="809">
        <f t="shared" si="490"/>
        <v>25000</v>
      </c>
      <c r="X375" s="435"/>
      <c r="Y375" s="587"/>
      <c r="Z375" s="809">
        <f t="shared" si="491"/>
        <v>25000</v>
      </c>
      <c r="AA375" s="435"/>
      <c r="AB375" s="587"/>
      <c r="AC375" s="809">
        <f t="shared" si="492"/>
        <v>25000</v>
      </c>
      <c r="AD375" s="435"/>
      <c r="AE375" s="587"/>
      <c r="AF375" s="809">
        <f t="shared" si="493"/>
        <v>25000</v>
      </c>
      <c r="AG375" s="435"/>
      <c r="AH375" s="587"/>
      <c r="AI375" s="435">
        <f t="shared" si="494"/>
        <v>25000</v>
      </c>
      <c r="AJ375" s="435"/>
      <c r="AK375" s="587"/>
      <c r="AL375" s="435"/>
      <c r="AM375" s="435"/>
      <c r="AN375" s="587"/>
      <c r="AO375" s="435"/>
      <c r="AP375" s="435"/>
      <c r="AQ375" s="587"/>
      <c r="AR375" s="435"/>
      <c r="AS375" s="435"/>
      <c r="AT375" s="587"/>
      <c r="AU375" s="77"/>
      <c r="AV375" s="77"/>
      <c r="AW375" s="91"/>
      <c r="AX375" s="259"/>
      <c r="AY375" s="91"/>
      <c r="AZ375" s="91"/>
      <c r="BA375" s="91"/>
      <c r="BB375" s="91"/>
      <c r="BC375" s="91"/>
      <c r="BD375" s="91"/>
      <c r="BE375" s="91"/>
      <c r="BF375" s="91"/>
      <c r="BG375" s="91"/>
      <c r="BH375" s="91"/>
      <c r="BI375" s="91"/>
      <c r="BJ375" s="91"/>
      <c r="BK375" s="91"/>
      <c r="BL375" s="91"/>
    </row>
    <row r="376" spans="1:64">
      <c r="A376" s="91"/>
      <c r="B376" s="414"/>
      <c r="C376" s="588"/>
      <c r="D376" s="589" t="s">
        <v>154</v>
      </c>
      <c r="E376" s="589">
        <f t="shared" si="484"/>
        <v>2236952.4532199516</v>
      </c>
      <c r="F376" s="589"/>
      <c r="G376" s="590"/>
      <c r="H376" s="589">
        <f t="shared" si="485"/>
        <v>2183828.0031414158</v>
      </c>
      <c r="I376" s="589"/>
      <c r="J376" s="590"/>
      <c r="K376" s="589">
        <f t="shared" si="486"/>
        <v>2137850.1159614986</v>
      </c>
      <c r="L376" s="589"/>
      <c r="M376" s="590"/>
      <c r="N376" s="589">
        <f t="shared" si="487"/>
        <v>2095870.3059276603</v>
      </c>
      <c r="O376" s="589"/>
      <c r="P376" s="590"/>
      <c r="Q376" s="589">
        <f t="shared" si="488"/>
        <v>2057888.5730399024</v>
      </c>
      <c r="R376" s="589"/>
      <c r="S376" s="590"/>
      <c r="T376" s="589">
        <f t="shared" si="489"/>
        <v>2023822.8777237735</v>
      </c>
      <c r="U376" s="589"/>
      <c r="V376" s="590"/>
      <c r="W376" s="589">
        <f t="shared" si="490"/>
        <v>1995137.1422825505</v>
      </c>
      <c r="X376" s="589"/>
      <c r="Y376" s="590"/>
      <c r="Z376" s="589">
        <f t="shared" si="491"/>
        <v>1968244.4715055048</v>
      </c>
      <c r="AA376" s="589"/>
      <c r="AB376" s="590"/>
      <c r="AC376" s="589">
        <f t="shared" si="492"/>
        <v>1918044.4816145878</v>
      </c>
      <c r="AD376" s="589"/>
      <c r="AE376" s="590"/>
      <c r="AF376" s="589">
        <f t="shared" ref="AF376" si="498">AF427</f>
        <v>1851708.4650764358</v>
      </c>
      <c r="AG376" s="589"/>
      <c r="AH376" s="590"/>
      <c r="AI376" s="589">
        <f t="shared" ref="AI376" si="499">AI427</f>
        <v>1810571.9878370177</v>
      </c>
      <c r="AJ376" s="589"/>
      <c r="AK376" s="590"/>
      <c r="AL376" s="589">
        <f t="shared" ref="AL376" si="500">AL427</f>
        <v>1751721.9878370177</v>
      </c>
      <c r="AM376" s="589"/>
      <c r="AN376" s="590"/>
      <c r="AO376" s="589">
        <f t="shared" ref="AO376" si="501">AO427</f>
        <v>1714013.6867289799</v>
      </c>
      <c r="AP376" s="589"/>
      <c r="AQ376" s="590"/>
      <c r="AR376" s="589">
        <f t="shared" ref="AR376" si="502">AR427</f>
        <v>1672664.1494376403</v>
      </c>
      <c r="AS376" s="589"/>
      <c r="AT376" s="590"/>
      <c r="AU376" s="77"/>
      <c r="AV376" s="77"/>
      <c r="AW376" s="91"/>
      <c r="AX376" s="259"/>
      <c r="AY376" s="91"/>
      <c r="AZ376" s="91"/>
      <c r="BA376" s="91"/>
      <c r="BB376" s="91"/>
      <c r="BC376" s="91"/>
      <c r="BD376" s="91"/>
      <c r="BE376" s="91"/>
      <c r="BF376" s="91"/>
      <c r="BG376" s="91"/>
      <c r="BH376" s="91"/>
      <c r="BI376" s="91"/>
      <c r="BJ376" s="91"/>
      <c r="BK376" s="91"/>
      <c r="BL376" s="91"/>
    </row>
    <row r="377" spans="1:64">
      <c r="A377" s="91"/>
      <c r="B377" s="439" t="s">
        <v>149</v>
      </c>
      <c r="C377" s="591"/>
      <c r="D377" s="422"/>
      <c r="E377" s="592">
        <v>0</v>
      </c>
      <c r="F377" s="422"/>
      <c r="G377" s="582"/>
      <c r="H377" s="592">
        <v>0</v>
      </c>
      <c r="I377" s="422"/>
      <c r="J377" s="582"/>
      <c r="K377" s="592">
        <v>0</v>
      </c>
      <c r="L377" s="422"/>
      <c r="M377" s="582"/>
      <c r="N377" s="592">
        <v>0</v>
      </c>
      <c r="O377" s="422"/>
      <c r="P377" s="582"/>
      <c r="Q377" s="592">
        <v>0</v>
      </c>
      <c r="R377" s="422"/>
      <c r="S377" s="582"/>
      <c r="T377" s="592">
        <v>0</v>
      </c>
      <c r="U377" s="422"/>
      <c r="V377" s="582"/>
      <c r="W377" s="592">
        <v>0</v>
      </c>
      <c r="X377" s="422"/>
      <c r="Y377" s="582"/>
      <c r="Z377" s="592">
        <v>0</v>
      </c>
      <c r="AA377" s="422"/>
      <c r="AB377" s="582"/>
      <c r="AC377" s="592">
        <v>0</v>
      </c>
      <c r="AD377" s="422"/>
      <c r="AE377" s="582"/>
      <c r="AF377" s="592">
        <v>0</v>
      </c>
      <c r="AG377" s="422"/>
      <c r="AH377" s="582"/>
      <c r="AI377" s="592">
        <v>0</v>
      </c>
      <c r="AJ377" s="422"/>
      <c r="AK377" s="582"/>
      <c r="AL377" s="592">
        <v>0</v>
      </c>
      <c r="AM377" s="422"/>
      <c r="AN377" s="582"/>
      <c r="AO377" s="592">
        <v>0</v>
      </c>
      <c r="AP377" s="422"/>
      <c r="AQ377" s="582"/>
      <c r="AR377" s="592">
        <v>0</v>
      </c>
      <c r="AS377" s="422"/>
      <c r="AT377" s="582"/>
      <c r="AU377" s="77"/>
      <c r="AV377" s="77"/>
      <c r="AW377" s="91"/>
      <c r="AX377" s="259"/>
      <c r="AY377" s="91"/>
      <c r="AZ377" s="91"/>
      <c r="BA377" s="91"/>
      <c r="BB377" s="91"/>
      <c r="BC377" s="91"/>
      <c r="BD377" s="91"/>
      <c r="BE377" s="91"/>
      <c r="BF377" s="91"/>
      <c r="BG377" s="91"/>
      <c r="BH377" s="91"/>
      <c r="BI377" s="91"/>
      <c r="BJ377" s="91"/>
      <c r="BK377" s="91"/>
      <c r="BL377" s="91"/>
    </row>
    <row r="378" spans="1:64">
      <c r="A378" s="283">
        <f>1.6874*1.1888-1</f>
        <v>1.00598112</v>
      </c>
      <c r="B378" s="593"/>
      <c r="C378" s="594"/>
      <c r="D378" s="429"/>
      <c r="E378" s="429">
        <f t="shared" ref="E378:E382" si="503">E429</f>
        <v>0</v>
      </c>
      <c r="F378" s="429"/>
      <c r="G378" s="583"/>
      <c r="H378" s="429">
        <f t="shared" ref="H378:H382" si="504">H429</f>
        <v>0</v>
      </c>
      <c r="I378" s="429"/>
      <c r="J378" s="583"/>
      <c r="K378" s="429">
        <f t="shared" ref="K378:K382" si="505">K429</f>
        <v>0</v>
      </c>
      <c r="L378" s="429"/>
      <c r="M378" s="583"/>
      <c r="N378" s="429">
        <f t="shared" ref="N378:N382" si="506">N429</f>
        <v>0</v>
      </c>
      <c r="O378" s="429"/>
      <c r="P378" s="583"/>
      <c r="Q378" s="429">
        <f t="shared" ref="Q378:Q382" si="507">Q429</f>
        <v>0</v>
      </c>
      <c r="R378" s="429"/>
      <c r="S378" s="583"/>
      <c r="T378" s="429">
        <f t="shared" ref="T378:T382" si="508">T429</f>
        <v>0</v>
      </c>
      <c r="U378" s="429"/>
      <c r="V378" s="583"/>
      <c r="W378" s="429">
        <f t="shared" ref="W378:W382" si="509">W429</f>
        <v>0</v>
      </c>
      <c r="X378" s="429"/>
      <c r="Y378" s="583"/>
      <c r="Z378" s="429">
        <f t="shared" ref="Z378:Z382" si="510">Z429</f>
        <v>0</v>
      </c>
      <c r="AA378" s="429"/>
      <c r="AB378" s="583"/>
      <c r="AC378" s="429">
        <f t="shared" ref="AC378:AC382" si="511">AC429</f>
        <v>0</v>
      </c>
      <c r="AD378" s="429"/>
      <c r="AE378" s="583"/>
      <c r="AF378" s="429">
        <f t="shared" ref="AF378:AF382" si="512">AF429</f>
        <v>0</v>
      </c>
      <c r="AG378" s="429"/>
      <c r="AH378" s="583"/>
      <c r="AI378" s="429">
        <f t="shared" ref="AI378:AI382" si="513">AI429</f>
        <v>0</v>
      </c>
      <c r="AJ378" s="429"/>
      <c r="AK378" s="583"/>
      <c r="AL378" s="429">
        <f t="shared" ref="AL378:AL382" si="514">AL429</f>
        <v>0</v>
      </c>
      <c r="AM378" s="429"/>
      <c r="AN378" s="583"/>
      <c r="AO378" s="429">
        <f t="shared" ref="AO378:AO382" si="515">AO429</f>
        <v>0</v>
      </c>
      <c r="AP378" s="429"/>
      <c r="AQ378" s="583"/>
      <c r="AR378" s="429">
        <f t="shared" ref="AR378:AR382" si="516">AR429</f>
        <v>0</v>
      </c>
      <c r="AS378" s="429"/>
      <c r="AT378" s="583"/>
      <c r="AU378" s="77"/>
      <c r="AV378" s="77"/>
      <c r="AW378" s="91"/>
      <c r="AX378" s="259"/>
      <c r="AY378" s="91"/>
      <c r="AZ378" s="91"/>
      <c r="BA378" s="91"/>
      <c r="BB378" s="91"/>
      <c r="BC378" s="91"/>
      <c r="BD378" s="91"/>
      <c r="BE378" s="91"/>
      <c r="BF378" s="91"/>
      <c r="BG378" s="91"/>
      <c r="BH378" s="91"/>
      <c r="BI378" s="91"/>
      <c r="BJ378" s="91"/>
      <c r="BK378" s="91"/>
      <c r="BL378" s="91"/>
    </row>
    <row r="379" spans="1:64">
      <c r="A379" s="91"/>
      <c r="B379" s="420">
        <v>184</v>
      </c>
      <c r="C379" s="595">
        <f>C430</f>
        <v>24</v>
      </c>
      <c r="D379" s="422" t="s">
        <v>196</v>
      </c>
      <c r="E379" s="422">
        <f t="shared" si="503"/>
        <v>73504.798228799991</v>
      </c>
      <c r="F379" s="422"/>
      <c r="G379" s="583"/>
      <c r="H379" s="422">
        <f t="shared" si="504"/>
        <v>73504.798228799991</v>
      </c>
      <c r="I379" s="422"/>
      <c r="J379" s="583"/>
      <c r="K379" s="422">
        <f t="shared" si="505"/>
        <v>73504.798228799991</v>
      </c>
      <c r="L379" s="422"/>
      <c r="M379" s="583"/>
      <c r="N379" s="422">
        <f t="shared" si="506"/>
        <v>73504.798228799991</v>
      </c>
      <c r="O379" s="422"/>
      <c r="P379" s="583"/>
      <c r="Q379" s="422">
        <f t="shared" si="507"/>
        <v>73504.798228799991</v>
      </c>
      <c r="R379" s="422"/>
      <c r="S379" s="583"/>
      <c r="T379" s="422">
        <f t="shared" si="508"/>
        <v>73504.798228799991</v>
      </c>
      <c r="U379" s="422"/>
      <c r="V379" s="583"/>
      <c r="W379" s="422">
        <f t="shared" si="509"/>
        <v>73504.798228799991</v>
      </c>
      <c r="X379" s="422"/>
      <c r="Y379" s="583"/>
      <c r="Z379" s="422">
        <f t="shared" si="510"/>
        <v>73504.798228799991</v>
      </c>
      <c r="AA379" s="422"/>
      <c r="AB379" s="583"/>
      <c r="AC379" s="422">
        <f t="shared" si="511"/>
        <v>73504.798228799991</v>
      </c>
      <c r="AD379" s="422"/>
      <c r="AE379" s="583"/>
      <c r="AF379" s="422">
        <f t="shared" si="512"/>
        <v>73504.798228799991</v>
      </c>
      <c r="AG379" s="422"/>
      <c r="AH379" s="583"/>
      <c r="AI379" s="422">
        <f t="shared" si="513"/>
        <v>73504.798228799991</v>
      </c>
      <c r="AJ379" s="422"/>
      <c r="AK379" s="583"/>
      <c r="AL379" s="422">
        <f t="shared" si="514"/>
        <v>66399.998399999997</v>
      </c>
      <c r="AM379" s="422"/>
      <c r="AN379" s="583"/>
      <c r="AO379" s="422">
        <f t="shared" si="515"/>
        <v>66399.998399999997</v>
      </c>
      <c r="AP379" s="422"/>
      <c r="AQ379" s="583"/>
      <c r="AR379" s="422">
        <f t="shared" si="516"/>
        <v>66399.998399999997</v>
      </c>
      <c r="AS379" s="422"/>
      <c r="AT379" s="583"/>
      <c r="AU379" s="77"/>
      <c r="AV379" s="77"/>
      <c r="AW379" s="91"/>
      <c r="AX379" s="259"/>
      <c r="AY379" s="91"/>
      <c r="AZ379" s="91"/>
      <c r="BA379" s="91"/>
      <c r="BB379" s="91"/>
      <c r="BC379" s="91"/>
      <c r="BD379" s="91"/>
      <c r="BE379" s="91"/>
      <c r="BF379" s="91"/>
      <c r="BG379" s="91"/>
      <c r="BH379" s="91"/>
      <c r="BI379" s="91"/>
      <c r="BJ379" s="91"/>
      <c r="BK379" s="91"/>
      <c r="BL379" s="91"/>
    </row>
    <row r="380" spans="1:64">
      <c r="A380" s="91"/>
      <c r="B380" s="414">
        <v>204</v>
      </c>
      <c r="C380" s="425">
        <f>C431</f>
        <v>24</v>
      </c>
      <c r="D380" s="416" t="s">
        <v>195</v>
      </c>
      <c r="E380" s="416">
        <f t="shared" si="503"/>
        <v>54907.199822879993</v>
      </c>
      <c r="F380" s="416"/>
      <c r="G380" s="596"/>
      <c r="H380" s="416">
        <f t="shared" si="504"/>
        <v>54907.199822879993</v>
      </c>
      <c r="I380" s="416"/>
      <c r="J380" s="596"/>
      <c r="K380" s="416">
        <f t="shared" si="505"/>
        <v>54907.199822879993</v>
      </c>
      <c r="L380" s="416"/>
      <c r="M380" s="596"/>
      <c r="N380" s="416">
        <f t="shared" si="506"/>
        <v>54907.199822879993</v>
      </c>
      <c r="O380" s="416"/>
      <c r="P380" s="596"/>
      <c r="Q380" s="416">
        <f t="shared" si="507"/>
        <v>54907.199822879993</v>
      </c>
      <c r="R380" s="416"/>
      <c r="S380" s="596"/>
      <c r="T380" s="416">
        <f t="shared" si="508"/>
        <v>54907.199822879993</v>
      </c>
      <c r="U380" s="416"/>
      <c r="V380" s="596"/>
      <c r="W380" s="416">
        <f t="shared" si="509"/>
        <v>54907.199822879993</v>
      </c>
      <c r="X380" s="416"/>
      <c r="Y380" s="596"/>
      <c r="Z380" s="416">
        <f t="shared" si="510"/>
        <v>54907.199822879993</v>
      </c>
      <c r="AA380" s="416"/>
      <c r="AB380" s="596"/>
      <c r="AC380" s="416">
        <f t="shared" si="511"/>
        <v>54907.199822879993</v>
      </c>
      <c r="AD380" s="416"/>
      <c r="AE380" s="596"/>
      <c r="AF380" s="416">
        <f t="shared" si="512"/>
        <v>54907.199822879993</v>
      </c>
      <c r="AG380" s="416"/>
      <c r="AH380" s="596"/>
      <c r="AI380" s="416">
        <f t="shared" si="513"/>
        <v>54907.199822879993</v>
      </c>
      <c r="AJ380" s="416"/>
      <c r="AK380" s="596"/>
      <c r="AL380" s="416">
        <f t="shared" si="514"/>
        <v>49599.999839999997</v>
      </c>
      <c r="AM380" s="416"/>
      <c r="AN380" s="596"/>
      <c r="AO380" s="416">
        <f t="shared" si="515"/>
        <v>49599.999839999997</v>
      </c>
      <c r="AP380" s="416"/>
      <c r="AQ380" s="596"/>
      <c r="AR380" s="416">
        <f t="shared" si="516"/>
        <v>49599.999839999997</v>
      </c>
      <c r="AS380" s="416"/>
      <c r="AT380" s="596"/>
      <c r="AU380" s="77"/>
      <c r="AV380" s="77"/>
      <c r="AW380" s="91"/>
      <c r="AX380" s="259"/>
      <c r="AY380" s="91"/>
      <c r="AZ380" s="91"/>
      <c r="BA380" s="91"/>
      <c r="BB380" s="91"/>
      <c r="BC380" s="91"/>
      <c r="BD380" s="91"/>
      <c r="BE380" s="91"/>
      <c r="BF380" s="91"/>
      <c r="BG380" s="91"/>
      <c r="BH380" s="91"/>
      <c r="BI380" s="91"/>
      <c r="BJ380" s="91"/>
      <c r="BK380" s="91"/>
      <c r="BL380" s="91"/>
    </row>
    <row r="381" spans="1:64">
      <c r="A381" s="91"/>
      <c r="B381" s="439"/>
      <c r="C381" s="591"/>
      <c r="D381" s="422"/>
      <c r="E381" s="422">
        <f t="shared" si="503"/>
        <v>0</v>
      </c>
      <c r="F381" s="422"/>
      <c r="G381" s="582"/>
      <c r="H381" s="422">
        <f t="shared" si="504"/>
        <v>0</v>
      </c>
      <c r="I381" s="422"/>
      <c r="J381" s="582"/>
      <c r="K381" s="422">
        <f t="shared" si="505"/>
        <v>0</v>
      </c>
      <c r="L381" s="422"/>
      <c r="M381" s="582"/>
      <c r="N381" s="422">
        <f t="shared" si="506"/>
        <v>0</v>
      </c>
      <c r="O381" s="422"/>
      <c r="P381" s="582"/>
      <c r="Q381" s="422">
        <f t="shared" si="507"/>
        <v>0</v>
      </c>
      <c r="R381" s="422"/>
      <c r="S381" s="582"/>
      <c r="T381" s="422">
        <f t="shared" si="508"/>
        <v>0</v>
      </c>
      <c r="U381" s="422"/>
      <c r="V381" s="582"/>
      <c r="W381" s="422">
        <f t="shared" si="509"/>
        <v>0</v>
      </c>
      <c r="X381" s="422"/>
      <c r="Y381" s="582"/>
      <c r="Z381" s="422">
        <f t="shared" si="510"/>
        <v>0</v>
      </c>
      <c r="AA381" s="422"/>
      <c r="AB381" s="582"/>
      <c r="AC381" s="422">
        <f t="shared" si="511"/>
        <v>0</v>
      </c>
      <c r="AD381" s="422"/>
      <c r="AE381" s="582"/>
      <c r="AF381" s="422">
        <f t="shared" si="512"/>
        <v>0</v>
      </c>
      <c r="AG381" s="422"/>
      <c r="AH381" s="582"/>
      <c r="AI381" s="422">
        <f t="shared" si="513"/>
        <v>0</v>
      </c>
      <c r="AJ381" s="422"/>
      <c r="AK381" s="582"/>
      <c r="AL381" s="422">
        <f t="shared" si="514"/>
        <v>0</v>
      </c>
      <c r="AM381" s="422"/>
      <c r="AN381" s="582"/>
      <c r="AO381" s="422">
        <f t="shared" si="515"/>
        <v>0</v>
      </c>
      <c r="AP381" s="422"/>
      <c r="AQ381" s="582"/>
      <c r="AR381" s="422">
        <f t="shared" si="516"/>
        <v>0</v>
      </c>
      <c r="AS381" s="422"/>
      <c r="AT381" s="582"/>
      <c r="AU381" s="77"/>
      <c r="AV381" s="77"/>
      <c r="AW381" s="91"/>
      <c r="AX381" s="259"/>
      <c r="AY381" s="91"/>
      <c r="AZ381" s="91"/>
      <c r="BA381" s="91"/>
      <c r="BB381" s="91"/>
      <c r="BC381" s="91"/>
      <c r="BD381" s="91"/>
      <c r="BE381" s="91"/>
      <c r="BF381" s="91"/>
      <c r="BG381" s="91"/>
      <c r="BH381" s="91"/>
      <c r="BI381" s="91"/>
      <c r="BJ381" s="91"/>
      <c r="BK381" s="91"/>
      <c r="BL381" s="91"/>
    </row>
    <row r="382" spans="1:64">
      <c r="A382" s="91"/>
      <c r="B382" s="427"/>
      <c r="C382" s="604"/>
      <c r="D382" s="605" t="s">
        <v>150</v>
      </c>
      <c r="E382" s="606">
        <f t="shared" si="503"/>
        <v>2365364.4512716313</v>
      </c>
      <c r="F382" s="605"/>
      <c r="G382" s="607"/>
      <c r="H382" s="606">
        <f t="shared" si="504"/>
        <v>2312240.0011930955</v>
      </c>
      <c r="I382" s="605"/>
      <c r="J382" s="607"/>
      <c r="K382" s="606">
        <f t="shared" si="505"/>
        <v>2266262.1140131783</v>
      </c>
      <c r="L382" s="605"/>
      <c r="M382" s="607"/>
      <c r="N382" s="606">
        <f t="shared" si="506"/>
        <v>2224282.30397934</v>
      </c>
      <c r="O382" s="605"/>
      <c r="P382" s="607"/>
      <c r="Q382" s="606">
        <f t="shared" si="507"/>
        <v>2186300.5710915821</v>
      </c>
      <c r="R382" s="605"/>
      <c r="S382" s="607"/>
      <c r="T382" s="606">
        <f t="shared" si="508"/>
        <v>2152234.8757754532</v>
      </c>
      <c r="U382" s="605"/>
      <c r="V382" s="607"/>
      <c r="W382" s="606">
        <f t="shared" si="509"/>
        <v>2123549.1403342304</v>
      </c>
      <c r="X382" s="605"/>
      <c r="Y382" s="607"/>
      <c r="Z382" s="606">
        <f t="shared" si="510"/>
        <v>2096656.469557185</v>
      </c>
      <c r="AA382" s="605"/>
      <c r="AB382" s="607"/>
      <c r="AC382" s="606">
        <f t="shared" si="511"/>
        <v>2046456.479666268</v>
      </c>
      <c r="AD382" s="605"/>
      <c r="AE382" s="607"/>
      <c r="AF382" s="606">
        <f t="shared" si="512"/>
        <v>1980120.463128116</v>
      </c>
      <c r="AG382" s="605"/>
      <c r="AH382" s="607"/>
      <c r="AI382" s="606">
        <f t="shared" si="513"/>
        <v>1938983.9858886979</v>
      </c>
      <c r="AJ382" s="605"/>
      <c r="AK382" s="607"/>
      <c r="AL382" s="606">
        <f t="shared" si="514"/>
        <v>1867721.9860770176</v>
      </c>
      <c r="AM382" s="605"/>
      <c r="AN382" s="607"/>
      <c r="AO382" s="606">
        <f t="shared" si="515"/>
        <v>1830013.6849689798</v>
      </c>
      <c r="AP382" s="605"/>
      <c r="AQ382" s="607"/>
      <c r="AR382" s="606">
        <f t="shared" si="516"/>
        <v>1788664.1476776402</v>
      </c>
      <c r="AS382" s="605"/>
      <c r="AT382" s="607"/>
      <c r="AU382" s="77"/>
      <c r="AV382" s="77"/>
      <c r="AW382" s="91"/>
      <c r="AX382" s="259"/>
      <c r="AY382" s="91"/>
      <c r="AZ382" s="91"/>
      <c r="BA382" s="91"/>
      <c r="BB382" s="91"/>
      <c r="BC382" s="91"/>
      <c r="BD382" s="91"/>
      <c r="BE382" s="91"/>
      <c r="BF382" s="91"/>
      <c r="BG382" s="91"/>
      <c r="BH382" s="91"/>
      <c r="BI382" s="91"/>
      <c r="BJ382" s="91"/>
      <c r="BK382" s="91"/>
      <c r="BL382" s="91"/>
    </row>
    <row r="383" spans="1:64">
      <c r="A383" s="91"/>
      <c r="B383" s="420">
        <v>440</v>
      </c>
      <c r="C383" s="608"/>
      <c r="D383" s="422" t="s">
        <v>108</v>
      </c>
      <c r="E383" s="592">
        <v>0</v>
      </c>
      <c r="F383" s="422">
        <f t="shared" ref="F383:F388" si="517">F434</f>
        <v>0</v>
      </c>
      <c r="G383" s="582"/>
      <c r="H383" s="592">
        <v>0</v>
      </c>
      <c r="I383" s="422">
        <f t="shared" ref="I383:I388" si="518">I434</f>
        <v>0</v>
      </c>
      <c r="J383" s="582"/>
      <c r="K383" s="592">
        <v>0</v>
      </c>
      <c r="L383" s="422">
        <f t="shared" ref="L383:L388" si="519">L434</f>
        <v>0</v>
      </c>
      <c r="M383" s="582"/>
      <c r="N383" s="592">
        <v>0</v>
      </c>
      <c r="O383" s="422">
        <f t="shared" ref="O383:O388" si="520">O434</f>
        <v>0</v>
      </c>
      <c r="P383" s="582"/>
      <c r="Q383" s="592">
        <v>0</v>
      </c>
      <c r="R383" s="422">
        <f t="shared" ref="R383:R388" si="521">R434</f>
        <v>0</v>
      </c>
      <c r="S383" s="582"/>
      <c r="T383" s="592">
        <v>0</v>
      </c>
      <c r="U383" s="422">
        <f t="shared" ref="U383:U388" si="522">U434</f>
        <v>0</v>
      </c>
      <c r="V383" s="582"/>
      <c r="W383" s="592">
        <v>0</v>
      </c>
      <c r="X383" s="422">
        <f t="shared" ref="X383:X388" si="523">X434</f>
        <v>0</v>
      </c>
      <c r="Y383" s="582"/>
      <c r="Z383" s="592">
        <v>0</v>
      </c>
      <c r="AA383" s="422">
        <f t="shared" ref="AA383:AA388" si="524">AA434</f>
        <v>0</v>
      </c>
      <c r="AB383" s="582"/>
      <c r="AC383" s="592">
        <v>0</v>
      </c>
      <c r="AD383" s="422">
        <f t="shared" ref="AD383:AD388" si="525">AD434</f>
        <v>0</v>
      </c>
      <c r="AE383" s="582"/>
      <c r="AF383" s="592">
        <v>0</v>
      </c>
      <c r="AG383" s="422">
        <f t="shared" ref="AG383:AG388" si="526">AG434</f>
        <v>0</v>
      </c>
      <c r="AH383" s="582"/>
      <c r="AI383" s="592">
        <v>0</v>
      </c>
      <c r="AJ383" s="422">
        <f t="shared" ref="AJ383:AJ388" si="527">AJ434</f>
        <v>0</v>
      </c>
      <c r="AK383" s="582"/>
      <c r="AL383" s="592">
        <v>0</v>
      </c>
      <c r="AM383" s="422">
        <f t="shared" ref="AM383:AM388" si="528">AM434</f>
        <v>0</v>
      </c>
      <c r="AN383" s="582"/>
      <c r="AO383" s="592">
        <v>0</v>
      </c>
      <c r="AP383" s="422">
        <f t="shared" ref="AP383:AP388" si="529">AP434</f>
        <v>0</v>
      </c>
      <c r="AQ383" s="582"/>
      <c r="AR383" s="592">
        <v>0</v>
      </c>
      <c r="AS383" s="422">
        <f t="shared" ref="AS383:AS388" si="530">AS434</f>
        <v>0</v>
      </c>
      <c r="AT383" s="582"/>
      <c r="AU383" s="77"/>
      <c r="AV383" s="77"/>
      <c r="AW383" s="91"/>
      <c r="AX383" s="259"/>
      <c r="AY383" s="91"/>
      <c r="AZ383" s="91"/>
      <c r="BA383" s="91"/>
      <c r="BB383" s="91"/>
      <c r="BC383" s="91"/>
      <c r="BD383" s="91"/>
      <c r="BE383" s="91"/>
      <c r="BF383" s="91"/>
      <c r="BG383" s="91"/>
      <c r="BH383" s="91"/>
      <c r="BI383" s="91"/>
      <c r="BJ383" s="91"/>
      <c r="BK383" s="91"/>
      <c r="BL383" s="91"/>
    </row>
    <row r="384" spans="1:64">
      <c r="A384" s="91"/>
      <c r="B384" s="427">
        <v>502</v>
      </c>
      <c r="C384" s="218" t="s">
        <v>109</v>
      </c>
      <c r="D384" s="417" t="s">
        <v>151</v>
      </c>
      <c r="E384" s="417"/>
      <c r="F384" s="580">
        <f t="shared" si="517"/>
        <v>-425020.9661117908</v>
      </c>
      <c r="G384" s="609"/>
      <c r="H384" s="417"/>
      <c r="I384" s="580">
        <f t="shared" si="518"/>
        <v>-414927.32059686899</v>
      </c>
      <c r="J384" s="609"/>
      <c r="K384" s="417"/>
      <c r="L384" s="580">
        <f t="shared" si="519"/>
        <v>-406191.52203268476</v>
      </c>
      <c r="M384" s="609"/>
      <c r="N384" s="417"/>
      <c r="O384" s="580">
        <f t="shared" si="520"/>
        <v>-398215.35812625545</v>
      </c>
      <c r="P384" s="609"/>
      <c r="Q384" s="417"/>
      <c r="R384" s="580">
        <f t="shared" si="521"/>
        <v>-390998.82887758152</v>
      </c>
      <c r="S384" s="609"/>
      <c r="T384" s="417"/>
      <c r="U384" s="580">
        <f t="shared" si="522"/>
        <v>-384526.34676751698</v>
      </c>
      <c r="V384" s="609"/>
      <c r="W384" s="417"/>
      <c r="X384" s="580">
        <f t="shared" si="523"/>
        <v>-379076.05703368457</v>
      </c>
      <c r="Y384" s="609"/>
      <c r="Z384" s="417"/>
      <c r="AA384" s="580">
        <f t="shared" si="524"/>
        <v>-373966.44958604593</v>
      </c>
      <c r="AB384" s="609"/>
      <c r="AC384" s="417"/>
      <c r="AD384" s="580">
        <f t="shared" si="525"/>
        <v>-364428.45150677167</v>
      </c>
      <c r="AE384" s="609"/>
      <c r="AF384" s="417"/>
      <c r="AG384" s="580">
        <f t="shared" si="526"/>
        <v>-351824.60836452281</v>
      </c>
      <c r="AH384" s="609"/>
      <c r="AI384" s="417"/>
      <c r="AJ384" s="580">
        <f t="shared" si="527"/>
        <v>-344008.67768903339</v>
      </c>
      <c r="AK384" s="609"/>
      <c r="AL384" s="417"/>
      <c r="AM384" s="580">
        <f t="shared" si="528"/>
        <v>-332827.17768903339</v>
      </c>
      <c r="AN384" s="609"/>
      <c r="AO384" s="417"/>
      <c r="AP384" s="580">
        <f t="shared" si="529"/>
        <v>-325662.60047850618</v>
      </c>
      <c r="AQ384" s="609"/>
      <c r="AR384" s="417"/>
      <c r="AS384" s="580">
        <f t="shared" si="530"/>
        <v>-317806.18839315168</v>
      </c>
      <c r="AT384" s="609"/>
      <c r="AU384" s="77"/>
      <c r="AV384" s="77"/>
      <c r="AW384" s="91"/>
      <c r="AX384" s="259"/>
      <c r="AY384" s="91"/>
      <c r="AZ384" s="91"/>
      <c r="BA384" s="91"/>
      <c r="BB384" s="91"/>
      <c r="BC384" s="91"/>
      <c r="BD384" s="91"/>
      <c r="BE384" s="91"/>
      <c r="BF384" s="91"/>
      <c r="BG384" s="91"/>
      <c r="BH384" s="91"/>
      <c r="BI384" s="91"/>
      <c r="BJ384" s="91"/>
      <c r="BK384" s="91"/>
      <c r="BL384" s="91"/>
    </row>
    <row r="385" spans="1:64">
      <c r="A385" s="91"/>
      <c r="B385" s="427">
        <v>505</v>
      </c>
      <c r="C385" s="427">
        <v>0.03</v>
      </c>
      <c r="D385" s="417" t="s">
        <v>152</v>
      </c>
      <c r="E385" s="417"/>
      <c r="F385" s="580">
        <f t="shared" si="517"/>
        <v>-67108.573596598551</v>
      </c>
      <c r="G385" s="609"/>
      <c r="H385" s="417"/>
      <c r="I385" s="580">
        <f t="shared" si="518"/>
        <v>-65514.840094242471</v>
      </c>
      <c r="J385" s="609"/>
      <c r="K385" s="417"/>
      <c r="L385" s="580">
        <f t="shared" si="519"/>
        <v>-64135.503478844956</v>
      </c>
      <c r="M385" s="609"/>
      <c r="N385" s="417"/>
      <c r="O385" s="580">
        <f t="shared" si="520"/>
        <v>-62876.109177829807</v>
      </c>
      <c r="P385" s="609"/>
      <c r="Q385" s="417"/>
      <c r="R385" s="580">
        <f t="shared" si="521"/>
        <v>-61736.657191197075</v>
      </c>
      <c r="S385" s="609"/>
      <c r="T385" s="417"/>
      <c r="U385" s="580">
        <f t="shared" si="522"/>
        <v>-60714.686331713201</v>
      </c>
      <c r="V385" s="609"/>
      <c r="W385" s="417"/>
      <c r="X385" s="580">
        <f t="shared" si="523"/>
        <v>-59854.114268476515</v>
      </c>
      <c r="Y385" s="609"/>
      <c r="Z385" s="417"/>
      <c r="AA385" s="580">
        <f t="shared" si="524"/>
        <v>-59047.334145165143</v>
      </c>
      <c r="AB385" s="609"/>
      <c r="AC385" s="417"/>
      <c r="AD385" s="580">
        <f t="shared" si="525"/>
        <v>-57541.334448437636</v>
      </c>
      <c r="AE385" s="609"/>
      <c r="AF385" s="417"/>
      <c r="AG385" s="580">
        <f t="shared" si="526"/>
        <v>-55551.253952293075</v>
      </c>
      <c r="AH385" s="609"/>
      <c r="AI385" s="417"/>
      <c r="AJ385" s="580">
        <f t="shared" si="527"/>
        <v>-54317.159635110533</v>
      </c>
      <c r="AK385" s="609"/>
      <c r="AL385" s="417"/>
      <c r="AM385" s="580">
        <f t="shared" si="528"/>
        <v>-52551.659635110533</v>
      </c>
      <c r="AN385" s="609"/>
      <c r="AO385" s="417"/>
      <c r="AP385" s="580">
        <f t="shared" si="529"/>
        <v>-51420.410601869393</v>
      </c>
      <c r="AQ385" s="609"/>
      <c r="AR385" s="417"/>
      <c r="AS385" s="580">
        <f t="shared" si="530"/>
        <v>-50179.924483129209</v>
      </c>
      <c r="AT385" s="609"/>
      <c r="AU385" s="77"/>
      <c r="AV385" s="77"/>
      <c r="AW385" s="91"/>
      <c r="AX385" s="259"/>
      <c r="AY385" s="91"/>
      <c r="AZ385" s="91"/>
      <c r="BA385" s="91"/>
      <c r="BB385" s="91"/>
      <c r="BC385" s="91"/>
      <c r="BD385" s="91"/>
      <c r="BE385" s="91"/>
      <c r="BF385" s="91"/>
      <c r="BG385" s="91"/>
      <c r="BH385" s="91"/>
      <c r="BI385" s="91"/>
      <c r="BJ385" s="91"/>
      <c r="BK385" s="91"/>
      <c r="BL385" s="91"/>
    </row>
    <row r="386" spans="1:64">
      <c r="A386" s="91"/>
      <c r="B386" s="610">
        <v>332</v>
      </c>
      <c r="C386" s="611">
        <v>0</v>
      </c>
      <c r="D386" s="423" t="s">
        <v>113</v>
      </c>
      <c r="E386" s="423"/>
      <c r="F386" s="612">
        <f t="shared" si="517"/>
        <v>0</v>
      </c>
      <c r="G386" s="613"/>
      <c r="H386" s="423"/>
      <c r="I386" s="612">
        <f t="shared" si="518"/>
        <v>0</v>
      </c>
      <c r="J386" s="613"/>
      <c r="K386" s="423"/>
      <c r="L386" s="612">
        <f t="shared" si="519"/>
        <v>0</v>
      </c>
      <c r="M386" s="613"/>
      <c r="N386" s="423"/>
      <c r="O386" s="612">
        <f t="shared" si="520"/>
        <v>0</v>
      </c>
      <c r="P386" s="613"/>
      <c r="Q386" s="423"/>
      <c r="R386" s="612">
        <f t="shared" si="521"/>
        <v>0</v>
      </c>
      <c r="S386" s="613"/>
      <c r="T386" s="423"/>
      <c r="U386" s="612">
        <f t="shared" si="522"/>
        <v>0</v>
      </c>
      <c r="V386" s="613"/>
      <c r="W386" s="423"/>
      <c r="X386" s="612">
        <f t="shared" si="523"/>
        <v>0</v>
      </c>
      <c r="Y386" s="613"/>
      <c r="Z386" s="423"/>
      <c r="AA386" s="612">
        <f t="shared" si="524"/>
        <v>0</v>
      </c>
      <c r="AB386" s="613"/>
      <c r="AC386" s="423"/>
      <c r="AD386" s="612">
        <f t="shared" si="525"/>
        <v>0</v>
      </c>
      <c r="AE386" s="613"/>
      <c r="AF386" s="423"/>
      <c r="AG386" s="612">
        <f t="shared" si="526"/>
        <v>0</v>
      </c>
      <c r="AH386" s="613"/>
      <c r="AI386" s="423"/>
      <c r="AJ386" s="612">
        <f t="shared" si="527"/>
        <v>0</v>
      </c>
      <c r="AK386" s="613"/>
      <c r="AL386" s="423"/>
      <c r="AM386" s="612">
        <f t="shared" si="528"/>
        <v>0</v>
      </c>
      <c r="AN386" s="613"/>
      <c r="AO386" s="423"/>
      <c r="AP386" s="612">
        <f t="shared" si="529"/>
        <v>0</v>
      </c>
      <c r="AQ386" s="613"/>
      <c r="AR386" s="423"/>
      <c r="AS386" s="612">
        <f t="shared" si="530"/>
        <v>0</v>
      </c>
      <c r="AT386" s="613"/>
      <c r="AU386" s="77"/>
      <c r="AV386" s="77"/>
      <c r="AW386" s="91"/>
      <c r="AX386" s="259"/>
      <c r="AY386" s="91"/>
      <c r="AZ386" s="91"/>
      <c r="BA386" s="91"/>
      <c r="BB386" s="91"/>
      <c r="BC386" s="91"/>
      <c r="BD386" s="91"/>
      <c r="BE386" s="91"/>
      <c r="BF386" s="91"/>
      <c r="BG386" s="91"/>
      <c r="BH386" s="91"/>
      <c r="BI386" s="91"/>
      <c r="BJ386" s="91"/>
      <c r="BK386" s="91"/>
      <c r="BL386" s="91"/>
    </row>
    <row r="387" spans="1:64">
      <c r="A387" s="91"/>
      <c r="B387" s="466" t="s">
        <v>114</v>
      </c>
      <c r="C387" s="428">
        <v>0</v>
      </c>
      <c r="D387" s="429"/>
      <c r="E387" s="429"/>
      <c r="F387" s="429">
        <f t="shared" si="517"/>
        <v>0</v>
      </c>
      <c r="G387" s="583"/>
      <c r="H387" s="429"/>
      <c r="I387" s="429">
        <f t="shared" si="518"/>
        <v>0</v>
      </c>
      <c r="J387" s="583"/>
      <c r="K387" s="429"/>
      <c r="L387" s="429">
        <f t="shared" si="519"/>
        <v>0</v>
      </c>
      <c r="M387" s="583"/>
      <c r="N387" s="429"/>
      <c r="O387" s="429">
        <f t="shared" si="520"/>
        <v>0</v>
      </c>
      <c r="P387" s="583"/>
      <c r="Q387" s="429"/>
      <c r="R387" s="429">
        <f t="shared" si="521"/>
        <v>0</v>
      </c>
      <c r="S387" s="583"/>
      <c r="T387" s="429"/>
      <c r="U387" s="429">
        <f t="shared" si="522"/>
        <v>0</v>
      </c>
      <c r="V387" s="583"/>
      <c r="W387" s="429"/>
      <c r="X387" s="429">
        <f t="shared" si="523"/>
        <v>0</v>
      </c>
      <c r="Y387" s="583"/>
      <c r="Z387" s="429"/>
      <c r="AA387" s="429">
        <f t="shared" si="524"/>
        <v>0</v>
      </c>
      <c r="AB387" s="583"/>
      <c r="AC387" s="429"/>
      <c r="AD387" s="429">
        <f t="shared" si="525"/>
        <v>0</v>
      </c>
      <c r="AE387" s="583"/>
      <c r="AF387" s="429"/>
      <c r="AG387" s="429">
        <f t="shared" si="526"/>
        <v>0</v>
      </c>
      <c r="AH387" s="583"/>
      <c r="AI387" s="429"/>
      <c r="AJ387" s="429">
        <f t="shared" si="527"/>
        <v>0</v>
      </c>
      <c r="AK387" s="583"/>
      <c r="AL387" s="429"/>
      <c r="AM387" s="429">
        <f t="shared" si="528"/>
        <v>0</v>
      </c>
      <c r="AN387" s="583"/>
      <c r="AO387" s="429"/>
      <c r="AP387" s="429">
        <f t="shared" si="529"/>
        <v>0</v>
      </c>
      <c r="AQ387" s="583"/>
      <c r="AR387" s="429"/>
      <c r="AS387" s="429">
        <f t="shared" si="530"/>
        <v>0</v>
      </c>
      <c r="AT387" s="583"/>
      <c r="AU387" s="77"/>
      <c r="AV387" s="77"/>
      <c r="AW387" s="91"/>
      <c r="AX387" s="259"/>
      <c r="AY387" s="91"/>
      <c r="AZ387" s="91"/>
      <c r="BA387" s="91"/>
      <c r="BB387" s="91"/>
      <c r="BC387" s="91"/>
      <c r="BD387" s="91"/>
      <c r="BE387" s="91"/>
      <c r="BF387" s="91"/>
      <c r="BG387" s="91"/>
      <c r="BH387" s="91"/>
      <c r="BI387" s="91"/>
      <c r="BJ387" s="91"/>
      <c r="BK387" s="91"/>
      <c r="BL387" s="91"/>
    </row>
    <row r="388" spans="1:64">
      <c r="A388" s="91"/>
      <c r="B388" s="614"/>
      <c r="C388" s="614"/>
      <c r="D388" s="615" t="s">
        <v>115</v>
      </c>
      <c r="E388" s="615"/>
      <c r="F388" s="615">
        <f t="shared" si="517"/>
        <v>-492129.53970838932</v>
      </c>
      <c r="G388" s="616"/>
      <c r="H388" s="615"/>
      <c r="I388" s="615">
        <f t="shared" si="518"/>
        <v>-480442.16069111146</v>
      </c>
      <c r="J388" s="616"/>
      <c r="K388" s="615"/>
      <c r="L388" s="615">
        <f t="shared" si="519"/>
        <v>-470327.0255115297</v>
      </c>
      <c r="M388" s="616"/>
      <c r="N388" s="615"/>
      <c r="O388" s="615">
        <f t="shared" si="520"/>
        <v>-461091.46730408526</v>
      </c>
      <c r="P388" s="616"/>
      <c r="Q388" s="615"/>
      <c r="R388" s="615">
        <f t="shared" si="521"/>
        <v>-452735.48606877861</v>
      </c>
      <c r="S388" s="616"/>
      <c r="T388" s="615"/>
      <c r="U388" s="615">
        <f t="shared" si="522"/>
        <v>-445241.0330992302</v>
      </c>
      <c r="V388" s="616"/>
      <c r="W388" s="615"/>
      <c r="X388" s="615">
        <f t="shared" si="523"/>
        <v>-438930.17130216106</v>
      </c>
      <c r="Y388" s="616"/>
      <c r="Z388" s="615"/>
      <c r="AA388" s="615">
        <f t="shared" si="524"/>
        <v>-433013.78373121109</v>
      </c>
      <c r="AB388" s="616"/>
      <c r="AC388" s="615"/>
      <c r="AD388" s="615">
        <f t="shared" si="525"/>
        <v>-421969.78595520929</v>
      </c>
      <c r="AE388" s="616"/>
      <c r="AF388" s="615"/>
      <c r="AG388" s="615">
        <f t="shared" si="526"/>
        <v>-407375.86231681588</v>
      </c>
      <c r="AH388" s="616"/>
      <c r="AI388" s="615"/>
      <c r="AJ388" s="615">
        <f t="shared" si="527"/>
        <v>-398325.83732414391</v>
      </c>
      <c r="AK388" s="616"/>
      <c r="AL388" s="615"/>
      <c r="AM388" s="615">
        <f t="shared" si="528"/>
        <v>-385378.83732414391</v>
      </c>
      <c r="AN388" s="616"/>
      <c r="AO388" s="615"/>
      <c r="AP388" s="615">
        <f t="shared" si="529"/>
        <v>-377083.01108037558</v>
      </c>
      <c r="AQ388" s="616"/>
      <c r="AR388" s="615"/>
      <c r="AS388" s="615">
        <f t="shared" si="530"/>
        <v>-367986.11287628091</v>
      </c>
      <c r="AT388" s="616"/>
      <c r="AU388" s="77"/>
      <c r="AV388" s="77"/>
      <c r="AW388" s="91"/>
      <c r="AX388" s="259"/>
      <c r="AY388" s="91"/>
      <c r="AZ388" s="91"/>
      <c r="BA388" s="91"/>
      <c r="BB388" s="91"/>
      <c r="BC388" s="91"/>
      <c r="BD388" s="91"/>
      <c r="BE388" s="91"/>
      <c r="BF388" s="91"/>
      <c r="BG388" s="91"/>
      <c r="BH388" s="91"/>
      <c r="BI388" s="91"/>
      <c r="BJ388" s="91"/>
      <c r="BK388" s="91"/>
      <c r="BL388" s="91"/>
    </row>
    <row r="389" spans="1:64">
      <c r="A389" s="91"/>
      <c r="B389" s="617"/>
      <c r="C389" s="617"/>
      <c r="D389" s="617"/>
      <c r="E389" s="617"/>
      <c r="F389" s="617"/>
      <c r="G389" s="618"/>
      <c r="H389" s="617"/>
      <c r="I389" s="617"/>
      <c r="J389" s="618"/>
      <c r="K389" s="617"/>
      <c r="L389" s="617"/>
      <c r="M389" s="618"/>
      <c r="N389" s="617"/>
      <c r="O389" s="617"/>
      <c r="P389" s="618"/>
      <c r="Q389" s="617"/>
      <c r="R389" s="617"/>
      <c r="S389" s="618"/>
      <c r="T389" s="617"/>
      <c r="U389" s="617"/>
      <c r="V389" s="618"/>
      <c r="W389" s="617"/>
      <c r="X389" s="617"/>
      <c r="Y389" s="618"/>
      <c r="Z389" s="617"/>
      <c r="AA389" s="617"/>
      <c r="AB389" s="618"/>
      <c r="AC389" s="617"/>
      <c r="AD389" s="617"/>
      <c r="AE389" s="618"/>
      <c r="AF389" s="617"/>
      <c r="AG389" s="617"/>
      <c r="AH389" s="618"/>
      <c r="AI389" s="617"/>
      <c r="AJ389" s="617"/>
      <c r="AK389" s="618"/>
      <c r="AL389" s="617"/>
      <c r="AM389" s="617"/>
      <c r="AN389" s="618"/>
      <c r="AO389" s="617"/>
      <c r="AP389" s="617"/>
      <c r="AQ389" s="618"/>
      <c r="AR389" s="617"/>
      <c r="AS389" s="617"/>
      <c r="AT389" s="618"/>
      <c r="AU389" s="77"/>
      <c r="AV389" s="91"/>
      <c r="AW389" s="259"/>
      <c r="AX389" s="91"/>
      <c r="AY389" s="91"/>
      <c r="AZ389" s="91"/>
      <c r="BA389" s="91"/>
      <c r="BB389" s="91"/>
      <c r="BC389" s="91"/>
      <c r="BD389" s="91"/>
      <c r="BE389" s="91"/>
      <c r="BF389" s="91"/>
      <c r="BG389" s="91"/>
      <c r="BH389" s="91"/>
      <c r="BI389" s="91"/>
      <c r="BJ389" s="91"/>
      <c r="BK389" s="91"/>
    </row>
    <row r="390" spans="1:64" s="17" customFormat="1" ht="18">
      <c r="A390" s="619"/>
      <c r="B390" s="620"/>
      <c r="C390" s="619"/>
      <c r="D390" s="621"/>
      <c r="E390" s="622" t="str">
        <f t="shared" ref="E390:F390" si="531">E441</f>
        <v>Sueldo líquido</v>
      </c>
      <c r="F390" s="623">
        <f t="shared" si="531"/>
        <v>1873234.9115632419</v>
      </c>
      <c r="G390" s="621"/>
      <c r="H390" s="622" t="str">
        <f t="shared" ref="H390:I390" si="532">H441</f>
        <v>Sueldo líquido</v>
      </c>
      <c r="I390" s="623">
        <f t="shared" si="532"/>
        <v>1831797.8405019841</v>
      </c>
      <c r="J390" s="621"/>
      <c r="K390" s="622" t="str">
        <f t="shared" ref="K390:L390" si="533">K441</f>
        <v>Sueldo líquido</v>
      </c>
      <c r="L390" s="623">
        <f t="shared" si="533"/>
        <v>1795935.0885016485</v>
      </c>
      <c r="M390" s="621"/>
      <c r="N390" s="622" t="str">
        <f t="shared" ref="N390:O390" si="534">N441</f>
        <v>Sueldo líquido</v>
      </c>
      <c r="O390" s="623">
        <f t="shared" si="534"/>
        <v>1763190.8366752546</v>
      </c>
      <c r="P390" s="621"/>
      <c r="Q390" s="622" t="str">
        <f t="shared" ref="Q390:R390" si="535">Q441</f>
        <v>Sueldo líquido</v>
      </c>
      <c r="R390" s="623">
        <f t="shared" si="535"/>
        <v>1733565.0850228034</v>
      </c>
      <c r="S390" s="621"/>
      <c r="T390" s="622" t="str">
        <f t="shared" ref="T390:U390" si="536">T441</f>
        <v>Sueldo líquido</v>
      </c>
      <c r="U390" s="623">
        <f t="shared" si="536"/>
        <v>1706993.842676223</v>
      </c>
      <c r="V390" s="621"/>
      <c r="W390" s="622" t="str">
        <f t="shared" ref="W390:X390" si="537">W441</f>
        <v>Sueldo líquido</v>
      </c>
      <c r="X390" s="623">
        <f t="shared" si="537"/>
        <v>1684618.9690320692</v>
      </c>
      <c r="Y390" s="621"/>
      <c r="Z390" s="622" t="str">
        <f t="shared" ref="Z390:AA390" si="538">Z441</f>
        <v>Sueldo líquido</v>
      </c>
      <c r="AA390" s="623">
        <f t="shared" si="538"/>
        <v>1663642.6858259737</v>
      </c>
      <c r="AB390" s="621"/>
      <c r="AC390" s="622" t="str">
        <f t="shared" ref="AC390:AD390" si="539">AC441</f>
        <v>Sueldo líquido</v>
      </c>
      <c r="AD390" s="623">
        <f t="shared" si="539"/>
        <v>1624486.6937110587</v>
      </c>
      <c r="AE390" s="621"/>
      <c r="AF390" s="622" t="str">
        <f t="shared" ref="AF390:AG390" si="540">AF441</f>
        <v>Sueldo líquido</v>
      </c>
      <c r="AG390" s="623">
        <f t="shared" si="540"/>
        <v>1572744.6008113001</v>
      </c>
      <c r="AH390" s="621"/>
      <c r="AI390" s="622" t="str">
        <f t="shared" ref="AI390:AJ390" si="541">AI441</f>
        <v>Sueldo líquido</v>
      </c>
      <c r="AJ390" s="623">
        <f t="shared" si="541"/>
        <v>1540658.1485645541</v>
      </c>
      <c r="AK390" s="621"/>
      <c r="AL390" s="622" t="str">
        <f t="shared" ref="AL390:AM390" si="542">AL441</f>
        <v>Sueldo líquido</v>
      </c>
      <c r="AM390" s="623">
        <f t="shared" si="542"/>
        <v>1482343.1487528738</v>
      </c>
      <c r="AN390" s="621"/>
      <c r="AO390" s="622" t="str">
        <f t="shared" ref="AO390:AP394" si="543">AO441</f>
        <v>Sueldo líquido</v>
      </c>
      <c r="AP390" s="623">
        <f t="shared" si="543"/>
        <v>1452930.6738886042</v>
      </c>
      <c r="AQ390" s="621"/>
      <c r="AR390" s="622" t="str">
        <f t="shared" ref="AR390:AS394" si="544">AR441</f>
        <v>Sueldo líquido</v>
      </c>
      <c r="AS390" s="623">
        <f t="shared" si="544"/>
        <v>1420678.0348013593</v>
      </c>
      <c r="AT390" s="621"/>
      <c r="AU390" s="621"/>
      <c r="AV390" s="621"/>
      <c r="AW390" s="619"/>
      <c r="AX390" s="679"/>
      <c r="AY390" s="619"/>
      <c r="AZ390" s="619"/>
      <c r="BA390" s="619"/>
      <c r="BB390" s="619"/>
      <c r="BC390" s="619"/>
      <c r="BD390" s="619"/>
      <c r="BE390" s="619"/>
      <c r="BF390" s="619"/>
      <c r="BG390" s="619"/>
      <c r="BH390" s="619"/>
      <c r="BI390" s="619"/>
      <c r="BJ390" s="619"/>
      <c r="BK390" s="619"/>
      <c r="BL390" s="619"/>
    </row>
    <row r="391" spans="1:64">
      <c r="A391" s="91"/>
      <c r="B391" s="624"/>
      <c r="C391" s="28"/>
      <c r="D391" s="77"/>
      <c r="E391" s="625"/>
      <c r="F391" s="489"/>
      <c r="G391" s="491"/>
      <c r="H391" s="625"/>
      <c r="I391" s="489"/>
      <c r="J391" s="491"/>
      <c r="K391" s="625"/>
      <c r="L391" s="489"/>
      <c r="M391" s="491"/>
      <c r="N391" s="625"/>
      <c r="O391" s="489"/>
      <c r="P391" s="491"/>
      <c r="Q391" s="625"/>
      <c r="R391" s="489"/>
      <c r="S391" s="491"/>
      <c r="T391" s="625"/>
      <c r="U391" s="489"/>
      <c r="V391" s="491"/>
      <c r="W391" s="625"/>
      <c r="X391" s="489"/>
      <c r="Y391" s="491"/>
      <c r="Z391" s="625"/>
      <c r="AA391" s="489"/>
      <c r="AB391" s="491"/>
      <c r="AC391" s="625"/>
      <c r="AD391" s="489"/>
      <c r="AE391" s="491"/>
      <c r="AF391" s="625"/>
      <c r="AG391" s="489"/>
      <c r="AH391" s="491"/>
      <c r="AI391" s="625"/>
      <c r="AJ391" s="489"/>
      <c r="AK391" s="491"/>
      <c r="AL391" s="625"/>
      <c r="AM391" s="489"/>
      <c r="AN391" s="491"/>
      <c r="AO391" s="625"/>
      <c r="AP391" s="489"/>
      <c r="AQ391" s="491"/>
      <c r="AR391" s="625"/>
      <c r="AS391" s="489"/>
      <c r="AT391" s="491"/>
      <c r="AU391" s="77"/>
      <c r="AV391" s="77"/>
      <c r="AW391" s="91"/>
      <c r="AX391" s="259"/>
      <c r="AY391" s="91"/>
      <c r="AZ391" s="91"/>
      <c r="BA391" s="91"/>
      <c r="BB391" s="91"/>
      <c r="BC391" s="91"/>
      <c r="BD391" s="91"/>
      <c r="BE391" s="91"/>
      <c r="BF391" s="91"/>
      <c r="BG391" s="91"/>
      <c r="BH391" s="91"/>
      <c r="BI391" s="91"/>
      <c r="BJ391" s="91"/>
      <c r="BK391" s="91"/>
      <c r="BL391" s="91"/>
    </row>
    <row r="392" spans="1:64" ht="16.5" thickBot="1">
      <c r="A392" s="91"/>
      <c r="B392" s="342"/>
      <c r="C392" s="28"/>
      <c r="D392" s="77"/>
      <c r="E392" s="245"/>
      <c r="F392" s="626"/>
      <c r="G392" s="491"/>
      <c r="H392" s="245"/>
      <c r="I392" s="626"/>
      <c r="J392" s="491"/>
      <c r="K392" s="245"/>
      <c r="L392" s="626"/>
      <c r="M392" s="491"/>
      <c r="N392" s="245"/>
      <c r="O392" s="626"/>
      <c r="P392" s="491"/>
      <c r="Q392" s="245"/>
      <c r="R392" s="626"/>
      <c r="S392" s="491"/>
      <c r="T392" s="245"/>
      <c r="U392" s="626"/>
      <c r="V392" s="491"/>
      <c r="W392" s="245"/>
      <c r="X392" s="626"/>
      <c r="Y392" s="491"/>
      <c r="Z392" s="245"/>
      <c r="AA392" s="626"/>
      <c r="AB392" s="491"/>
      <c r="AC392" s="245"/>
      <c r="AD392" s="626"/>
      <c r="AE392" s="491"/>
      <c r="AF392" s="245"/>
      <c r="AG392" s="626"/>
      <c r="AH392" s="491"/>
      <c r="AI392" s="245"/>
      <c r="AJ392" s="626"/>
      <c r="AK392" s="491"/>
      <c r="AL392" s="245"/>
      <c r="AM392" s="626"/>
      <c r="AN392" s="491"/>
      <c r="AO392" s="245"/>
      <c r="AP392" s="626"/>
      <c r="AQ392" s="491"/>
      <c r="AR392" s="245"/>
      <c r="AS392" s="626"/>
      <c r="AT392" s="491"/>
      <c r="AU392" s="77"/>
      <c r="AV392" s="77"/>
      <c r="AW392" s="91"/>
      <c r="AX392" s="259"/>
      <c r="AY392" s="91"/>
      <c r="AZ392" s="91"/>
      <c r="BA392" s="91"/>
      <c r="BB392" s="91"/>
      <c r="BC392" s="91"/>
      <c r="BD392" s="91"/>
      <c r="BE392" s="91"/>
      <c r="BF392" s="91"/>
      <c r="BG392" s="91"/>
      <c r="BH392" s="91"/>
      <c r="BI392" s="91"/>
      <c r="BJ392" s="91"/>
      <c r="BK392" s="91"/>
      <c r="BL392" s="91"/>
    </row>
    <row r="393" spans="1:64">
      <c r="A393" s="91"/>
      <c r="B393" s="342"/>
      <c r="C393" s="28"/>
      <c r="D393" s="77"/>
      <c r="E393" s="493" t="str">
        <f t="shared" ref="E393:F393" si="545">E444</f>
        <v>Aumento del mes</v>
      </c>
      <c r="F393" s="257">
        <f t="shared" si="545"/>
        <v>41437.071061257739</v>
      </c>
      <c r="G393" s="491"/>
      <c r="H393" s="493" t="str">
        <f t="shared" ref="H393:I393" si="546">H444</f>
        <v>Aumento del mes</v>
      </c>
      <c r="I393" s="257">
        <f t="shared" si="546"/>
        <v>35862.752000335604</v>
      </c>
      <c r="J393" s="491"/>
      <c r="K393" s="493" t="str">
        <f t="shared" ref="K393:L393" si="547">K444</f>
        <v>Aumento del mes</v>
      </c>
      <c r="L393" s="257">
        <f t="shared" si="547"/>
        <v>32744.251826393884</v>
      </c>
      <c r="M393" s="491"/>
      <c r="N393" s="493" t="str">
        <f t="shared" ref="N393:O393" si="548">N444</f>
        <v>Aumento del mes</v>
      </c>
      <c r="O393" s="257">
        <f t="shared" si="548"/>
        <v>29625.751652451232</v>
      </c>
      <c r="P393" s="491"/>
      <c r="Q393" s="493" t="str">
        <f t="shared" ref="Q393:R393" si="549">Q444</f>
        <v>Aumento del mes</v>
      </c>
      <c r="R393" s="257">
        <f t="shared" si="549"/>
        <v>26571.242346580373</v>
      </c>
      <c r="S393" s="491"/>
      <c r="T393" s="493" t="str">
        <f t="shared" ref="T393:U393" si="550">T444</f>
        <v>Aumento del mes</v>
      </c>
      <c r="U393" s="257">
        <f t="shared" si="550"/>
        <v>22374.87364415382</v>
      </c>
      <c r="V393" s="491"/>
      <c r="W393" s="493" t="str">
        <f t="shared" ref="W393:X393" si="551">W444</f>
        <v>Aumento del mes</v>
      </c>
      <c r="X393" s="257">
        <f t="shared" si="551"/>
        <v>20976.283206095453</v>
      </c>
      <c r="Y393" s="491"/>
      <c r="Z393" s="493" t="str">
        <f t="shared" ref="Z393:AA393" si="552">Z444</f>
        <v>Aumento del mes</v>
      </c>
      <c r="AA393" s="257">
        <f t="shared" si="552"/>
        <v>39155.992114915047</v>
      </c>
      <c r="AB393" s="491"/>
      <c r="AC393" s="493" t="str">
        <f t="shared" ref="AC393:AD393" si="553">AC444</f>
        <v>Aumento del mes</v>
      </c>
      <c r="AD393" s="257">
        <f t="shared" si="553"/>
        <v>51742.092899758602</v>
      </c>
      <c r="AE393" s="491"/>
      <c r="AF393" s="493" t="str">
        <f t="shared" ref="AF393:AG393" si="554">AF444</f>
        <v>Aumento del mes</v>
      </c>
      <c r="AG393" s="257">
        <f t="shared" si="554"/>
        <v>32086.452246746048</v>
      </c>
      <c r="AH393" s="491"/>
      <c r="AI393" s="493" t="str">
        <f t="shared" ref="AI393:AJ393" si="555">AI444</f>
        <v>Aumento del mes</v>
      </c>
      <c r="AJ393" s="257">
        <f t="shared" si="555"/>
        <v>58314.999811680289</v>
      </c>
      <c r="AK393" s="491"/>
      <c r="AL393" s="493" t="str">
        <f t="shared" ref="AL393:AM393" si="556">AL444</f>
        <v>Aumento del mes</v>
      </c>
      <c r="AM393" s="257">
        <f t="shared" si="556"/>
        <v>29412.474864269607</v>
      </c>
      <c r="AN393" s="491"/>
      <c r="AO393" s="493" t="str">
        <f t="shared" si="543"/>
        <v>Aumento del mes</v>
      </c>
      <c r="AP393" s="257">
        <f t="shared" si="543"/>
        <v>32252.639087244868</v>
      </c>
      <c r="AQ393" s="491"/>
      <c r="AR393" s="493" t="str">
        <f t="shared" si="544"/>
        <v>Aumento del mes</v>
      </c>
      <c r="AS393" s="257">
        <f t="shared" si="544"/>
        <v>0</v>
      </c>
      <c r="AT393" s="491"/>
      <c r="AU393" s="77"/>
      <c r="AV393" s="77"/>
      <c r="AW393" s="91"/>
      <c r="AX393" s="259"/>
      <c r="AY393" s="91"/>
      <c r="AZ393" s="91"/>
      <c r="BA393" s="91"/>
      <c r="BB393" s="91"/>
      <c r="BC393" s="91"/>
      <c r="BD393" s="91"/>
      <c r="BE393" s="91"/>
      <c r="BF393" s="91"/>
      <c r="BG393" s="91"/>
      <c r="BH393" s="91"/>
      <c r="BI393" s="91"/>
      <c r="BJ393" s="91"/>
      <c r="BK393" s="91"/>
      <c r="BL393" s="91"/>
    </row>
    <row r="394" spans="1:64" ht="16.5" thickBot="1">
      <c r="A394" s="91"/>
      <c r="B394" s="342"/>
      <c r="C394" s="28"/>
      <c r="D394" s="77"/>
      <c r="E394" s="243" t="str">
        <f t="shared" ref="E394:F394" si="557">E445</f>
        <v>Porc resp a anterior</v>
      </c>
      <c r="F394" s="627">
        <f t="shared" si="557"/>
        <v>2.262098477520989E-2</v>
      </c>
      <c r="G394" s="491"/>
      <c r="H394" s="243" t="str">
        <f t="shared" ref="H394:I394" si="558">H445</f>
        <v>Porc resp a anterior</v>
      </c>
      <c r="I394" s="627">
        <f t="shared" si="558"/>
        <v>1.9968846441023633E-2</v>
      </c>
      <c r="J394" s="491"/>
      <c r="K394" s="243" t="str">
        <f t="shared" ref="K394:L394" si="559">K445</f>
        <v>Porc resp a anterior</v>
      </c>
      <c r="L394" s="627">
        <f t="shared" si="559"/>
        <v>1.857101973609266E-2</v>
      </c>
      <c r="M394" s="491"/>
      <c r="N394" s="243" t="str">
        <f t="shared" ref="N394:O394" si="560">N445</f>
        <v>Porc resp a anterior</v>
      </c>
      <c r="O394" s="627">
        <f t="shared" si="560"/>
        <v>1.7089494884503592E-2</v>
      </c>
      <c r="P394" s="491"/>
      <c r="Q394" s="243" t="str">
        <f t="shared" ref="Q394:R394" si="561">Q445</f>
        <v>Porc resp a anterior</v>
      </c>
      <c r="R394" s="627">
        <f t="shared" si="561"/>
        <v>1.556610321740939E-2</v>
      </c>
      <c r="S394" s="491"/>
      <c r="T394" s="243" t="str">
        <f t="shared" ref="T394:U394" si="562">T445</f>
        <v>Porc resp a anterior</v>
      </c>
      <c r="U394" s="627">
        <f t="shared" si="562"/>
        <v>1.3281860204275001E-2</v>
      </c>
      <c r="V394" s="491"/>
      <c r="W394" s="243" t="str">
        <f t="shared" ref="W394:X394" si="563">W445</f>
        <v>Porc resp a anterior</v>
      </c>
      <c r="X394" s="627">
        <f t="shared" si="563"/>
        <v>1.2608646907662772E-2</v>
      </c>
      <c r="Y394" s="491"/>
      <c r="Z394" s="243" t="str">
        <f t="shared" ref="Z394:AA394" si="564">Z445</f>
        <v>Porc resp a anterior</v>
      </c>
      <c r="AA394" s="627">
        <f t="shared" si="564"/>
        <v>2.4103609014774468E-2</v>
      </c>
      <c r="AB394" s="491"/>
      <c r="AC394" s="243" t="str">
        <f t="shared" ref="AC394:AD394" si="565">AC445</f>
        <v>Porc resp a anterior</v>
      </c>
      <c r="AD394" s="627">
        <f t="shared" si="565"/>
        <v>3.2899234162411015E-2</v>
      </c>
      <c r="AE394" s="491"/>
      <c r="AF394" s="243" t="str">
        <f t="shared" ref="AF394:AG394" si="566">AF445</f>
        <v>Porc resp a anterior</v>
      </c>
      <c r="AG394" s="627">
        <f t="shared" si="566"/>
        <v>2.0826458015128991E-2</v>
      </c>
      <c r="AH394" s="491"/>
      <c r="AI394" s="243" t="str">
        <f t="shared" ref="AI394:AJ394" si="567">AI445</f>
        <v>Porc resp a anterior</v>
      </c>
      <c r="AJ394" s="627">
        <f t="shared" si="567"/>
        <v>3.93397438782929E-2</v>
      </c>
      <c r="AK394" s="491"/>
      <c r="AL394" s="243" t="str">
        <f t="shared" ref="AL394:AM394" si="568">AL445</f>
        <v>Porc resp a anterior</v>
      </c>
      <c r="AM394" s="627">
        <f t="shared" si="568"/>
        <v>2.0243550083191824E-2</v>
      </c>
      <c r="AN394" s="491"/>
      <c r="AO394" s="243" t="str">
        <f t="shared" si="543"/>
        <v>Porc resp a anterior</v>
      </c>
      <c r="AP394" s="627">
        <f t="shared" si="543"/>
        <v>2.2702286019192566E-2</v>
      </c>
      <c r="AQ394" s="491"/>
      <c r="AR394" s="243" t="str">
        <f t="shared" si="544"/>
        <v>Porc resp a anterior</v>
      </c>
      <c r="AS394" s="627">
        <f t="shared" si="544"/>
        <v>0</v>
      </c>
      <c r="AT394" s="491"/>
      <c r="AU394" s="77"/>
      <c r="AV394" s="77"/>
      <c r="AW394" s="91"/>
      <c r="AX394" s="259"/>
      <c r="AY394" s="91"/>
      <c r="AZ394" s="91"/>
      <c r="BA394" s="91"/>
      <c r="BB394" s="91"/>
      <c r="BC394" s="91"/>
      <c r="BD394" s="91"/>
      <c r="BE394" s="91"/>
      <c r="BF394" s="91"/>
      <c r="BG394" s="91"/>
      <c r="BH394" s="91"/>
      <c r="BI394" s="91"/>
      <c r="BJ394" s="91"/>
      <c r="BK394" s="91"/>
      <c r="BL394" s="91"/>
    </row>
    <row r="395" spans="1:64" ht="16.5" thickBot="1">
      <c r="A395" s="91"/>
      <c r="B395" s="28"/>
      <c r="C395" s="30"/>
      <c r="D395" s="628"/>
      <c r="E395" s="245"/>
      <c r="F395" s="245"/>
      <c r="G395" s="228"/>
      <c r="H395" s="245"/>
      <c r="I395" s="245"/>
      <c r="J395" s="228"/>
      <c r="K395" s="245"/>
      <c r="L395" s="245"/>
      <c r="M395" s="228"/>
      <c r="N395" s="245"/>
      <c r="O395" s="245"/>
      <c r="P395" s="228"/>
      <c r="Q395" s="245"/>
      <c r="R395" s="245"/>
      <c r="S395" s="228"/>
      <c r="T395" s="245"/>
      <c r="U395" s="245"/>
      <c r="V395" s="228"/>
      <c r="W395" s="245"/>
      <c r="X395" s="245"/>
      <c r="Y395" s="228"/>
      <c r="Z395" s="245"/>
      <c r="AA395" s="245"/>
      <c r="AB395" s="228"/>
      <c r="AC395" s="245"/>
      <c r="AD395" s="245"/>
      <c r="AE395" s="228"/>
      <c r="AF395" s="245"/>
      <c r="AG395" s="245"/>
      <c r="AH395" s="228"/>
      <c r="AI395" s="245"/>
      <c r="AJ395" s="245"/>
      <c r="AK395" s="228"/>
      <c r="AL395" s="245"/>
      <c r="AM395" s="245"/>
      <c r="AN395" s="228"/>
      <c r="AO395" s="245"/>
      <c r="AP395" s="245"/>
      <c r="AQ395" s="228"/>
      <c r="AR395" s="245"/>
      <c r="AS395" s="245"/>
      <c r="AT395" s="228"/>
      <c r="AU395" s="77"/>
      <c r="AV395" s="77"/>
      <c r="AW395" s="91"/>
      <c r="AX395" s="259"/>
      <c r="AY395" s="91"/>
      <c r="AZ395" s="91"/>
      <c r="BA395" s="91"/>
      <c r="BB395" s="91"/>
      <c r="BC395" s="91"/>
      <c r="BD395" s="91"/>
      <c r="BE395" s="91"/>
      <c r="BF395" s="91"/>
      <c r="BG395" s="91"/>
      <c r="BH395" s="91"/>
      <c r="BI395" s="91"/>
      <c r="BJ395" s="91"/>
      <c r="BK395" s="91"/>
      <c r="BL395" s="91"/>
    </row>
    <row r="396" spans="1:64">
      <c r="A396" s="91"/>
      <c r="B396" s="141"/>
      <c r="C396" s="629"/>
      <c r="D396" s="238"/>
      <c r="E396" s="498" t="str">
        <f>E447</f>
        <v>Aumento acumulado</v>
      </c>
      <c r="F396" s="264">
        <f>F447</f>
        <v>452556.87676188257</v>
      </c>
      <c r="G396" s="494"/>
      <c r="H396" s="498" t="str">
        <f>H447</f>
        <v>Aumento acumulado</v>
      </c>
      <c r="I396" s="264">
        <f>I447</f>
        <v>411119.80570062483</v>
      </c>
      <c r="J396" s="494"/>
      <c r="K396" s="498" t="str">
        <f>K447</f>
        <v>Aumento acumulado</v>
      </c>
      <c r="L396" s="264">
        <f>L447</f>
        <v>375257.05370028922</v>
      </c>
      <c r="M396" s="494"/>
      <c r="N396" s="498" t="str">
        <f>N447</f>
        <v>Aumento acumulado</v>
      </c>
      <c r="O396" s="264">
        <f>O447</f>
        <v>342512.80187389534</v>
      </c>
      <c r="P396" s="494"/>
      <c r="Q396" s="498" t="str">
        <f>Q447</f>
        <v>Aumento acumulado</v>
      </c>
      <c r="R396" s="264">
        <f>R447</f>
        <v>312887.05022144411</v>
      </c>
      <c r="S396" s="494"/>
      <c r="T396" s="498" t="str">
        <f>T447</f>
        <v>Aumento acumulado</v>
      </c>
      <c r="U396" s="264">
        <f>U447</f>
        <v>286315.80787486373</v>
      </c>
      <c r="V396" s="494"/>
      <c r="W396" s="498" t="str">
        <f>W447</f>
        <v>Aumento acumulado</v>
      </c>
      <c r="X396" s="264">
        <f>X447</f>
        <v>263940.93423070991</v>
      </c>
      <c r="Y396" s="494"/>
      <c r="Z396" s="498" t="str">
        <f>Z447</f>
        <v>Aumento acumulado</v>
      </c>
      <c r="AA396" s="264">
        <f>AA447</f>
        <v>242964.65102461446</v>
      </c>
      <c r="AB396" s="494"/>
      <c r="AC396" s="498" t="str">
        <f>AC447</f>
        <v>Aumento acumulado</v>
      </c>
      <c r="AD396" s="264">
        <f>AD447</f>
        <v>203808.65890969941</v>
      </c>
      <c r="AE396" s="494"/>
      <c r="AF396" s="498" t="str">
        <f>AF447</f>
        <v>Aumento acumulado</v>
      </c>
      <c r="AG396" s="264">
        <f>AG447</f>
        <v>152066.56600994081</v>
      </c>
      <c r="AH396" s="494"/>
      <c r="AI396" s="498" t="str">
        <f>AI447</f>
        <v>Aumento acumulado</v>
      </c>
      <c r="AJ396" s="264">
        <f>AJ447</f>
        <v>119980.11376319476</v>
      </c>
      <c r="AK396" s="494"/>
      <c r="AL396" s="498" t="str">
        <f>AL447</f>
        <v>Aumento acumulado</v>
      </c>
      <c r="AM396" s="264">
        <f>AM447</f>
        <v>61665.113951514475</v>
      </c>
      <c r="AN396" s="494"/>
      <c r="AO396" s="498" t="str">
        <f>AO447</f>
        <v>Aumento acumulado</v>
      </c>
      <c r="AP396" s="264">
        <f>AP447</f>
        <v>32252.639087244868</v>
      </c>
      <c r="AQ396" s="494"/>
      <c r="AR396" s="498" t="str">
        <f>AR447</f>
        <v>Aumento acumulado</v>
      </c>
      <c r="AS396" s="264">
        <f>AS447</f>
        <v>0</v>
      </c>
      <c r="AT396" s="494"/>
      <c r="AU396" s="77"/>
      <c r="AV396" s="77"/>
      <c r="AW396" s="91"/>
      <c r="AX396" s="259"/>
      <c r="AY396" s="91"/>
      <c r="AZ396" s="91"/>
      <c r="BA396" s="91"/>
      <c r="BB396" s="91"/>
      <c r="BC396" s="91"/>
      <c r="BD396" s="91"/>
      <c r="BE396" s="91"/>
      <c r="BF396" s="91"/>
      <c r="BG396" s="91"/>
      <c r="BH396" s="91"/>
      <c r="BI396" s="91"/>
      <c r="BJ396" s="91"/>
      <c r="BK396" s="91"/>
      <c r="BL396" s="91"/>
    </row>
    <row r="397" spans="1:64" ht="18.75" thickBot="1">
      <c r="A397" s="91"/>
      <c r="B397" s="141"/>
      <c r="C397" s="630"/>
      <c r="D397" s="239"/>
      <c r="E397" s="500" t="str">
        <f>E448</f>
        <v>Porcentaje acumulado</v>
      </c>
      <c r="F397" s="501">
        <f>F448</f>
        <v>0.31854992171055813</v>
      </c>
      <c r="G397" s="494"/>
      <c r="H397" s="500" t="str">
        <f>H448</f>
        <v>Porcentaje acumulado</v>
      </c>
      <c r="I397" s="501">
        <f>I448</f>
        <v>0.28938281273427868</v>
      </c>
      <c r="J397" s="494"/>
      <c r="K397" s="500" t="str">
        <f>K448</f>
        <v>Porcentaje acumulado</v>
      </c>
      <c r="L397" s="501">
        <f>L448</f>
        <v>0.26413940703514716</v>
      </c>
      <c r="M397" s="494"/>
      <c r="N397" s="500" t="str">
        <f>N448</f>
        <v>Porcentaje acumulado</v>
      </c>
      <c r="O397" s="501">
        <f>O448</f>
        <v>0.24109108009246152</v>
      </c>
      <c r="P397" s="494"/>
      <c r="Q397" s="500" t="str">
        <f>Q448</f>
        <v>Porcentaje acumulado</v>
      </c>
      <c r="R397" s="501">
        <f>R448</f>
        <v>0.22023783190622237</v>
      </c>
      <c r="S397" s="494"/>
      <c r="T397" s="500" t="str">
        <f>T448</f>
        <v>Porcentaje acumulado</v>
      </c>
      <c r="U397" s="501">
        <f>U448</f>
        <v>0.20153461999213404</v>
      </c>
      <c r="V397" s="494"/>
      <c r="W397" s="500" t="str">
        <f>W448</f>
        <v>Porcentaje acumulado</v>
      </c>
      <c r="X397" s="501">
        <f>X448</f>
        <v>0.18578518690733078</v>
      </c>
      <c r="Y397" s="494"/>
      <c r="Z397" s="500" t="str">
        <f>Z448</f>
        <v>Porcentaje acumulado</v>
      </c>
      <c r="AA397" s="501">
        <f>AA448</f>
        <v>0.17102020660056594</v>
      </c>
      <c r="AB397" s="494"/>
      <c r="AC397" s="500" t="str">
        <f>AC448</f>
        <v>Porcentaje acumulado</v>
      </c>
      <c r="AD397" s="501">
        <f>AD448</f>
        <v>0.1434587245787862</v>
      </c>
      <c r="AE397" s="494"/>
      <c r="AF397" s="500" t="str">
        <f>AF448</f>
        <v>Porcentaje acumulado</v>
      </c>
      <c r="AG397" s="631">
        <f>AG448</f>
        <v>0.10703802148331443</v>
      </c>
      <c r="AH397" s="494"/>
      <c r="AI397" s="500" t="str">
        <f>AI448</f>
        <v>Porcentaje acumulado</v>
      </c>
      <c r="AJ397" s="631">
        <f>AJ448</f>
        <v>8.4452712595060653E-2</v>
      </c>
      <c r="AK397" s="494"/>
      <c r="AL397" s="500" t="str">
        <f>AL448</f>
        <v>Porcentaje acumulado</v>
      </c>
      <c r="AM397" s="631">
        <f>AM448</f>
        <v>4.3405410966416862E-2</v>
      </c>
      <c r="AN397" s="494"/>
      <c r="AO397" s="500" t="str">
        <f>AO448</f>
        <v>Porcentaje acumulado</v>
      </c>
      <c r="AP397" s="631">
        <f>AP448</f>
        <v>2.2702286019192566E-2</v>
      </c>
      <c r="AQ397" s="494"/>
      <c r="AR397" s="500" t="str">
        <f>AR448</f>
        <v>Porcentaje acumulado</v>
      </c>
      <c r="AS397" s="631">
        <f>AS448</f>
        <v>0</v>
      </c>
      <c r="AT397" s="494"/>
      <c r="AU397" s="77"/>
      <c r="AV397" s="77"/>
      <c r="AW397" s="91"/>
      <c r="AX397" s="259"/>
      <c r="AY397" s="91"/>
      <c r="AZ397" s="91"/>
      <c r="BA397" s="91"/>
      <c r="BB397" s="91"/>
      <c r="BC397" s="91"/>
      <c r="BD397" s="91"/>
      <c r="BE397" s="91"/>
      <c r="BF397" s="91"/>
      <c r="BG397" s="91"/>
      <c r="BH397" s="91"/>
      <c r="BI397" s="91"/>
      <c r="BJ397" s="91"/>
      <c r="BK397" s="91"/>
      <c r="BL397" s="91"/>
    </row>
    <row r="398" spans="1:64" ht="16.5" thickBot="1">
      <c r="A398" s="91"/>
      <c r="B398" s="141"/>
      <c r="C398" s="632"/>
      <c r="D398" s="240"/>
      <c r="E398" s="245"/>
      <c r="F398" s="245"/>
      <c r="G398" s="494"/>
      <c r="H398" s="245"/>
      <c r="I398" s="245"/>
      <c r="J398" s="494"/>
      <c r="K398" s="245"/>
      <c r="L398" s="245"/>
      <c r="M398" s="494"/>
      <c r="N398" s="245"/>
      <c r="O398" s="245"/>
      <c r="P398" s="494"/>
      <c r="Q398" s="245"/>
      <c r="R398" s="245"/>
      <c r="S398" s="494"/>
      <c r="T398" s="245"/>
      <c r="U398" s="245"/>
      <c r="V398" s="494"/>
      <c r="W398" s="245"/>
      <c r="X398" s="245"/>
      <c r="Y398" s="494"/>
      <c r="Z398" s="245"/>
      <c r="AA398" s="245"/>
      <c r="AB398" s="494"/>
      <c r="AC398" s="245"/>
      <c r="AD398" s="245"/>
      <c r="AE398" s="494"/>
      <c r="AF398" s="245"/>
      <c r="AG398" s="245"/>
      <c r="AH398" s="494"/>
      <c r="AI398" s="245"/>
      <c r="AJ398" s="245"/>
      <c r="AK398" s="494"/>
      <c r="AL398" s="245"/>
      <c r="AM398" s="245"/>
      <c r="AN398" s="494"/>
      <c r="AO398" s="245"/>
      <c r="AP398" s="245"/>
      <c r="AQ398" s="494"/>
      <c r="AR398" s="245"/>
      <c r="AS398" s="245"/>
      <c r="AT398" s="494"/>
      <c r="AU398" s="259"/>
      <c r="AV398" s="91"/>
      <c r="AW398" s="91"/>
      <c r="AX398" s="91"/>
      <c r="AY398" s="91"/>
      <c r="AZ398" s="91"/>
      <c r="BA398" s="91"/>
      <c r="BB398" s="91"/>
      <c r="BC398" s="91"/>
      <c r="BD398" s="91"/>
      <c r="BE398" s="91"/>
      <c r="BF398" s="91"/>
      <c r="BG398" s="91"/>
      <c r="BH398" s="91"/>
      <c r="BI398" s="91"/>
    </row>
    <row r="399" spans="1:64">
      <c r="A399" s="91"/>
      <c r="B399" s="28"/>
      <c r="C399" s="30"/>
      <c r="D399" s="240"/>
      <c r="E399" s="633" t="str">
        <f t="shared" ref="E399:F399" si="569">E450</f>
        <v>Aumento Remunerativo</v>
      </c>
      <c r="F399" s="268">
        <f t="shared" si="569"/>
        <v>41437.071061257739</v>
      </c>
      <c r="G399" s="228"/>
      <c r="H399" s="633" t="str">
        <f t="shared" ref="H399:I399" si="570">H450</f>
        <v>Aumento Remunerativo</v>
      </c>
      <c r="I399" s="268">
        <f t="shared" si="570"/>
        <v>35862.752000335604</v>
      </c>
      <c r="J399" s="228"/>
      <c r="K399" s="633" t="str">
        <f t="shared" ref="K399:L399" si="571">K450</f>
        <v>Aumento Remunerativo</v>
      </c>
      <c r="L399" s="268">
        <f t="shared" si="571"/>
        <v>32744.251826393884</v>
      </c>
      <c r="M399" s="228"/>
      <c r="N399" s="633" t="str">
        <f t="shared" ref="N399:O399" si="572">N450</f>
        <v>Aumento Remunerativo</v>
      </c>
      <c r="O399" s="268">
        <f t="shared" si="572"/>
        <v>29625.751652451232</v>
      </c>
      <c r="P399" s="228"/>
      <c r="Q399" s="633" t="str">
        <f t="shared" ref="Q399:R399" si="573">Q450</f>
        <v>Aumento Remunerativo</v>
      </c>
      <c r="R399" s="268">
        <f t="shared" si="573"/>
        <v>26571.242346580373</v>
      </c>
      <c r="S399" s="228"/>
      <c r="T399" s="633" t="str">
        <f t="shared" ref="T399:U399" si="574">T450</f>
        <v>Aumento Remunerativo</v>
      </c>
      <c r="U399" s="268">
        <f t="shared" si="574"/>
        <v>22374.87364415382</v>
      </c>
      <c r="V399" s="228"/>
      <c r="W399" s="633" t="str">
        <f t="shared" ref="W399:X399" si="575">W450</f>
        <v>Aumento Remunerativo</v>
      </c>
      <c r="X399" s="268">
        <f t="shared" si="575"/>
        <v>20976.283206095453</v>
      </c>
      <c r="Y399" s="228"/>
      <c r="Z399" s="633" t="str">
        <f t="shared" ref="Z399:AA399" si="576">Z450</f>
        <v>Aumento Remunerativo</v>
      </c>
      <c r="AA399" s="268">
        <f t="shared" si="576"/>
        <v>39155.992114915047</v>
      </c>
      <c r="AB399" s="228"/>
      <c r="AC399" s="633" t="str">
        <f t="shared" ref="AC399:AD399" si="577">AC450</f>
        <v>Aumento Remunerativo</v>
      </c>
      <c r="AD399" s="268">
        <f t="shared" si="577"/>
        <v>51742.092899758602</v>
      </c>
      <c r="AE399" s="228"/>
      <c r="AF399" s="633" t="str">
        <f t="shared" ref="AF399:AG399" si="578">AF450</f>
        <v>Aumento Remunerativo</v>
      </c>
      <c r="AG399" s="268">
        <f t="shared" si="578"/>
        <v>32086.452246746048</v>
      </c>
      <c r="AH399" s="228"/>
      <c r="AI399" s="633" t="str">
        <f t="shared" ref="AI399:AJ399" si="579">AI450</f>
        <v>Aumento Remunerativo</v>
      </c>
      <c r="AJ399" s="268">
        <f t="shared" si="579"/>
        <v>45903</v>
      </c>
      <c r="AK399" s="228"/>
      <c r="AL399" s="633" t="str">
        <f t="shared" ref="AL399:AM399" si="580">AL450</f>
        <v>Aumento Remunerativo</v>
      </c>
      <c r="AM399" s="268">
        <f t="shared" si="580"/>
        <v>29412.474864269607</v>
      </c>
      <c r="AN399" s="228"/>
      <c r="AO399" s="633" t="str">
        <f t="shared" ref="AO399:AP411" si="581">AO450</f>
        <v>Aumento Remunerativo</v>
      </c>
      <c r="AP399" s="268">
        <f t="shared" si="581"/>
        <v>32252.639087244868</v>
      </c>
      <c r="AQ399" s="228"/>
      <c r="AR399" s="633" t="str">
        <f t="shared" ref="AR399:AS411" si="582">AR450</f>
        <v>Aumento provincial</v>
      </c>
      <c r="AS399" s="268">
        <f t="shared" si="582"/>
        <v>0</v>
      </c>
      <c r="AT399" s="228"/>
      <c r="AU399" s="77"/>
      <c r="AV399" s="77"/>
      <c r="AW399" s="91"/>
      <c r="AX399" s="259"/>
      <c r="AY399" s="91"/>
      <c r="AZ399" s="91"/>
      <c r="BA399" s="91"/>
      <c r="BB399" s="91"/>
      <c r="BC399" s="91"/>
      <c r="BD399" s="91"/>
      <c r="BE399" s="91"/>
      <c r="BF399" s="91"/>
      <c r="BG399" s="91"/>
      <c r="BH399" s="91"/>
      <c r="BI399" s="91"/>
      <c r="BJ399" s="91"/>
      <c r="BK399" s="91"/>
      <c r="BL399" s="91"/>
    </row>
    <row r="400" spans="1:64" ht="16.5" thickBot="1">
      <c r="A400" s="91"/>
      <c r="B400" s="28"/>
      <c r="C400" s="28"/>
      <c r="D400" s="28"/>
      <c r="E400" s="269" t="str">
        <f t="shared" ref="E400:F400" si="583">E451</f>
        <v>Rem Porcentual</v>
      </c>
      <c r="F400" s="505">
        <f t="shared" si="583"/>
        <v>2.4326297676427154E-2</v>
      </c>
      <c r="G400" s="228"/>
      <c r="H400" s="269" t="str">
        <f t="shared" ref="H400:I400" si="584">H451</f>
        <v>Rem Porcentual</v>
      </c>
      <c r="I400" s="505">
        <f t="shared" si="584"/>
        <v>2.1506599941988398E-2</v>
      </c>
      <c r="J400" s="228"/>
      <c r="K400" s="269" t="str">
        <f t="shared" ref="K400:L400" si="585">K451</f>
        <v>Rem Porcentual</v>
      </c>
      <c r="L400" s="505">
        <f t="shared" si="585"/>
        <v>2.0029774702713533E-2</v>
      </c>
      <c r="M400" s="228"/>
      <c r="N400" s="269" t="str">
        <f t="shared" ref="N400:O400" si="586">N451</f>
        <v>Rem Porcentual</v>
      </c>
      <c r="O400" s="505">
        <f t="shared" si="586"/>
        <v>1.8456651825249987E-2</v>
      </c>
      <c r="P400" s="228"/>
      <c r="Q400" s="269" t="str">
        <f t="shared" ref="Q400:R400" si="587">Q451</f>
        <v>Rem Porcentual</v>
      </c>
      <c r="R400" s="505">
        <f t="shared" si="587"/>
        <v>1.6832350148370166E-2</v>
      </c>
      <c r="S400" s="228"/>
      <c r="T400" s="269" t="str">
        <f t="shared" ref="T400:U400" si="588">T451</f>
        <v>Rem Porcentual</v>
      </c>
      <c r="U400" s="505">
        <f t="shared" si="588"/>
        <v>1.4377826382603823E-2</v>
      </c>
      <c r="V400" s="228"/>
      <c r="W400" s="269" t="str">
        <f t="shared" ref="W400:X400" si="589">W451</f>
        <v>Rem Porcentual</v>
      </c>
      <c r="X400" s="505">
        <f t="shared" si="589"/>
        <v>1.3663277690537764E-2</v>
      </c>
      <c r="Y400" s="228"/>
      <c r="Z400" s="269" t="str">
        <f t="shared" ref="Z400:AA400" si="590">Z451</f>
        <v>Rem Porcentual</v>
      </c>
      <c r="AA400" s="505">
        <f t="shared" si="590"/>
        <v>2.6172484721865757E-2</v>
      </c>
      <c r="AB400" s="228"/>
      <c r="AC400" s="269" t="str">
        <f t="shared" ref="AC400:AD400" si="591">AC451</f>
        <v>Rem Porcentual</v>
      </c>
      <c r="AD400" s="505">
        <f t="shared" si="591"/>
        <v>3.5824222759285061E-2</v>
      </c>
      <c r="AE400" s="228"/>
      <c r="AF400" s="269" t="str">
        <f t="shared" ref="AF400:AG400" si="592">AF451</f>
        <v>Rem Porcentual</v>
      </c>
      <c r="AG400" s="341">
        <f t="shared" si="592"/>
        <v>2.2720155572803987E-2</v>
      </c>
      <c r="AH400" s="228"/>
      <c r="AI400" s="269" t="str">
        <f t="shared" ref="AI400:AJ400" si="593">AI451</f>
        <v>Rem Porcentual</v>
      </c>
      <c r="AJ400" s="341">
        <f t="shared" si="593"/>
        <v>3.3595513676611719E-2</v>
      </c>
      <c r="AK400" s="228"/>
      <c r="AL400" s="269" t="str">
        <f t="shared" ref="AL400:AM400" si="594">AL451</f>
        <v>Rem Porcentual</v>
      </c>
      <c r="AM400" s="341">
        <f t="shared" si="594"/>
        <v>2.2000000000000235E-2</v>
      </c>
      <c r="AN400" s="228"/>
      <c r="AO400" s="269" t="str">
        <f t="shared" si="581"/>
        <v>Rem Porcentual</v>
      </c>
      <c r="AP400" s="341">
        <f t="shared" si="581"/>
        <v>2.472076495765246E-2</v>
      </c>
      <c r="AQ400" s="228"/>
      <c r="AR400" s="269" t="str">
        <f t="shared" si="582"/>
        <v>Porcentaje provincial</v>
      </c>
      <c r="AS400" s="341">
        <f t="shared" si="582"/>
        <v>0</v>
      </c>
      <c r="AT400" s="228"/>
      <c r="AU400" s="77"/>
      <c r="AV400" s="77"/>
      <c r="AW400" s="91"/>
      <c r="AX400" s="259"/>
      <c r="AY400" s="91"/>
      <c r="AZ400" s="91"/>
      <c r="BA400" s="91"/>
      <c r="BB400" s="91"/>
      <c r="BC400" s="91"/>
      <c r="BD400" s="91"/>
      <c r="BE400" s="91"/>
      <c r="BF400" s="91"/>
      <c r="BG400" s="91"/>
      <c r="BH400" s="91"/>
      <c r="BI400" s="91"/>
      <c r="BJ400" s="91"/>
      <c r="BK400" s="91"/>
      <c r="BL400" s="91"/>
    </row>
    <row r="401" spans="1:64" ht="16.5" thickBot="1">
      <c r="A401" s="91"/>
      <c r="B401" s="28"/>
      <c r="C401" s="28"/>
      <c r="D401" s="28"/>
      <c r="E401" s="245"/>
      <c r="F401" s="245"/>
      <c r="G401" s="228"/>
      <c r="H401" s="245"/>
      <c r="I401" s="245"/>
      <c r="J401" s="228"/>
      <c r="K401" s="245"/>
      <c r="L401" s="245"/>
      <c r="M401" s="228"/>
      <c r="N401" s="245"/>
      <c r="O401" s="245"/>
      <c r="P401" s="228"/>
      <c r="Q401" s="245"/>
      <c r="R401" s="245"/>
      <c r="S401" s="228"/>
      <c r="T401" s="245"/>
      <c r="U401" s="245"/>
      <c r="V401" s="228"/>
      <c r="W401" s="245"/>
      <c r="X401" s="245"/>
      <c r="Y401" s="228"/>
      <c r="Z401" s="245"/>
      <c r="AA401" s="245"/>
      <c r="AB401" s="228"/>
      <c r="AC401" s="245"/>
      <c r="AD401" s="245"/>
      <c r="AE401" s="228"/>
      <c r="AF401" s="245"/>
      <c r="AG401" s="245"/>
      <c r="AH401" s="228"/>
      <c r="AI401" s="245"/>
      <c r="AJ401" s="245"/>
      <c r="AK401" s="228"/>
      <c r="AL401" s="245"/>
      <c r="AM401" s="245"/>
      <c r="AN401" s="228"/>
      <c r="AO401" s="245"/>
      <c r="AP401" s="245"/>
      <c r="AQ401" s="228"/>
      <c r="AR401" s="245"/>
      <c r="AS401" s="245"/>
      <c r="AT401" s="228"/>
      <c r="AU401" s="77"/>
      <c r="AV401" s="77"/>
      <c r="AW401" s="91"/>
      <c r="AX401" s="259"/>
      <c r="AY401" s="91"/>
      <c r="AZ401" s="91"/>
      <c r="BA401" s="91"/>
      <c r="BB401" s="91"/>
      <c r="BC401" s="91"/>
      <c r="BD401" s="91"/>
      <c r="BE401" s="91"/>
      <c r="BF401" s="91"/>
      <c r="BG401" s="91"/>
      <c r="BH401" s="91"/>
      <c r="BI401" s="91"/>
      <c r="BJ401" s="91"/>
      <c r="BK401" s="91"/>
      <c r="BL401" s="91"/>
    </row>
    <row r="402" spans="1:64" ht="16.5" thickTop="1">
      <c r="A402" s="91"/>
      <c r="B402" s="28"/>
      <c r="C402" s="28"/>
      <c r="D402" s="28"/>
      <c r="E402" s="271" t="str">
        <f t="shared" ref="E402" si="595">E453</f>
        <v>Medio Aguinaldo</v>
      </c>
      <c r="F402" s="272"/>
      <c r="G402" s="228"/>
      <c r="H402" s="271" t="str">
        <f t="shared" ref="H402" si="596">H453</f>
        <v>Medio Aguinaldo</v>
      </c>
      <c r="I402" s="272"/>
      <c r="J402" s="228"/>
      <c r="K402" s="271" t="str">
        <f t="shared" ref="K402" si="597">K453</f>
        <v>Medio Aguinaldo</v>
      </c>
      <c r="L402" s="272"/>
      <c r="M402" s="228"/>
      <c r="N402" s="271" t="str">
        <f t="shared" ref="N402" si="598">N453</f>
        <v>Medio Aguinaldo</v>
      </c>
      <c r="O402" s="272"/>
      <c r="P402" s="228"/>
      <c r="Q402" s="271" t="str">
        <f t="shared" ref="Q402" si="599">Q453</f>
        <v>Medio Aguinaldo</v>
      </c>
      <c r="R402" s="272"/>
      <c r="S402" s="228"/>
      <c r="T402" s="271" t="str">
        <f t="shared" ref="T402" si="600">T453</f>
        <v>Medio Aguinaldo</v>
      </c>
      <c r="U402" s="272"/>
      <c r="V402" s="228"/>
      <c r="W402" s="271" t="str">
        <f t="shared" ref="W402" si="601">W453</f>
        <v>Medio Aguinaldo</v>
      </c>
      <c r="X402" s="272"/>
      <c r="Y402" s="228"/>
      <c r="Z402" s="271" t="str">
        <f t="shared" ref="Z402" si="602">Z453</f>
        <v>Medio Aguinaldo</v>
      </c>
      <c r="AA402" s="272"/>
      <c r="AB402" s="228"/>
      <c r="AC402" s="271" t="str">
        <f t="shared" ref="AC402" si="603">AC453</f>
        <v>Medio Aguinaldo</v>
      </c>
      <c r="AD402" s="272"/>
      <c r="AE402" s="228"/>
      <c r="AF402" s="271" t="str">
        <f t="shared" ref="AF402" si="604">AF453</f>
        <v>Medio Aguinaldo</v>
      </c>
      <c r="AG402" s="272"/>
      <c r="AH402" s="228"/>
      <c r="AI402" s="271" t="str">
        <f t="shared" ref="AI402" si="605">AI453</f>
        <v>Medio Aguinaldo</v>
      </c>
      <c r="AJ402" s="272"/>
      <c r="AK402" s="228"/>
      <c r="AL402" s="271" t="str">
        <f t="shared" ref="AL402" si="606">AL453</f>
        <v>Medio Aguinaldo</v>
      </c>
      <c r="AM402" s="272"/>
      <c r="AN402" s="228"/>
      <c r="AO402" s="271" t="str">
        <f t="shared" si="581"/>
        <v>Medio Aguinaldo</v>
      </c>
      <c r="AP402" s="272"/>
      <c r="AQ402" s="228"/>
      <c r="AR402" s="271" t="str">
        <f t="shared" si="582"/>
        <v>Medio Aguinaldo</v>
      </c>
      <c r="AS402" s="272"/>
      <c r="AT402" s="228"/>
      <c r="AU402" s="77"/>
      <c r="AV402" s="77"/>
      <c r="AW402" s="91"/>
      <c r="AX402" s="259"/>
      <c r="AY402" s="91"/>
      <c r="AZ402" s="91"/>
      <c r="BA402" s="91"/>
      <c r="BB402" s="91"/>
      <c r="BC402" s="91"/>
      <c r="BD402" s="91"/>
      <c r="BE402" s="91"/>
      <c r="BF402" s="91"/>
      <c r="BG402" s="91"/>
      <c r="BH402" s="91"/>
      <c r="BI402" s="91"/>
      <c r="BJ402" s="91"/>
      <c r="BK402" s="91"/>
      <c r="BL402" s="91"/>
    </row>
    <row r="403" spans="1:64">
      <c r="A403" s="91"/>
      <c r="B403" s="28"/>
      <c r="C403" s="28"/>
      <c r="D403" s="28"/>
      <c r="E403" s="634" t="str">
        <f t="shared" ref="E403:F403" si="607">E454</f>
        <v>código 100</v>
      </c>
      <c r="F403" s="635">
        <f t="shared" si="607"/>
        <v>1118476.2266099758</v>
      </c>
      <c r="G403" s="228"/>
      <c r="H403" s="634" t="str">
        <f t="shared" ref="H403:I403" si="608">H454</f>
        <v>código 100</v>
      </c>
      <c r="I403" s="635">
        <f t="shared" si="608"/>
        <v>1091914.0015707079</v>
      </c>
      <c r="J403" s="228"/>
      <c r="K403" s="634" t="str">
        <f t="shared" ref="K403:L403" si="609">K454</f>
        <v>código 100</v>
      </c>
      <c r="L403" s="635">
        <f t="shared" si="609"/>
        <v>1068925.0579807493</v>
      </c>
      <c r="M403" s="228"/>
      <c r="N403" s="634" t="str">
        <f t="shared" ref="N403:O403" si="610">N454</f>
        <v>código 100</v>
      </c>
      <c r="O403" s="635">
        <f t="shared" si="610"/>
        <v>1047935.1529638302</v>
      </c>
      <c r="P403" s="228"/>
      <c r="Q403" s="634" t="str">
        <f t="shared" ref="Q403:R403" si="611">Q454</f>
        <v>código 100</v>
      </c>
      <c r="R403" s="635">
        <f t="shared" si="611"/>
        <v>1028944.2865199512</v>
      </c>
      <c r="S403" s="228"/>
      <c r="T403" s="634" t="str">
        <f t="shared" ref="T403:U403" si="612">T454</f>
        <v>código 100</v>
      </c>
      <c r="U403" s="635">
        <f t="shared" si="612"/>
        <v>1011911.4388618867</v>
      </c>
      <c r="V403" s="228"/>
      <c r="W403" s="634" t="str">
        <f t="shared" ref="W403:X403" si="613">W454</f>
        <v>código 100</v>
      </c>
      <c r="X403" s="635">
        <f t="shared" si="613"/>
        <v>997568.57114127523</v>
      </c>
      <c r="Y403" s="228"/>
      <c r="Z403" s="634" t="str">
        <f t="shared" ref="Z403:AA403" si="614">Z454</f>
        <v>código 100</v>
      </c>
      <c r="AA403" s="635">
        <f t="shared" si="614"/>
        <v>984122.2357527524</v>
      </c>
      <c r="AB403" s="228"/>
      <c r="AC403" s="634" t="str">
        <f t="shared" ref="AC403:AD403" si="615">AC454</f>
        <v>código 100</v>
      </c>
      <c r="AD403" s="635">
        <f t="shared" si="615"/>
        <v>959022.24080729391</v>
      </c>
      <c r="AE403" s="228"/>
      <c r="AF403" s="634" t="str">
        <f t="shared" ref="AF403:AG403" si="616">AF454</f>
        <v>código 100</v>
      </c>
      <c r="AG403" s="635">
        <f t="shared" si="616"/>
        <v>925854.23253821791</v>
      </c>
      <c r="AH403" s="228"/>
      <c r="AI403" s="634" t="str">
        <f t="shared" ref="AI403:AJ403" si="617">AI454</f>
        <v>código 100</v>
      </c>
      <c r="AJ403" s="635">
        <f t="shared" si="617"/>
        <v>892785.99391850887</v>
      </c>
      <c r="AK403" s="228"/>
      <c r="AL403" s="634" t="str">
        <f t="shared" ref="AL403:AM403" si="618">AL454</f>
        <v>código 100</v>
      </c>
      <c r="AM403" s="635">
        <f t="shared" si="618"/>
        <v>875860.99391850887</v>
      </c>
      <c r="AN403" s="228"/>
      <c r="AO403" s="634" t="str">
        <f t="shared" si="581"/>
        <v>código 100</v>
      </c>
      <c r="AP403" s="635">
        <f t="shared" si="581"/>
        <v>857006.84336448996</v>
      </c>
      <c r="AQ403" s="228"/>
      <c r="AR403" s="634" t="str">
        <f t="shared" si="582"/>
        <v>código 100</v>
      </c>
      <c r="AS403" s="635">
        <f t="shared" si="582"/>
        <v>836332.07471882016</v>
      </c>
      <c r="AT403" s="228"/>
      <c r="AU403" s="259"/>
      <c r="AV403" s="91"/>
      <c r="AW403" s="91"/>
      <c r="AX403" s="91"/>
      <c r="AY403" s="91"/>
      <c r="AZ403" s="91"/>
      <c r="BA403" s="91"/>
      <c r="BB403" s="91"/>
      <c r="BC403" s="91"/>
      <c r="BD403" s="91"/>
      <c r="BE403" s="91"/>
      <c r="BF403" s="91"/>
      <c r="BG403" s="91"/>
      <c r="BH403" s="91"/>
      <c r="BI403" s="91"/>
    </row>
    <row r="404" spans="1:64">
      <c r="A404" s="91"/>
      <c r="B404" s="28"/>
      <c r="C404" s="28"/>
      <c r="D404" s="28"/>
      <c r="E404" s="636" t="str">
        <f t="shared" ref="E404:F404" si="619">E455</f>
        <v>código 186 (No remun)</v>
      </c>
      <c r="F404" s="637">
        <f t="shared" si="619"/>
        <v>0</v>
      </c>
      <c r="G404" s="228"/>
      <c r="H404" s="636" t="str">
        <f t="shared" ref="H404:I404" si="620">H455</f>
        <v>código 186 (No remun)</v>
      </c>
      <c r="I404" s="637">
        <f t="shared" si="620"/>
        <v>0</v>
      </c>
      <c r="J404" s="228"/>
      <c r="K404" s="636" t="str">
        <f t="shared" ref="K404:L404" si="621">K455</f>
        <v>código 186 (No remun)</v>
      </c>
      <c r="L404" s="637">
        <f t="shared" si="621"/>
        <v>0</v>
      </c>
      <c r="M404" s="228"/>
      <c r="N404" s="636" t="str">
        <f t="shared" ref="N404:O404" si="622">N455</f>
        <v>código 186 (No remun)</v>
      </c>
      <c r="O404" s="637">
        <f t="shared" si="622"/>
        <v>0</v>
      </c>
      <c r="P404" s="228"/>
      <c r="Q404" s="636" t="str">
        <f t="shared" ref="Q404:R404" si="623">Q455</f>
        <v>código 186 (No remun)</v>
      </c>
      <c r="R404" s="637">
        <f t="shared" si="623"/>
        <v>0</v>
      </c>
      <c r="S404" s="228"/>
      <c r="T404" s="636" t="str">
        <f t="shared" ref="T404:U404" si="624">T455</f>
        <v>código 186 (No remun)</v>
      </c>
      <c r="U404" s="637">
        <f t="shared" si="624"/>
        <v>0</v>
      </c>
      <c r="V404" s="228"/>
      <c r="W404" s="636" t="str">
        <f t="shared" ref="W404:X404" si="625">W455</f>
        <v>código 186 (No remun)</v>
      </c>
      <c r="X404" s="637">
        <f t="shared" si="625"/>
        <v>0</v>
      </c>
      <c r="Y404" s="228"/>
      <c r="Z404" s="636" t="str">
        <f t="shared" ref="Z404:AA404" si="626">Z455</f>
        <v>código 186 (No remun)</v>
      </c>
      <c r="AA404" s="637">
        <f t="shared" si="626"/>
        <v>0</v>
      </c>
      <c r="AB404" s="228"/>
      <c r="AC404" s="636" t="str">
        <f t="shared" ref="AC404:AD404" si="627">AC455</f>
        <v>código 186 (No remun)</v>
      </c>
      <c r="AD404" s="637">
        <f t="shared" si="627"/>
        <v>0</v>
      </c>
      <c r="AE404" s="228"/>
      <c r="AF404" s="636" t="str">
        <f t="shared" ref="AF404:AG404" si="628">AF455</f>
        <v>código 186 (No remun)</v>
      </c>
      <c r="AG404" s="637">
        <f t="shared" si="628"/>
        <v>0</v>
      </c>
      <c r="AH404" s="228"/>
      <c r="AI404" s="636" t="str">
        <f t="shared" ref="AI404:AJ404" si="629">AI455</f>
        <v>código 186 (No remun)</v>
      </c>
      <c r="AJ404" s="637">
        <f t="shared" si="629"/>
        <v>0</v>
      </c>
      <c r="AK404" s="228"/>
      <c r="AL404" s="636" t="str">
        <f t="shared" ref="AL404:AM404" si="630">AL455</f>
        <v>código 186 (No remun)</v>
      </c>
      <c r="AM404" s="637">
        <f t="shared" si="630"/>
        <v>0</v>
      </c>
      <c r="AN404" s="228"/>
      <c r="AO404" s="636" t="str">
        <f t="shared" si="581"/>
        <v>código 186 (No remun)</v>
      </c>
      <c r="AP404" s="637">
        <f t="shared" si="581"/>
        <v>0</v>
      </c>
      <c r="AQ404" s="228"/>
      <c r="AR404" s="636" t="str">
        <f t="shared" si="582"/>
        <v>código 186 (No remun)</v>
      </c>
      <c r="AS404" s="637">
        <f t="shared" si="582"/>
        <v>0</v>
      </c>
      <c r="AT404" s="228"/>
      <c r="AU404" s="259"/>
      <c r="AV404" s="91"/>
      <c r="AW404" s="91"/>
      <c r="AX404" s="91"/>
      <c r="AY404" s="91"/>
      <c r="AZ404" s="91"/>
      <c r="BA404" s="91"/>
      <c r="BB404" s="91"/>
      <c r="BC404" s="91"/>
      <c r="BD404" s="91"/>
      <c r="BE404" s="91"/>
      <c r="BF404" s="91"/>
      <c r="BG404" s="91"/>
      <c r="BH404" s="91"/>
      <c r="BI404" s="91"/>
    </row>
    <row r="405" spans="1:64">
      <c r="A405" s="91"/>
      <c r="B405" s="28"/>
      <c r="C405" s="28"/>
      <c r="D405" s="28"/>
      <c r="E405" s="638" t="str">
        <f t="shared" ref="E405:F406" si="631">E456</f>
        <v>Líquido</v>
      </c>
      <c r="F405" s="639">
        <f t="shared" si="631"/>
        <v>872411.4567557812</v>
      </c>
      <c r="G405" s="228"/>
      <c r="H405" s="638" t="str">
        <f t="shared" ref="H405:I405" si="632">H456</f>
        <v>Líquido</v>
      </c>
      <c r="I405" s="639">
        <f t="shared" si="632"/>
        <v>851692.92122515221</v>
      </c>
      <c r="J405" s="228"/>
      <c r="K405" s="638" t="str">
        <f t="shared" ref="K405:L406" si="633">K456</f>
        <v>Líquido</v>
      </c>
      <c r="L405" s="639">
        <f t="shared" si="633"/>
        <v>833761.54522498453</v>
      </c>
      <c r="M405" s="228"/>
      <c r="N405" s="638" t="str">
        <f t="shared" ref="N405:O405" si="634">N456</f>
        <v>Líquido</v>
      </c>
      <c r="O405" s="639">
        <f t="shared" si="634"/>
        <v>817389.41931178758</v>
      </c>
      <c r="P405" s="228"/>
      <c r="Q405" s="638" t="str">
        <f t="shared" ref="Q405:R406" si="635">Q456</f>
        <v>Líquido</v>
      </c>
      <c r="R405" s="639">
        <f t="shared" si="635"/>
        <v>802576.54348556197</v>
      </c>
      <c r="S405" s="228"/>
      <c r="T405" s="638" t="str">
        <f t="shared" ref="T405:U405" si="636">T456</f>
        <v>Líquido</v>
      </c>
      <c r="U405" s="639">
        <f t="shared" si="636"/>
        <v>789290.92231227166</v>
      </c>
      <c r="V405" s="228"/>
      <c r="W405" s="638" t="str">
        <f t="shared" ref="W405:X406" si="637">W456</f>
        <v>Líquido</v>
      </c>
      <c r="X405" s="639">
        <f t="shared" si="637"/>
        <v>778103.48549019475</v>
      </c>
      <c r="Y405" s="228"/>
      <c r="Z405" s="638" t="str">
        <f t="shared" ref="Z405:AA405" si="638">Z456</f>
        <v>Líquido</v>
      </c>
      <c r="AA405" s="639">
        <f t="shared" si="638"/>
        <v>767615.34388714691</v>
      </c>
      <c r="AB405" s="228"/>
      <c r="AC405" s="638" t="str">
        <f t="shared" ref="AC405:AD406" si="639">AC456</f>
        <v>Líquido</v>
      </c>
      <c r="AD405" s="639">
        <f t="shared" si="639"/>
        <v>748037.34782968927</v>
      </c>
      <c r="AE405" s="228"/>
      <c r="AF405" s="638" t="str">
        <f t="shared" ref="AF405:AG405" si="640">AF456</f>
        <v>Líquido</v>
      </c>
      <c r="AG405" s="639">
        <f t="shared" si="640"/>
        <v>722166.30137980997</v>
      </c>
      <c r="AH405" s="228"/>
      <c r="AI405" s="638" t="str">
        <f t="shared" ref="AI405:AJ406" si="641">AI456</f>
        <v>Líquido</v>
      </c>
      <c r="AJ405" s="639">
        <f t="shared" si="641"/>
        <v>696373.07525643695</v>
      </c>
      <c r="AK405" s="228"/>
      <c r="AL405" s="638" t="str">
        <f t="shared" ref="AL405:AM405" si="642">AL456</f>
        <v>Líquido</v>
      </c>
      <c r="AM405" s="639">
        <f t="shared" si="642"/>
        <v>683171.57525643695</v>
      </c>
      <c r="AN405" s="228"/>
      <c r="AO405" s="638" t="str">
        <f t="shared" si="581"/>
        <v>Líquido</v>
      </c>
      <c r="AP405" s="639">
        <f t="shared" si="581"/>
        <v>668465.33782430214</v>
      </c>
      <c r="AQ405" s="228"/>
      <c r="AR405" s="638" t="str">
        <f t="shared" si="582"/>
        <v>Líquido</v>
      </c>
      <c r="AS405" s="639">
        <f t="shared" si="582"/>
        <v>652339.01828067971</v>
      </c>
      <c r="AT405" s="228"/>
      <c r="AU405" s="259"/>
      <c r="AV405" s="91"/>
      <c r="AW405" s="91"/>
      <c r="AX405" s="91"/>
      <c r="AY405" s="91"/>
      <c r="AZ405" s="91"/>
      <c r="BA405" s="91"/>
      <c r="BB405" s="91"/>
      <c r="BC405" s="91"/>
      <c r="BD405" s="91"/>
      <c r="BE405" s="91"/>
      <c r="BF405" s="91"/>
      <c r="BG405" s="91"/>
      <c r="BH405" s="91"/>
      <c r="BI405" s="91"/>
    </row>
    <row r="406" spans="1:64">
      <c r="A406" s="91"/>
      <c r="B406" s="28"/>
      <c r="C406" s="28"/>
      <c r="D406" s="28"/>
      <c r="E406" s="636" t="str">
        <f t="shared" si="631"/>
        <v>Descuentos con aguinaldo</v>
      </c>
      <c r="F406" s="637"/>
      <c r="G406" s="228"/>
      <c r="H406" s="636" t="str">
        <f t="shared" ref="H406" si="643">H457</f>
        <v>Descuentos con aguinaldo</v>
      </c>
      <c r="I406" s="637"/>
      <c r="J406" s="228"/>
      <c r="K406" s="636" t="str">
        <f t="shared" si="633"/>
        <v>Descuentos con aguinaldo</v>
      </c>
      <c r="L406" s="637"/>
      <c r="M406" s="228"/>
      <c r="N406" s="636" t="str">
        <f t="shared" ref="N406" si="644">N457</f>
        <v>Descuentos con aguinaldo</v>
      </c>
      <c r="O406" s="637"/>
      <c r="P406" s="228"/>
      <c r="Q406" s="636" t="str">
        <f t="shared" si="635"/>
        <v>Descuentos con aguinaldo</v>
      </c>
      <c r="R406" s="637"/>
      <c r="S406" s="228"/>
      <c r="T406" s="636" t="str">
        <f t="shared" ref="T406" si="645">T457</f>
        <v>Descuentos con aguinaldo</v>
      </c>
      <c r="U406" s="637"/>
      <c r="V406" s="228"/>
      <c r="W406" s="636" t="str">
        <f t="shared" si="637"/>
        <v>Descuentos con aguinaldo</v>
      </c>
      <c r="X406" s="637"/>
      <c r="Y406" s="228"/>
      <c r="Z406" s="636" t="str">
        <f t="shared" ref="Z406" si="646">Z457</f>
        <v>Descuentos con aguinaldo</v>
      </c>
      <c r="AA406" s="637"/>
      <c r="AB406" s="228"/>
      <c r="AC406" s="636" t="str">
        <f t="shared" si="639"/>
        <v>Descuentos con aguinaldo</v>
      </c>
      <c r="AD406" s="637"/>
      <c r="AE406" s="228"/>
      <c r="AF406" s="636" t="str">
        <f t="shared" ref="AF406" si="647">AF457</f>
        <v>Descuentos con aguinaldo</v>
      </c>
      <c r="AG406" s="637"/>
      <c r="AH406" s="228"/>
      <c r="AI406" s="636" t="str">
        <f t="shared" si="641"/>
        <v>Descuentos con aguinaldo</v>
      </c>
      <c r="AJ406" s="637"/>
      <c r="AK406" s="228"/>
      <c r="AL406" s="636" t="str">
        <f t="shared" ref="AL406" si="648">AL457</f>
        <v>Descuentos con aguinaldo</v>
      </c>
      <c r="AM406" s="637"/>
      <c r="AN406" s="228"/>
      <c r="AO406" s="636" t="str">
        <f t="shared" si="581"/>
        <v>Descuentos con aguinaldo</v>
      </c>
      <c r="AP406" s="637"/>
      <c r="AQ406" s="228"/>
      <c r="AR406" s="636" t="str">
        <f t="shared" si="582"/>
        <v>Descuentos con aguinaldo</v>
      </c>
      <c r="AS406" s="637"/>
      <c r="AT406" s="228"/>
      <c r="AU406" s="259"/>
      <c r="AV406" s="91"/>
      <c r="AW406" s="91"/>
      <c r="AX406" s="91"/>
      <c r="AY406" s="91"/>
      <c r="AZ406" s="91"/>
      <c r="BA406" s="91"/>
      <c r="BB406" s="91"/>
      <c r="BC406" s="91"/>
      <c r="BD406" s="91"/>
      <c r="BE406" s="91"/>
      <c r="BF406" s="91"/>
      <c r="BG406" s="91"/>
      <c r="BH406" s="91"/>
      <c r="BI406" s="91"/>
    </row>
    <row r="407" spans="1:64">
      <c r="A407" s="91"/>
      <c r="B407" s="28"/>
      <c r="C407" s="28"/>
      <c r="D407" s="28"/>
      <c r="E407" s="638">
        <f t="shared" ref="E407:F407" si="649">E458</f>
        <v>502</v>
      </c>
      <c r="F407" s="639">
        <f t="shared" si="649"/>
        <v>-637531.44916768617</v>
      </c>
      <c r="G407" s="228"/>
      <c r="H407" s="638">
        <f t="shared" ref="H407:I407" si="650">H458</f>
        <v>502</v>
      </c>
      <c r="I407" s="639">
        <f t="shared" si="650"/>
        <v>-622390.98089530342</v>
      </c>
      <c r="J407" s="228"/>
      <c r="K407" s="638">
        <f t="shared" ref="K407:L407" si="651">K458</f>
        <v>502</v>
      </c>
      <c r="L407" s="639">
        <f t="shared" si="651"/>
        <v>-609287.28304902709</v>
      </c>
      <c r="M407" s="228"/>
      <c r="N407" s="638">
        <f t="shared" ref="N407:O407" si="652">N458</f>
        <v>502</v>
      </c>
      <c r="O407" s="639">
        <f t="shared" si="652"/>
        <v>-597323.03718938318</v>
      </c>
      <c r="P407" s="228"/>
      <c r="Q407" s="638">
        <f t="shared" ref="Q407:R407" si="653">Q458</f>
        <v>502</v>
      </c>
      <c r="R407" s="639">
        <f t="shared" si="653"/>
        <v>-586498.24331637216</v>
      </c>
      <c r="S407" s="228"/>
      <c r="T407" s="638">
        <f t="shared" ref="T407:U407" si="654">T458</f>
        <v>502</v>
      </c>
      <c r="U407" s="639">
        <f t="shared" si="654"/>
        <v>-576789.52015127544</v>
      </c>
      <c r="V407" s="228"/>
      <c r="W407" s="638">
        <f t="shared" ref="W407:X407" si="655">W458</f>
        <v>502</v>
      </c>
      <c r="X407" s="639">
        <f t="shared" si="655"/>
        <v>-568614.08555052686</v>
      </c>
      <c r="Y407" s="228"/>
      <c r="Z407" s="638">
        <f t="shared" ref="Z407:AA407" si="656">Z458</f>
        <v>502</v>
      </c>
      <c r="AA407" s="639">
        <f t="shared" si="656"/>
        <v>-560949.67437906889</v>
      </c>
      <c r="AB407" s="228"/>
      <c r="AC407" s="638">
        <f t="shared" ref="AC407:AD407" si="657">AC458</f>
        <v>502</v>
      </c>
      <c r="AD407" s="639">
        <f t="shared" si="657"/>
        <v>-546642.67726015754</v>
      </c>
      <c r="AE407" s="228"/>
      <c r="AF407" s="638">
        <f t="shared" ref="AF407:AG407" si="658">AF458</f>
        <v>502</v>
      </c>
      <c r="AG407" s="639">
        <f t="shared" si="658"/>
        <v>-527736.91254678427</v>
      </c>
      <c r="AH407" s="228"/>
      <c r="AI407" s="638">
        <f t="shared" ref="AI407:AJ407" si="659">AI458</f>
        <v>502</v>
      </c>
      <c r="AJ407" s="639">
        <f t="shared" si="659"/>
        <v>-508888.01653355011</v>
      </c>
      <c r="AK407" s="228"/>
      <c r="AL407" s="638">
        <f t="shared" ref="AL407:AM407" si="660">AL458</f>
        <v>502</v>
      </c>
      <c r="AM407" s="639">
        <f t="shared" si="660"/>
        <v>-499240.76653355011</v>
      </c>
      <c r="AN407" s="228"/>
      <c r="AO407" s="638">
        <f t="shared" si="581"/>
        <v>502</v>
      </c>
      <c r="AP407" s="639">
        <f t="shared" si="581"/>
        <v>-488493.90071775921</v>
      </c>
      <c r="AQ407" s="228"/>
      <c r="AR407" s="638">
        <f t="shared" si="582"/>
        <v>502</v>
      </c>
      <c r="AS407" s="639">
        <f t="shared" si="582"/>
        <v>-476709.28258972755</v>
      </c>
      <c r="AT407" s="228"/>
      <c r="AU407" s="259"/>
      <c r="AV407" s="91"/>
      <c r="AW407" s="91"/>
      <c r="AX407" s="91"/>
      <c r="AY407" s="91"/>
      <c r="AZ407" s="91"/>
      <c r="BA407" s="91"/>
      <c r="BB407" s="91"/>
      <c r="BC407" s="91"/>
      <c r="BD407" s="91"/>
      <c r="BE407" s="91"/>
      <c r="BF407" s="91"/>
      <c r="BG407" s="91"/>
      <c r="BH407" s="91"/>
      <c r="BI407" s="91"/>
    </row>
    <row r="408" spans="1:64" ht="15">
      <c r="A408" s="91"/>
      <c r="B408" s="28"/>
      <c r="C408" s="28"/>
      <c r="D408" s="28"/>
      <c r="E408" s="638">
        <f t="shared" ref="E408:F408" si="661">E459</f>
        <v>505</v>
      </c>
      <c r="F408" s="639">
        <f t="shared" si="661"/>
        <v>-100662.86039489781</v>
      </c>
      <c r="G408" s="228"/>
      <c r="H408" s="638">
        <f t="shared" ref="H408:I408" si="662">H459</f>
        <v>505</v>
      </c>
      <c r="I408" s="639">
        <f t="shared" si="662"/>
        <v>-98272.260141363702</v>
      </c>
      <c r="J408" s="228"/>
      <c r="K408" s="638">
        <f t="shared" ref="K408:L408" si="663">K459</f>
        <v>505</v>
      </c>
      <c r="L408" s="639">
        <f t="shared" si="663"/>
        <v>-96203.255218267426</v>
      </c>
      <c r="M408" s="228"/>
      <c r="N408" s="638">
        <f t="shared" ref="N408:O408" si="664">N459</f>
        <v>505</v>
      </c>
      <c r="O408" s="639">
        <f t="shared" si="664"/>
        <v>-94314.163766744707</v>
      </c>
      <c r="P408" s="228"/>
      <c r="Q408" s="638">
        <f t="shared" ref="Q408:R408" si="665">Q459</f>
        <v>505</v>
      </c>
      <c r="R408" s="639">
        <f t="shared" si="665"/>
        <v>-92604.985786795602</v>
      </c>
      <c r="S408" s="228"/>
      <c r="T408" s="638">
        <f t="shared" ref="T408:U408" si="666">T459</f>
        <v>505</v>
      </c>
      <c r="U408" s="639">
        <f t="shared" si="666"/>
        <v>-91072.029497569791</v>
      </c>
      <c r="V408" s="228"/>
      <c r="W408" s="638">
        <f t="shared" ref="W408:X408" si="667">W459</f>
        <v>505</v>
      </c>
      <c r="X408" s="639">
        <f t="shared" si="667"/>
        <v>-89781.171402714768</v>
      </c>
      <c r="Y408" s="228"/>
      <c r="Z408" s="638">
        <f t="shared" ref="Z408:AA408" si="668">Z459</f>
        <v>505</v>
      </c>
      <c r="AA408" s="639">
        <f t="shared" si="668"/>
        <v>-88571.001217747704</v>
      </c>
      <c r="AB408" s="228"/>
      <c r="AC408" s="638">
        <f t="shared" ref="AC408:AD408" si="669">AC459</f>
        <v>505</v>
      </c>
      <c r="AD408" s="639">
        <f t="shared" si="669"/>
        <v>-86312.00167265645</v>
      </c>
      <c r="AE408" s="228"/>
      <c r="AF408" s="638">
        <f t="shared" ref="AF408:AG408" si="670">AF459</f>
        <v>505</v>
      </c>
      <c r="AG408" s="639">
        <f t="shared" si="670"/>
        <v>-83326.880928439612</v>
      </c>
      <c r="AH408" s="228"/>
      <c r="AI408" s="638">
        <f t="shared" ref="AI408:AJ408" si="671">AI459</f>
        <v>505</v>
      </c>
      <c r="AJ408" s="639">
        <f t="shared" si="671"/>
        <v>-80350.739452665803</v>
      </c>
      <c r="AK408" s="228"/>
      <c r="AL408" s="638">
        <f t="shared" ref="AL408:AM408" si="672">AL459</f>
        <v>505</v>
      </c>
      <c r="AM408" s="639">
        <f t="shared" si="672"/>
        <v>-78827.489452665803</v>
      </c>
      <c r="AN408" s="228"/>
      <c r="AO408" s="638">
        <f t="shared" si="581"/>
        <v>505</v>
      </c>
      <c r="AP408" s="639">
        <f t="shared" si="581"/>
        <v>-77130.615902804086</v>
      </c>
      <c r="AQ408" s="228"/>
      <c r="AR408" s="638">
        <f t="shared" si="582"/>
        <v>505</v>
      </c>
      <c r="AS408" s="639">
        <f t="shared" si="582"/>
        <v>-75269.886724693817</v>
      </c>
      <c r="AT408" s="228"/>
      <c r="AU408" s="91"/>
      <c r="AV408" s="91"/>
      <c r="AW408" s="91"/>
      <c r="AX408" s="91"/>
      <c r="AY408" s="91"/>
      <c r="AZ408" s="91"/>
      <c r="BA408" s="91"/>
      <c r="BB408" s="91"/>
      <c r="BC408" s="91"/>
      <c r="BD408" s="91"/>
      <c r="BE408" s="91"/>
      <c r="BF408" s="91"/>
      <c r="BG408" s="91"/>
    </row>
    <row r="409" spans="1:64" ht="15">
      <c r="A409" s="91"/>
      <c r="B409" s="28"/>
      <c r="C409" s="28"/>
      <c r="D409" s="28"/>
      <c r="E409" s="636"/>
      <c r="F409" s="637"/>
      <c r="G409" s="228"/>
      <c r="H409" s="636"/>
      <c r="I409" s="637"/>
      <c r="J409" s="228"/>
      <c r="K409" s="636"/>
      <c r="L409" s="637"/>
      <c r="M409" s="228"/>
      <c r="N409" s="636"/>
      <c r="O409" s="637"/>
      <c r="P409" s="228"/>
      <c r="Q409" s="636"/>
      <c r="R409" s="637"/>
      <c r="S409" s="228"/>
      <c r="T409" s="636"/>
      <c r="U409" s="637"/>
      <c r="V409" s="228"/>
      <c r="W409" s="636"/>
      <c r="X409" s="637"/>
      <c r="Y409" s="228"/>
      <c r="Z409" s="636"/>
      <c r="AA409" s="637"/>
      <c r="AB409" s="228"/>
      <c r="AC409" s="636"/>
      <c r="AD409" s="637"/>
      <c r="AE409" s="228"/>
      <c r="AF409" s="636"/>
      <c r="AG409" s="637"/>
      <c r="AH409" s="228"/>
      <c r="AI409" s="636"/>
      <c r="AJ409" s="637"/>
      <c r="AK409" s="228"/>
      <c r="AL409" s="636"/>
      <c r="AM409" s="637"/>
      <c r="AN409" s="228"/>
      <c r="AO409" s="636"/>
      <c r="AP409" s="637"/>
      <c r="AQ409" s="228"/>
      <c r="AR409" s="636"/>
      <c r="AS409" s="637"/>
      <c r="AT409" s="228"/>
      <c r="AU409" s="91"/>
      <c r="AV409" s="91"/>
      <c r="AW409" s="91"/>
      <c r="AX409" s="91"/>
      <c r="AY409" s="91"/>
      <c r="AZ409" s="91"/>
      <c r="BA409" s="91"/>
      <c r="BB409" s="91"/>
      <c r="BC409" s="91"/>
      <c r="BD409" s="91"/>
      <c r="BE409" s="91"/>
      <c r="BF409" s="91"/>
      <c r="BG409" s="91"/>
    </row>
    <row r="410" spans="1:64" ht="15">
      <c r="A410" s="91"/>
      <c r="B410" s="28"/>
      <c r="C410" s="28"/>
      <c r="D410" s="28"/>
      <c r="E410" s="638" t="str">
        <f>E461</f>
        <v>Sueldo líquido incluyendo aguinaldo</v>
      </c>
      <c r="F410" s="639"/>
      <c r="G410" s="228"/>
      <c r="H410" s="638" t="str">
        <f>H461</f>
        <v>Sueldo líquido incluyendo aguinaldo</v>
      </c>
      <c r="I410" s="639"/>
      <c r="J410" s="228"/>
      <c r="K410" s="638" t="str">
        <f>K461</f>
        <v>Sueldo líquido incluyendo aguinaldo</v>
      </c>
      <c r="L410" s="639"/>
      <c r="M410" s="228"/>
      <c r="N410" s="638" t="str">
        <f>N461</f>
        <v>Sueldo líquido incluyendo aguinaldo</v>
      </c>
      <c r="O410" s="639"/>
      <c r="P410" s="228"/>
      <c r="Q410" s="638" t="str">
        <f>Q461</f>
        <v>Sueldo líquido incluyendo aguinaldo</v>
      </c>
      <c r="R410" s="639"/>
      <c r="S410" s="228"/>
      <c r="T410" s="638" t="str">
        <f>T461</f>
        <v>Sueldo líquido incluyendo aguinaldo</v>
      </c>
      <c r="U410" s="639"/>
      <c r="V410" s="228"/>
      <c r="W410" s="638" t="str">
        <f>W461</f>
        <v>Sueldo líquido incluyendo aguinaldo</v>
      </c>
      <c r="X410" s="639"/>
      <c r="Y410" s="228"/>
      <c r="Z410" s="638" t="str">
        <f>Z461</f>
        <v>Sueldo líquido incluyendo aguinaldo</v>
      </c>
      <c r="AA410" s="639"/>
      <c r="AB410" s="228"/>
      <c r="AC410" s="638" t="str">
        <f>AC461</f>
        <v>Sueldo líquido incluyendo aguinaldo</v>
      </c>
      <c r="AD410" s="639"/>
      <c r="AE410" s="228"/>
      <c r="AF410" s="638" t="str">
        <f>AF461</f>
        <v>Sueldo líquido incluyendo aguinaldo</v>
      </c>
      <c r="AG410" s="639"/>
      <c r="AH410" s="228"/>
      <c r="AI410" s="638" t="str">
        <f>AI461</f>
        <v>Sueldo líquido incluyendo aguinaldo</v>
      </c>
      <c r="AJ410" s="639"/>
      <c r="AK410" s="228"/>
      <c r="AL410" s="638" t="str">
        <f>AL461</f>
        <v>Sueldo líquido incluyendo aguinaldo</v>
      </c>
      <c r="AM410" s="639"/>
      <c r="AN410" s="228"/>
      <c r="AO410" s="638" t="str">
        <f>AO461</f>
        <v>Sueldo líquido incluyendo aguinaldo</v>
      </c>
      <c r="AP410" s="639"/>
      <c r="AQ410" s="228"/>
      <c r="AR410" s="638" t="str">
        <f>AR461</f>
        <v>Sueldo líquido incluyendo aguinaldo</v>
      </c>
      <c r="AS410" s="639"/>
      <c r="AT410" s="228"/>
      <c r="AU410" s="91"/>
      <c r="AV410" s="91"/>
      <c r="AW410" s="91"/>
      <c r="AX410" s="91"/>
      <c r="AY410" s="91"/>
      <c r="AZ410" s="91"/>
      <c r="BA410" s="91"/>
      <c r="BB410" s="91"/>
      <c r="BC410" s="91"/>
      <c r="BD410" s="91"/>
      <c r="BE410" s="91"/>
      <c r="BF410" s="91"/>
      <c r="BG410" s="91"/>
    </row>
    <row r="411" spans="1:64" ht="15">
      <c r="A411" s="91"/>
      <c r="B411" s="28"/>
      <c r="C411" s="28"/>
      <c r="D411" s="28"/>
      <c r="E411" s="636"/>
      <c r="F411" s="640">
        <f t="shared" ref="F411" si="673">F462</f>
        <v>2745646.3683190229</v>
      </c>
      <c r="G411" s="228"/>
      <c r="H411" s="636"/>
      <c r="I411" s="640">
        <f t="shared" ref="I411" si="674">I462</f>
        <v>2683490.7617271361</v>
      </c>
      <c r="J411" s="228"/>
      <c r="K411" s="636"/>
      <c r="L411" s="640">
        <f t="shared" ref="L411" si="675">L462</f>
        <v>2629696.6337266332</v>
      </c>
      <c r="M411" s="228"/>
      <c r="N411" s="636"/>
      <c r="O411" s="640">
        <f t="shared" ref="O411" si="676">O462</f>
        <v>2580580.2559870426</v>
      </c>
      <c r="P411" s="228"/>
      <c r="Q411" s="636"/>
      <c r="R411" s="640">
        <f t="shared" ref="R411" si="677">R462</f>
        <v>2536141.6285083657</v>
      </c>
      <c r="S411" s="228"/>
      <c r="T411" s="636"/>
      <c r="U411" s="640">
        <f t="shared" ref="U411" si="678">U462</f>
        <v>2496284.7649884946</v>
      </c>
      <c r="V411" s="228"/>
      <c r="W411" s="636"/>
      <c r="X411" s="640">
        <f t="shared" ref="X411" si="679">X462</f>
        <v>2462722.4545222637</v>
      </c>
      <c r="Y411" s="228"/>
      <c r="Z411" s="636"/>
      <c r="AA411" s="640">
        <f t="shared" ref="AA411" si="680">AA462</f>
        <v>2431258.0297131208</v>
      </c>
      <c r="AB411" s="228"/>
      <c r="AC411" s="636"/>
      <c r="AD411" s="640">
        <f t="shared" ref="AD411" si="681">AD462</f>
        <v>2372524.041540748</v>
      </c>
      <c r="AE411" s="228"/>
      <c r="AF411" s="636"/>
      <c r="AG411" s="640">
        <f t="shared" ref="AG411" si="682">AG462</f>
        <v>2294910.90219111</v>
      </c>
      <c r="AH411" s="228"/>
      <c r="AI411" s="636"/>
      <c r="AJ411" s="640">
        <f t="shared" ref="AJ411" si="683">AJ462</f>
        <v>2242531.2238209909</v>
      </c>
      <c r="AK411" s="228"/>
      <c r="AL411" s="636"/>
      <c r="AM411" s="640">
        <f t="shared" ref="AM411" si="684">AM462</f>
        <v>2165514.7240093108</v>
      </c>
      <c r="AN411" s="228"/>
      <c r="AO411" s="636"/>
      <c r="AP411" s="640">
        <f t="shared" si="581"/>
        <v>2121396.0117129064</v>
      </c>
      <c r="AQ411" s="228"/>
      <c r="AR411" s="636"/>
      <c r="AS411" s="640">
        <f t="shared" si="582"/>
        <v>2073017.0530820391</v>
      </c>
      <c r="AT411" s="228"/>
      <c r="AU411" s="91"/>
      <c r="AV411" s="91"/>
      <c r="AW411" s="91"/>
      <c r="AX411" s="91"/>
      <c r="AY411" s="91"/>
      <c r="AZ411" s="91"/>
      <c r="BA411" s="91"/>
      <c r="BB411" s="91"/>
      <c r="BC411" s="91"/>
      <c r="BD411" s="91"/>
      <c r="BE411" s="91"/>
      <c r="BF411" s="91"/>
      <c r="BG411" s="91"/>
    </row>
    <row r="412" spans="1:64">
      <c r="A412" s="91"/>
      <c r="B412" s="28"/>
      <c r="C412" s="28"/>
      <c r="D412" s="28"/>
      <c r="E412" s="641" t="str">
        <f>E463</f>
        <v>Aguinaldo de bolsillo</v>
      </c>
      <c r="F412" s="642"/>
      <c r="G412" s="643"/>
      <c r="H412" s="641" t="str">
        <f>H463</f>
        <v>Aguinaldo de bolsillo</v>
      </c>
      <c r="I412" s="642"/>
      <c r="J412" s="643"/>
      <c r="K412" s="641" t="str">
        <f>K463</f>
        <v>Aguinaldo de bolsillo</v>
      </c>
      <c r="L412" s="642"/>
      <c r="M412" s="643"/>
      <c r="N412" s="641" t="str">
        <f>N463</f>
        <v>Aguinaldo de bolsillo</v>
      </c>
      <c r="O412" s="642"/>
      <c r="P412" s="643"/>
      <c r="Q412" s="641" t="str">
        <f>Q463</f>
        <v>Aguinaldo de bolsillo</v>
      </c>
      <c r="R412" s="642"/>
      <c r="S412" s="643"/>
      <c r="T412" s="641" t="str">
        <f>T463</f>
        <v>Aguinaldo de bolsillo</v>
      </c>
      <c r="U412" s="642"/>
      <c r="V412" s="643"/>
      <c r="W412" s="641" t="str">
        <f>W463</f>
        <v>Aguinaldo de bolsillo</v>
      </c>
      <c r="X412" s="642"/>
      <c r="Y412" s="643"/>
      <c r="Z412" s="641" t="str">
        <f>Z463</f>
        <v>Aguinaldo de bolsillo</v>
      </c>
      <c r="AA412" s="642"/>
      <c r="AB412" s="643"/>
      <c r="AC412" s="641" t="str">
        <f>AC463</f>
        <v>Aguinaldo de bolsillo</v>
      </c>
      <c r="AD412" s="642"/>
      <c r="AE412" s="643"/>
      <c r="AF412" s="641" t="str">
        <f>AF463</f>
        <v>Aguinaldo de bolsillo</v>
      </c>
      <c r="AG412" s="642"/>
      <c r="AH412" s="643"/>
      <c r="AI412" s="641" t="str">
        <f>AI463</f>
        <v>Aguinaldo de bolsillo</v>
      </c>
      <c r="AJ412" s="642"/>
      <c r="AK412" s="643"/>
      <c r="AL412" s="641" t="str">
        <f>AL463</f>
        <v>Aguinaldo de bolsillo</v>
      </c>
      <c r="AM412" s="642"/>
      <c r="AN412" s="643"/>
      <c r="AO412" s="641" t="str">
        <f>AO463</f>
        <v>Aguinaldo de bolsillo</v>
      </c>
      <c r="AP412" s="642"/>
      <c r="AQ412" s="643"/>
      <c r="AR412" s="641" t="str">
        <f>AR463</f>
        <v>Aguinaldo de bolsillo</v>
      </c>
      <c r="AS412" s="642"/>
      <c r="AT412" s="643"/>
      <c r="AU412" s="91"/>
      <c r="AV412" s="91"/>
      <c r="AW412" s="91"/>
      <c r="AX412" s="91"/>
      <c r="AY412" s="91"/>
      <c r="AZ412" s="91"/>
      <c r="BA412" s="91"/>
      <c r="BB412" s="91"/>
      <c r="BC412" s="91"/>
      <c r="BD412" s="91"/>
      <c r="BE412" s="91"/>
      <c r="BF412" s="91"/>
      <c r="BG412" s="91"/>
    </row>
    <row r="413" spans="1:64" ht="16.5" thickBot="1">
      <c r="A413" s="91"/>
      <c r="B413" s="28"/>
      <c r="C413" s="28"/>
      <c r="D413" s="28"/>
      <c r="E413" s="644"/>
      <c r="F413" s="645">
        <f>F464</f>
        <v>872411.45675578108</v>
      </c>
      <c r="G413" s="228"/>
      <c r="H413" s="644"/>
      <c r="I413" s="645">
        <f>I464</f>
        <v>851692.92122515198</v>
      </c>
      <c r="J413" s="228"/>
      <c r="K413" s="644"/>
      <c r="L413" s="645">
        <f>L464</f>
        <v>833761.54522498464</v>
      </c>
      <c r="M413" s="228"/>
      <c r="N413" s="644"/>
      <c r="O413" s="645">
        <f>O464</f>
        <v>817389.41931178793</v>
      </c>
      <c r="P413" s="228"/>
      <c r="Q413" s="644"/>
      <c r="R413" s="645">
        <f>R464</f>
        <v>802576.54348556232</v>
      </c>
      <c r="S413" s="228"/>
      <c r="T413" s="644"/>
      <c r="U413" s="645">
        <f>U464</f>
        <v>789290.92231227155</v>
      </c>
      <c r="V413" s="228"/>
      <c r="W413" s="644"/>
      <c r="X413" s="645">
        <f>X464</f>
        <v>778103.48549019452</v>
      </c>
      <c r="Y413" s="228"/>
      <c r="Z413" s="644"/>
      <c r="AA413" s="645">
        <f>AA464</f>
        <v>767615.34388714703</v>
      </c>
      <c r="AB413" s="228"/>
      <c r="AC413" s="644"/>
      <c r="AD413" s="645">
        <f>AD464</f>
        <v>748037.34782968927</v>
      </c>
      <c r="AE413" s="228"/>
      <c r="AF413" s="644"/>
      <c r="AG413" s="645">
        <f>AG464</f>
        <v>722166.30137980985</v>
      </c>
      <c r="AH413" s="228"/>
      <c r="AI413" s="644"/>
      <c r="AJ413" s="645">
        <f>AJ464</f>
        <v>701873.07525643683</v>
      </c>
      <c r="AK413" s="228"/>
      <c r="AL413" s="644"/>
      <c r="AM413" s="645">
        <f>AM464</f>
        <v>683171.57525643706</v>
      </c>
      <c r="AN413" s="228"/>
      <c r="AO413" s="644"/>
      <c r="AP413" s="645">
        <f>AP464</f>
        <v>668465.33782430226</v>
      </c>
      <c r="AQ413" s="228"/>
      <c r="AR413" s="644"/>
      <c r="AS413" s="645">
        <f>AS464</f>
        <v>652339.01828067983</v>
      </c>
      <c r="AT413" s="228"/>
      <c r="AU413" s="91"/>
      <c r="AV413" s="91"/>
      <c r="AW413" s="91"/>
      <c r="AX413" s="91"/>
      <c r="AY413" s="91"/>
      <c r="AZ413" s="91"/>
      <c r="BA413" s="91"/>
      <c r="BB413" s="91"/>
      <c r="BC413" s="91"/>
      <c r="BD413" s="91"/>
      <c r="BE413" s="91"/>
      <c r="BF413" s="91"/>
      <c r="BG413" s="91"/>
    </row>
    <row r="414" spans="1:64" ht="16.5" thickTop="1">
      <c r="A414" s="91"/>
      <c r="B414" s="28"/>
      <c r="C414" s="28"/>
      <c r="D414" s="28"/>
      <c r="E414" s="28"/>
      <c r="F414" s="28"/>
      <c r="G414" s="228"/>
      <c r="H414" s="28"/>
      <c r="I414" s="28"/>
      <c r="J414" s="228"/>
      <c r="K414" s="28"/>
      <c r="L414" s="28"/>
      <c r="M414" s="228"/>
      <c r="N414" s="28"/>
      <c r="O414" s="28"/>
      <c r="P414" s="228"/>
      <c r="Q414" s="28"/>
      <c r="R414" s="28"/>
      <c r="S414" s="228"/>
      <c r="T414" s="28"/>
      <c r="U414" s="28"/>
      <c r="V414" s="228"/>
      <c r="W414" s="28"/>
      <c r="X414" s="28"/>
      <c r="Y414" s="228"/>
      <c r="Z414" s="28"/>
      <c r="AA414" s="28"/>
      <c r="AB414" s="228"/>
      <c r="AC414" s="28"/>
      <c r="AD414" s="28"/>
      <c r="AE414" s="228"/>
      <c r="AF414" s="28"/>
      <c r="AG414" s="28"/>
      <c r="AH414" s="228"/>
      <c r="AI414" s="28"/>
      <c r="AJ414" s="28"/>
      <c r="AK414" s="228"/>
      <c r="AL414" s="28"/>
      <c r="AM414" s="28"/>
      <c r="AN414" s="228"/>
      <c r="AO414" s="28"/>
      <c r="AP414" s="28"/>
      <c r="AQ414" s="228"/>
      <c r="AR414" s="28"/>
      <c r="AS414" s="28"/>
      <c r="AT414" s="228"/>
      <c r="AU414" s="77"/>
      <c r="AV414" s="91"/>
      <c r="AW414" s="259"/>
      <c r="AX414" s="91"/>
      <c r="AY414" s="91"/>
      <c r="AZ414" s="91"/>
      <c r="BA414" s="91"/>
      <c r="BB414" s="91"/>
      <c r="BC414" s="91"/>
      <c r="BD414" s="91"/>
      <c r="BE414" s="91"/>
      <c r="BF414" s="91"/>
      <c r="BG414" s="91"/>
      <c r="BH414" s="91"/>
      <c r="BI414" s="91"/>
      <c r="BJ414" s="91"/>
      <c r="BK414" s="91"/>
    </row>
    <row r="415" spans="1:64" s="11" customFormat="1" ht="18" hidden="1">
      <c r="A415" s="91"/>
      <c r="B415" s="91"/>
      <c r="C415" s="492"/>
      <c r="D415" s="646"/>
      <c r="E415" s="21">
        <v>45992</v>
      </c>
      <c r="F415" s="22">
        <f>(1+Aumentodic25respene25)*(1+Aumentoene25respdic24)-1</f>
        <v>0.29963870703408513</v>
      </c>
      <c r="G415" s="20"/>
      <c r="H415" s="21">
        <v>45962</v>
      </c>
      <c r="I415" s="22">
        <f>(1+Aumentonov25respene25)*(1+Aumentoene25respdic24)-1</f>
        <v>0.26794020198447344</v>
      </c>
      <c r="J415" s="20"/>
      <c r="K415" s="21">
        <v>45931</v>
      </c>
      <c r="L415" s="22" cm="1">
        <f t="array" ref="L415">(1+Aumentooct25respene25)*(1+Aumentoene25respdic24)-1</f>
        <v>0.24050593609017179</v>
      </c>
      <c r="M415" s="20"/>
      <c r="N415" s="21">
        <v>45901</v>
      </c>
      <c r="O415" s="22" cm="1">
        <f t="array" ref="O415">(1+Aumentosep25respene25)*(1+Aumentoene25respdic24)-1</f>
        <v>0.21545725853450493</v>
      </c>
      <c r="P415" s="20"/>
      <c r="Q415" s="21">
        <v>45870</v>
      </c>
      <c r="R415" s="22" cm="1">
        <f t="array" ref="R415">(1+Aumentoago25respene25)*(1+Aumentoene25respdic24)-1</f>
        <v>0.19279416931747306</v>
      </c>
      <c r="S415" s="20"/>
      <c r="T415" s="21">
        <v>45839</v>
      </c>
      <c r="U415" s="22">
        <f>(1+Aumentojul25respene25)*(1+Aumentoene25respdic24)-1</f>
        <v>0.17246852876408125</v>
      </c>
      <c r="V415" s="20"/>
      <c r="W415" s="21">
        <v>45809</v>
      </c>
      <c r="X415" s="22">
        <f>(1+Aumentojun25respene25)*(1+Aumentoene25respdic24)-1</f>
        <v>0.15535219987701421</v>
      </c>
      <c r="Y415" s="20"/>
      <c r="Z415" s="21">
        <v>45778</v>
      </c>
      <c r="AA415" s="22" cm="1">
        <f t="array" ref="AA415">(1+Aumentomay25respene25)*(1+Aumentoene25respdic24)-1</f>
        <v>0.13930564154538927</v>
      </c>
      <c r="AB415" s="20"/>
      <c r="AC415" s="21">
        <v>45748</v>
      </c>
      <c r="AD415" s="22">
        <f>(1+Aumentoabr25respene25)*(1+Aumentoene25respdic24)-1</f>
        <v>0.10935206599302227</v>
      </c>
      <c r="AE415" s="20"/>
      <c r="AF415" s="21">
        <v>45717</v>
      </c>
      <c r="AG415" s="22">
        <f>(1+Aumentomar25respene25)*(1+Aumentoene25respdic24)-1</f>
        <v>6.9770555441680093E-2</v>
      </c>
      <c r="AH415" s="20"/>
      <c r="AI415" s="787" t="s">
        <v>201</v>
      </c>
      <c r="AJ415" s="20"/>
      <c r="AK415" s="20"/>
      <c r="AL415" s="21" t="s">
        <v>200</v>
      </c>
      <c r="AM415" s="22">
        <f>(1+Aumentofeb25respene25)*(1+Aumentoene25respdic24)-1</f>
        <v>4.522515072791311E-2</v>
      </c>
      <c r="AN415" s="20"/>
      <c r="AO415" s="21">
        <v>45658</v>
      </c>
      <c r="AP415" s="22">
        <v>2.2725196406967674E-2</v>
      </c>
      <c r="AQ415" s="20"/>
      <c r="AR415" s="728">
        <v>45627</v>
      </c>
      <c r="AS415" s="729">
        <f>Aumentodic24</f>
        <v>1.1820279278367574</v>
      </c>
      <c r="AT415" s="20"/>
      <c r="AU415" s="91"/>
      <c r="AV415" s="91"/>
      <c r="AW415" s="91"/>
      <c r="AX415" s="91"/>
      <c r="AY415" s="91"/>
      <c r="AZ415" s="91"/>
      <c r="BA415" s="91"/>
      <c r="BB415" s="91"/>
      <c r="BC415" s="91"/>
      <c r="BD415" s="91"/>
      <c r="BE415" s="91"/>
      <c r="BF415" s="91"/>
      <c r="BG415" s="91"/>
      <c r="BH415" s="91"/>
    </row>
    <row r="416" spans="1:64" ht="16.5" hidden="1" thickBot="1">
      <c r="A416" s="91"/>
      <c r="B416" s="575"/>
      <c r="C416" s="576"/>
      <c r="D416" s="577"/>
      <c r="E416" s="577"/>
      <c r="F416" s="577"/>
      <c r="G416" s="577"/>
      <c r="H416" s="577"/>
      <c r="I416" s="577"/>
      <c r="J416" s="577"/>
      <c r="K416" s="577"/>
      <c r="L416" s="577"/>
      <c r="M416" s="577"/>
      <c r="N416" s="577"/>
      <c r="O416" s="577"/>
      <c r="P416" s="577"/>
      <c r="Q416" s="577"/>
      <c r="R416" s="577"/>
      <c r="S416" s="577"/>
      <c r="T416" s="577"/>
      <c r="U416" s="577"/>
      <c r="V416" s="577"/>
      <c r="W416" s="577"/>
      <c r="X416" s="577"/>
      <c r="Y416" s="577"/>
      <c r="Z416" s="577"/>
      <c r="AA416" s="577"/>
      <c r="AB416" s="577"/>
      <c r="AC416" s="577"/>
      <c r="AD416" s="577"/>
      <c r="AE416" s="577"/>
      <c r="AF416" s="577"/>
      <c r="AG416" s="577"/>
      <c r="AH416" s="577"/>
      <c r="AI416" s="577"/>
      <c r="AJ416" s="577"/>
      <c r="AK416" s="577"/>
      <c r="AL416" s="577"/>
      <c r="AM416" s="577"/>
      <c r="AN416" s="577"/>
      <c r="AO416" s="577"/>
      <c r="AP416" s="577"/>
      <c r="AQ416" s="577"/>
      <c r="AR416" s="577"/>
      <c r="AS416" s="577"/>
      <c r="AT416" s="577"/>
      <c r="AU416" s="91"/>
      <c r="AV416" s="91"/>
      <c r="AW416" s="91"/>
      <c r="AX416" s="91"/>
      <c r="AY416" s="91"/>
      <c r="AZ416" s="91"/>
      <c r="BA416" s="91"/>
      <c r="BB416" s="91"/>
      <c r="BC416" s="91"/>
      <c r="BD416" s="91"/>
    </row>
    <row r="417" spans="1:60" ht="13.5" hidden="1" thickBot="1">
      <c r="A417" s="28"/>
      <c r="B417" s="647" t="s">
        <v>82</v>
      </c>
      <c r="C417" s="647" t="s">
        <v>83</v>
      </c>
      <c r="D417" s="647" t="s">
        <v>84</v>
      </c>
      <c r="E417" s="647" t="s">
        <v>85</v>
      </c>
      <c r="F417" s="647" t="s">
        <v>86</v>
      </c>
      <c r="G417" s="648"/>
      <c r="H417" s="647" t="s">
        <v>85</v>
      </c>
      <c r="I417" s="647" t="s">
        <v>86</v>
      </c>
      <c r="J417" s="648"/>
      <c r="K417" s="647" t="s">
        <v>85</v>
      </c>
      <c r="L417" s="647" t="s">
        <v>86</v>
      </c>
      <c r="M417" s="648"/>
      <c r="N417" s="647" t="s">
        <v>85</v>
      </c>
      <c r="O417" s="647" t="s">
        <v>86</v>
      </c>
      <c r="P417" s="648"/>
      <c r="Q417" s="647" t="s">
        <v>85</v>
      </c>
      <c r="R417" s="647" t="s">
        <v>86</v>
      </c>
      <c r="S417" s="648"/>
      <c r="T417" s="647" t="s">
        <v>85</v>
      </c>
      <c r="U417" s="647" t="s">
        <v>86</v>
      </c>
      <c r="V417" s="648"/>
      <c r="W417" s="647" t="s">
        <v>85</v>
      </c>
      <c r="X417" s="647" t="s">
        <v>86</v>
      </c>
      <c r="Y417" s="648"/>
      <c r="Z417" s="647" t="s">
        <v>85</v>
      </c>
      <c r="AA417" s="647" t="s">
        <v>86</v>
      </c>
      <c r="AB417" s="648"/>
      <c r="AC417" s="647" t="s">
        <v>85</v>
      </c>
      <c r="AD417" s="647" t="s">
        <v>86</v>
      </c>
      <c r="AE417" s="648"/>
      <c r="AF417" s="647" t="s">
        <v>85</v>
      </c>
      <c r="AG417" s="647" t="s">
        <v>86</v>
      </c>
      <c r="AH417" s="648"/>
      <c r="AI417" s="647" t="s">
        <v>85</v>
      </c>
      <c r="AJ417" s="647" t="s">
        <v>86</v>
      </c>
      <c r="AK417" s="648"/>
      <c r="AL417" s="647" t="s">
        <v>85</v>
      </c>
      <c r="AM417" s="647" t="s">
        <v>86</v>
      </c>
      <c r="AN417" s="648"/>
      <c r="AO417" s="647" t="s">
        <v>85</v>
      </c>
      <c r="AP417" s="647" t="s">
        <v>86</v>
      </c>
      <c r="AQ417" s="648"/>
      <c r="AR417" s="647" t="s">
        <v>85</v>
      </c>
      <c r="AS417" s="647" t="s">
        <v>86</v>
      </c>
      <c r="AT417" s="648"/>
      <c r="AU417" s="28"/>
      <c r="AV417" s="28"/>
      <c r="AW417" s="28"/>
      <c r="AX417" s="28"/>
      <c r="AY417" s="28"/>
      <c r="AZ417" s="28"/>
      <c r="BA417" s="28"/>
      <c r="BB417" s="28"/>
      <c r="BC417" s="28"/>
      <c r="BD417" s="28"/>
    </row>
    <row r="418" spans="1:60" hidden="1" thickBot="1">
      <c r="A418" s="28"/>
      <c r="B418" s="649">
        <v>4</v>
      </c>
      <c r="C418" s="650">
        <f>canthorsup</f>
        <v>36</v>
      </c>
      <c r="D418" s="524" t="s">
        <v>143</v>
      </c>
      <c r="E418" s="651">
        <f>indicedic25*punbashorsup</f>
        <v>825984.49204517377</v>
      </c>
      <c r="F418" s="524"/>
      <c r="G418" s="652"/>
      <c r="H418" s="651">
        <f>indicenov25*punbashorsup</f>
        <v>805838.52882455976</v>
      </c>
      <c r="I418" s="524"/>
      <c r="J418" s="652"/>
      <c r="K418" s="651">
        <f>indiceoct25*punbashorsup</f>
        <v>788402.69988479989</v>
      </c>
      <c r="L418" s="524"/>
      <c r="M418" s="652"/>
      <c r="N418" s="651">
        <f>indicesep25*punbashorsup</f>
        <v>772483.02998327988</v>
      </c>
      <c r="O418" s="524"/>
      <c r="P418" s="652"/>
      <c r="Q418" s="651">
        <f>indiceago25*punbashorsup</f>
        <v>758079.51911999995</v>
      </c>
      <c r="R418" s="524"/>
      <c r="S418" s="652"/>
      <c r="T418" s="651">
        <f>indicejul25*punbashorsup</f>
        <v>745160.99404031993</v>
      </c>
      <c r="U418" s="524"/>
      <c r="V418" s="652"/>
      <c r="W418" s="651">
        <f>indicejun25*punbashorsup</f>
        <v>734282.73135359993</v>
      </c>
      <c r="X418" s="524"/>
      <c r="Y418" s="652"/>
      <c r="Z418" s="651">
        <f>indicemay25*punbashorsup</f>
        <v>724084.44767999998</v>
      </c>
      <c r="AA418" s="524"/>
      <c r="AB418" s="652"/>
      <c r="AC418" s="651">
        <f>indiceabr25*punbashorsup</f>
        <v>705047.50800000003</v>
      </c>
      <c r="AD418" s="524"/>
      <c r="AE418" s="652"/>
      <c r="AF418" s="651">
        <f>indicemar25*punbashorsup</f>
        <v>679891.41792000004</v>
      </c>
      <c r="AG418" s="524"/>
      <c r="AH418" s="652"/>
      <c r="AI418" s="651">
        <f>indicefeb25*punbashorsup</f>
        <v>664291.55308824009</v>
      </c>
      <c r="AJ418" s="524"/>
      <c r="AK418" s="652"/>
      <c r="AL418" s="651">
        <f>indicefeb25*punbashorsup</f>
        <v>664291.55308824009</v>
      </c>
      <c r="AM418" s="524"/>
      <c r="AN418" s="652"/>
      <c r="AO418" s="651">
        <f>indiceene25*punbashorsup</f>
        <v>649991.73491999996</v>
      </c>
      <c r="AP418" s="524"/>
      <c r="AQ418" s="652"/>
      <c r="AR418" s="651">
        <f>indicedic24*punbashorsup</f>
        <v>634248.06192000001</v>
      </c>
      <c r="AS418" s="524"/>
      <c r="AT418" s="652"/>
      <c r="AU418" s="28"/>
      <c r="AV418" s="28"/>
      <c r="AW418" s="28"/>
      <c r="AX418" s="28"/>
      <c r="AY418" s="28"/>
      <c r="AZ418" s="28"/>
      <c r="BA418" s="28"/>
      <c r="BB418" s="28"/>
      <c r="BC418" s="28"/>
      <c r="BD418" s="28"/>
    </row>
    <row r="419" spans="1:60" ht="13.5" hidden="1" thickBot="1">
      <c r="A419" s="28"/>
      <c r="B419" s="653">
        <v>10</v>
      </c>
      <c r="C419" s="654">
        <f>porantighorsup</f>
        <v>1.2</v>
      </c>
      <c r="D419" s="523" t="s">
        <v>94</v>
      </c>
      <c r="E419" s="655">
        <f>(E418+E426)*porantighorsup</f>
        <v>1021181.3904542085</v>
      </c>
      <c r="F419" s="881"/>
      <c r="G419" s="656"/>
      <c r="H419" s="655">
        <f>(H418+H426)*porantighorsup</f>
        <v>997006.23458947171</v>
      </c>
      <c r="I419" s="878"/>
      <c r="J419" s="656"/>
      <c r="K419" s="655">
        <f>(K418+K426)*porantighorsup</f>
        <v>976083.23986175982</v>
      </c>
      <c r="L419" s="876"/>
      <c r="M419" s="656"/>
      <c r="N419" s="655">
        <f>(N418+N426)*porantighorsup</f>
        <v>956979.63597993576</v>
      </c>
      <c r="O419" s="865"/>
      <c r="P419" s="656"/>
      <c r="Q419" s="655">
        <f>(Q418+Q426)*porantighorsup</f>
        <v>939695.42294399987</v>
      </c>
      <c r="R419" s="863"/>
      <c r="S419" s="656"/>
      <c r="T419" s="655">
        <f>(T418+T426)*porantighorsup</f>
        <v>924193.19284838391</v>
      </c>
      <c r="U419" s="847"/>
      <c r="V419" s="656"/>
      <c r="W419" s="655">
        <f>(W418+W426)*porantighorsup</f>
        <v>911139.27762431989</v>
      </c>
      <c r="X419" s="845"/>
      <c r="Y419" s="656"/>
      <c r="Z419" s="655">
        <f>(Z418+Z426)*porantighorsup</f>
        <v>898901.33721599996</v>
      </c>
      <c r="AA419" s="814"/>
      <c r="AB419" s="656"/>
      <c r="AC419" s="655">
        <f>(AC418+AC426)*porantighorsup</f>
        <v>876057.00959999999</v>
      </c>
      <c r="AD419" s="812"/>
      <c r="AE419" s="656"/>
      <c r="AF419" s="655">
        <f>(AF418+AF426)*porantighorsup</f>
        <v>845869.701504</v>
      </c>
      <c r="AG419" s="748"/>
      <c r="AH419" s="656"/>
      <c r="AI419" s="655">
        <f>(AI418+AI426)*porantighorsup</f>
        <v>827149.86370588804</v>
      </c>
      <c r="AJ419" s="751"/>
      <c r="AK419" s="656"/>
      <c r="AL419" s="655">
        <f>AL418*porantighorsup</f>
        <v>797149.86370588804</v>
      </c>
      <c r="AM419" s="748"/>
      <c r="AN419" s="656"/>
      <c r="AO419" s="655">
        <f>AO418*porantighorsup</f>
        <v>779990.0819039999</v>
      </c>
      <c r="AP419" s="715"/>
      <c r="AQ419" s="656"/>
      <c r="AR419" s="655">
        <f>AR418*porantighorsup</f>
        <v>761097.67430399999</v>
      </c>
      <c r="AS419" s="715"/>
      <c r="AT419" s="656"/>
      <c r="AU419" s="28"/>
      <c r="AV419" s="28"/>
      <c r="AW419" s="28"/>
      <c r="AX419" s="28"/>
      <c r="AY419" s="28"/>
      <c r="AZ419" s="28"/>
      <c r="BA419" s="28"/>
      <c r="BB419" s="28"/>
      <c r="BC419" s="28"/>
      <c r="BD419" s="28"/>
    </row>
    <row r="420" spans="1:60" ht="16.5" hidden="1" thickBot="1">
      <c r="A420" s="28"/>
      <c r="B420" s="649">
        <v>6</v>
      </c>
      <c r="C420" s="657">
        <f>IF(porantighorsup&lt;100%,AO420/3361.4,AO420/3338.06667)</f>
        <v>17</v>
      </c>
      <c r="D420" s="524" t="s">
        <v>93</v>
      </c>
      <c r="E420" s="651">
        <f>IF(porantighorsup&lt;100%,IF(canthor06sup&gt;17,17*3361.4,3361.4*canthor06sup),IF(canthor06sup&gt;17,17*3338.06667,3338.06667*canthor06sup))*(1+Aumentodic25respene25)</f>
        <v>72112.011443515541</v>
      </c>
      <c r="F420" s="881"/>
      <c r="G420" s="652"/>
      <c r="H420" s="651">
        <f>IF(porantighorsup&lt;100%,IF(canthor06sup&gt;17,17*3361.4,3361.4*canthor06sup),IF(canthor06sup&gt;17,17*3338.06667,3338.06667*canthor06sup))*(1+Aumentonov25respene25)</f>
        <v>70353.181896112728</v>
      </c>
      <c r="I420" s="878"/>
      <c r="J420" s="652"/>
      <c r="K420" s="651" cm="1">
        <f t="array" ref="K420">IF(porantighorsup&lt;100%,IF(canthor06sup&gt;17,17*3361.4,3361.4*canthor06sup),IF(canthor06sup&gt;17,17*3338.06667,3338.06667*canthor06sup))*(1+Aumentooct25respene25)</f>
        <v>68830.958769479999</v>
      </c>
      <c r="L420" s="876"/>
      <c r="M420" s="652"/>
      <c r="N420" s="651">
        <f>IF(porantighorsup&lt;100%,IF(canthor06sup&gt;17,17*3361.4,3361.4*canthor06sup),IF(canthor06sup&gt;17,17*3338.06667,3338.06667*canthor06sup))*(1+Aumentosep25respene25)</f>
        <v>67441.102871250128</v>
      </c>
      <c r="O420" s="865"/>
      <c r="P420" s="652"/>
      <c r="Q420" s="651">
        <f>IF(porantighorsup&lt;100%,IF(canthor06sup&gt;17,17*3361.4,3361.4*canthor06sup),IF(canthor06sup&gt;17,17*3338.06667,3338.06667*canthor06sup))*(1+Aumentoago25respene25)</f>
        <v>66183.614201423086</v>
      </c>
      <c r="R420" s="863"/>
      <c r="S420" s="652"/>
      <c r="T420" s="651">
        <f>IF(porantighorsup&lt;100%,IF(canthor06sup&gt;17,17*3361.4,3361.4*canthor06sup),IF(canthor06sup&gt;17,17*3338.06667,3338.06667*canthor06sup))*(1+Aumentojul25respene25)</f>
        <v>65055.821672430233</v>
      </c>
      <c r="U420" s="847"/>
      <c r="V420" s="652"/>
      <c r="W420" s="651">
        <f>IF(porantighorsup&lt;100%,IF(canthor06sup&gt;17,17*3361.4,3361.4*canthor06sup),IF(canthor06sup&gt;17,17*3338.06667,3338.06667*canthor06sup))*(1+Aumentojun25respene25)</f>
        <v>64106.101648015188</v>
      </c>
      <c r="X420" s="845"/>
      <c r="Y420" s="652"/>
      <c r="Z420" s="651">
        <f>IF(porantighorsup&lt;100%,IF(canthor06sup&gt;17,17*3361.4,3361.4*canthor06sup),IF(canthor06sup&gt;17,17*3338.06667,3338.06667*canthor06sup))*(1+Aumentomay25respene25)</f>
        <v>63215.739125126107</v>
      </c>
      <c r="AA420" s="814"/>
      <c r="AB420" s="652"/>
      <c r="AC420" s="651">
        <f>IF(porantighorsup&lt;100%,IF(canthor06sup&gt;17,17*3361.4,3361.4*canthor06sup),IF(canthor06sup&gt;17,17*3338.06667,3338.06667*canthor06sup))*(1+Aumentoabr25respene25)</f>
        <v>61553.729082399783</v>
      </c>
      <c r="AD420" s="812"/>
      <c r="AE420" s="652"/>
      <c r="AF420" s="651">
        <f>IF(porantighorsup&lt;100%,IF(canthor06sup&gt;17,17*3361.4,3361.4*canthor06sup),IF(canthor06sup&gt;17,17*3338.06667,3338.06667*canthor06sup))*(1+Aumentomar25respene25)</f>
        <v>59357.501525940002</v>
      </c>
      <c r="AG420" s="748"/>
      <c r="AH420" s="652"/>
      <c r="AI420" s="651">
        <f>IF(porantighorsup&lt;100%,IF(canthor06sup&gt;17,17*3361.4,3361.4*canthor06sup),IF(canthor06sup&gt;17,17*3338.06667,3338.06667*canthor06sup))*(1+Aumentofeb25respene25)</f>
        <v>57995.570324580003</v>
      </c>
      <c r="AJ420" s="751"/>
      <c r="AK420" s="652"/>
      <c r="AL420" s="651">
        <f>IF(porantighorsup&lt;100%,IF(canthor06sup&gt;17,17*3361.4,3361.4*canthor06sup),IF(canthor06sup&gt;17,17*3338.06667,3338.06667*canthor06sup))*(1+Aumentofeb25respene25)</f>
        <v>57995.570324580003</v>
      </c>
      <c r="AM420" s="748"/>
      <c r="AN420" s="652"/>
      <c r="AO420" s="651">
        <f>IF(porantighorsup&lt;100%,IF(canthor06sup&gt;17,17*3361.4,3361.4*canthor06sup),IF(canthor06sup&gt;17,17*3338.06667,3338.06667*canthor06sup))</f>
        <v>56747.133390000003</v>
      </c>
      <c r="AP420" s="715"/>
      <c r="AQ420" s="652"/>
      <c r="AR420" s="651">
        <f>IF(porantighorsup&lt;100%,IF(canthor06sup&gt;17,17*2871.26666,2871.26666*canthor06sup),IF(canthor06sup&gt;17,17*2851.3333,2851.3333*canthor06sup))*(1+Aumentodic24)/(1+Aumentosep24)</f>
        <v>55372.322635167293</v>
      </c>
      <c r="AS420" s="715"/>
      <c r="AT420" s="652"/>
      <c r="AU420" s="28"/>
      <c r="AV420" s="28"/>
      <c r="AW420" s="28"/>
      <c r="AX420" s="28"/>
      <c r="AY420" s="28"/>
      <c r="AZ420" s="28"/>
      <c r="BA420" s="28"/>
      <c r="BB420" s="28"/>
      <c r="BC420" s="28"/>
      <c r="BD420" s="28"/>
    </row>
    <row r="421" spans="1:60" ht="13.5" hidden="1" thickBot="1">
      <c r="A421" s="28"/>
      <c r="B421" s="653">
        <v>14</v>
      </c>
      <c r="C421" s="654">
        <v>7.0000000000000007E-2</v>
      </c>
      <c r="D421" s="523" t="s">
        <v>144</v>
      </c>
      <c r="E421" s="655">
        <f>E420*0.07</f>
        <v>5047.840801046088</v>
      </c>
      <c r="F421" s="523"/>
      <c r="G421" s="656"/>
      <c r="H421" s="655">
        <f>H420*0.07</f>
        <v>4924.7227327278915</v>
      </c>
      <c r="I421" s="523"/>
      <c r="J421" s="656"/>
      <c r="K421" s="655">
        <f>K420*0.07</f>
        <v>4818.1671138636002</v>
      </c>
      <c r="L421" s="523"/>
      <c r="M421" s="656"/>
      <c r="N421" s="655">
        <f>N420*0.07</f>
        <v>4720.8772009875092</v>
      </c>
      <c r="O421" s="523"/>
      <c r="P421" s="656"/>
      <c r="Q421" s="655">
        <f>Q420*0.07</f>
        <v>4632.8529940996168</v>
      </c>
      <c r="R421" s="523"/>
      <c r="S421" s="656"/>
      <c r="T421" s="655">
        <f>T420*0.07</f>
        <v>4553.9075170701171</v>
      </c>
      <c r="U421" s="523"/>
      <c r="V421" s="656"/>
      <c r="W421" s="655">
        <f>W420*0.07</f>
        <v>4487.4271153610634</v>
      </c>
      <c r="X421" s="523"/>
      <c r="Y421" s="656"/>
      <c r="Z421" s="655">
        <f>Z420*0.07</f>
        <v>4425.1017387588281</v>
      </c>
      <c r="AA421" s="523"/>
      <c r="AB421" s="656"/>
      <c r="AC421" s="655">
        <f>AC420*0.07</f>
        <v>4308.761035767985</v>
      </c>
      <c r="AD421" s="523"/>
      <c r="AE421" s="656"/>
      <c r="AF421" s="655">
        <f>AF420*0.07</f>
        <v>4155.0251068158004</v>
      </c>
      <c r="AG421" s="523"/>
      <c r="AH421" s="656"/>
      <c r="AI421" s="655">
        <f>AI420*0.07</f>
        <v>4059.6899227206004</v>
      </c>
      <c r="AJ421" s="523"/>
      <c r="AK421" s="656"/>
      <c r="AL421" s="655">
        <f>AL420*0.07</f>
        <v>4059.6899227206004</v>
      </c>
      <c r="AM421" s="523"/>
      <c r="AN421" s="656"/>
      <c r="AO421" s="655">
        <f>AO420*0.07</f>
        <v>3972.2993373000004</v>
      </c>
      <c r="AP421" s="523"/>
      <c r="AQ421" s="656"/>
      <c r="AR421" s="655">
        <f>AR420*0.07</f>
        <v>3876.0625844617107</v>
      </c>
      <c r="AS421" s="523"/>
      <c r="AT421" s="656"/>
      <c r="AU421" s="28"/>
      <c r="AV421" s="28"/>
      <c r="AW421" s="28"/>
      <c r="AX421" s="28"/>
      <c r="AY421" s="28"/>
      <c r="AZ421" s="28"/>
      <c r="BA421" s="28"/>
      <c r="BB421" s="28"/>
      <c r="BC421" s="28"/>
      <c r="BD421" s="28"/>
    </row>
    <row r="422" spans="1:60" ht="13.5" hidden="1" thickBot="1">
      <c r="A422" s="28"/>
      <c r="B422" s="653">
        <v>188</v>
      </c>
      <c r="C422" s="654">
        <v>7.0000000000000007E-2</v>
      </c>
      <c r="D422" s="523" t="s">
        <v>96</v>
      </c>
      <c r="E422" s="655">
        <f>(E418+E419+E423+E425+E426)*0.07</f>
        <v>141294.84305446476</v>
      </c>
      <c r="F422" s="544"/>
      <c r="G422" s="656"/>
      <c r="H422" s="655">
        <f>(H418+H419+H423+H425+H426)*0.07</f>
        <v>137942.52980923391</v>
      </c>
      <c r="I422" s="544"/>
      <c r="J422" s="656"/>
      <c r="K422" s="655">
        <f>(K418+K419+K423+K425+K426)*0.07</f>
        <v>135041.18626679518</v>
      </c>
      <c r="L422" s="544"/>
      <c r="M422" s="656"/>
      <c r="N422" s="655">
        <f>(N418+N419+N423+N425+N426)*0.07</f>
        <v>132392.13346717719</v>
      </c>
      <c r="O422" s="544"/>
      <c r="P422" s="656"/>
      <c r="Q422" s="655">
        <f>(Q418+Q419+Q423+Q425+Q426)*0.07</f>
        <v>129995.37141038</v>
      </c>
      <c r="R422" s="544"/>
      <c r="S422" s="656"/>
      <c r="T422" s="655">
        <f>(T418+T419+T423+T425+T426)*0.07</f>
        <v>127845.71999756928</v>
      </c>
      <c r="U422" s="544"/>
      <c r="V422" s="656"/>
      <c r="W422" s="655">
        <f>(W418+W419+W423+W425+W426)*0.07</f>
        <v>126035.56350125441</v>
      </c>
      <c r="X422" s="544"/>
      <c r="Y422" s="656"/>
      <c r="Z422" s="655">
        <f>(Z418+Z419+Z423+Z425+Z426)*0.07</f>
        <v>124338.55527562</v>
      </c>
      <c r="AA422" s="544"/>
      <c r="AB422" s="656"/>
      <c r="AC422" s="655">
        <f>(AC418+AC419+AC423+AC425+AC426)*0.07</f>
        <v>121170.78449042002</v>
      </c>
      <c r="AD422" s="544"/>
      <c r="AE422" s="656"/>
      <c r="AF422" s="655">
        <f>(AF418+AF419+AF423+AF425+AF426)*0.07</f>
        <v>116984.78101968001</v>
      </c>
      <c r="AG422" s="544"/>
      <c r="AH422" s="656"/>
      <c r="AI422" s="655">
        <f>(AI418+AI419+AI423+AI425+AI426)*0.07</f>
        <v>114388.94479558898</v>
      </c>
      <c r="AJ422" s="544"/>
      <c r="AK422" s="656"/>
      <c r="AL422" s="655">
        <f>(AL418+AL419+AL423+AL425)*0.07</f>
        <v>110538.94479558898</v>
      </c>
      <c r="AM422" s="544"/>
      <c r="AN422" s="656"/>
      <c r="AO422" s="655">
        <f>(AO418+AO419+AO423+AO425)*0.07</f>
        <v>108159.43717768</v>
      </c>
      <c r="AP422" s="544"/>
      <c r="AQ422" s="656"/>
      <c r="AR422" s="655">
        <f>(AR418+AR419+AR423+AR425)*0.07</f>
        <v>105550.56401426243</v>
      </c>
      <c r="AS422" s="544"/>
      <c r="AT422" s="656"/>
      <c r="AU422" s="28"/>
      <c r="AV422" s="28"/>
      <c r="AW422" s="28"/>
      <c r="AX422" s="28"/>
      <c r="AY422" s="28"/>
      <c r="AZ422" s="28"/>
      <c r="BA422" s="28"/>
      <c r="BB422" s="28"/>
      <c r="BC422" s="28"/>
      <c r="BD422" s="28"/>
    </row>
    <row r="423" spans="1:60" ht="16.5" hidden="1" thickBot="1">
      <c r="A423" s="28"/>
      <c r="B423" s="649">
        <v>117</v>
      </c>
      <c r="C423" s="658"/>
      <c r="D423" s="524" t="s">
        <v>101</v>
      </c>
      <c r="E423" s="651">
        <f>IF(canthorsup*1134.4&gt;34032,34032,canthorsup*1134.4)*(1+Aumentodic25respene25)</f>
        <v>43246.518843155973</v>
      </c>
      <c r="F423" s="753"/>
      <c r="G423" s="652"/>
      <c r="H423" s="651">
        <f>IF(canthorsup*1134.4&gt;34032,34032,canthorsup*1134.4)*(1+Aumentonov25respene25)</f>
        <v>42191.725700639981</v>
      </c>
      <c r="I423" s="753"/>
      <c r="J423" s="652"/>
      <c r="K423" s="651" cm="1">
        <f t="array" ref="K423">IF(canthorsup*1134.4&gt;34032,34032,canthorsup*1134.4)*(1+Aumentooct25respene25)</f>
        <v>41278.828531199986</v>
      </c>
      <c r="L423" s="753"/>
      <c r="M423" s="652"/>
      <c r="N423" s="651">
        <f>IF(canthorsup*1134.4&gt;34032,34032,canthorsup*1134.4)*(1+Aumentosep25respene25)</f>
        <v>40445.313724319989</v>
      </c>
      <c r="O423" s="753"/>
      <c r="P423" s="652"/>
      <c r="Q423" s="651">
        <f>IF(canthorsup*1134.4&gt;34032,34032,canthorsup*1134.4)*(1+Aumentoago25respene25)</f>
        <v>39691.181279999997</v>
      </c>
      <c r="R423" s="753"/>
      <c r="S423" s="652"/>
      <c r="T423" s="651">
        <f>IF(canthorsup*1134.4&gt;34032,34032,canthorsup*1134.4)*(1+Aumentojul25respene25)</f>
        <v>39014.829311999994</v>
      </c>
      <c r="U423" s="753"/>
      <c r="V423" s="652"/>
      <c r="W423" s="651">
        <f>IF(canthorsup*1134.4&gt;34032,34032,canthorsup*1134.4)*(1+Aumentojun25respene25)</f>
        <v>38445.269759999996</v>
      </c>
      <c r="X423" s="753"/>
      <c r="Y423" s="652"/>
      <c r="Z423" s="651">
        <f>IF(canthorsup*1134.4&gt;34032,34032,canthorsup*1134.4)*(1+Aumentomay25respene25)</f>
        <v>37911.307679999998</v>
      </c>
      <c r="AA423" s="753"/>
      <c r="AB423" s="652"/>
      <c r="AC423" s="651">
        <f>IF(canthorsup*1134.4&gt;34032,34032,canthorsup*1134.4)*(1+Aumentoabr25respene25)</f>
        <v>36914.578463999998</v>
      </c>
      <c r="AD423" s="753"/>
      <c r="AE423" s="652"/>
      <c r="AF423" s="651">
        <f>IF(canthorsup*1134.4&gt;34032,34032,canthorsup*1134.4)*(1+Aumentomar25respene25)</f>
        <v>35597.472000000002</v>
      </c>
      <c r="AG423" s="753"/>
      <c r="AH423" s="652"/>
      <c r="AI423" s="651">
        <f>IF(canthorsup*1134.4&gt;34032,34032,canthorsup*1134.4)*(1+Aumentofeb25respene25)</f>
        <v>34780.703999999998</v>
      </c>
      <c r="AJ423" s="753"/>
      <c r="AK423" s="652"/>
      <c r="AL423" s="651">
        <f>IF(canthorsup*1134.4&gt;34032,34032,canthorsup*1134.4)*(1+Aumentofeb25respene25)</f>
        <v>34780.703999999998</v>
      </c>
      <c r="AM423" s="753"/>
      <c r="AN423" s="652"/>
      <c r="AO423" s="651">
        <f>IF(canthorsup*1134.4&gt;34032,34032,canthorsup*1134.4)</f>
        <v>34032</v>
      </c>
      <c r="AP423" s="753"/>
      <c r="AQ423" s="652"/>
      <c r="AR423" s="651">
        <f>IF(canthorsup*969&gt;29070,29070,canthorsup*969)*(1+Aumentodic24)/(1+Aumentosep24)</f>
        <v>33207.85812943583</v>
      </c>
      <c r="AS423" s="545"/>
      <c r="AT423" s="652"/>
      <c r="AU423" s="28"/>
      <c r="AV423" s="99"/>
      <c r="AW423" s="28"/>
      <c r="AX423" s="28"/>
      <c r="AY423" s="28"/>
      <c r="AZ423" s="28"/>
      <c r="BA423" s="28"/>
      <c r="BB423" s="28"/>
      <c r="BC423" s="28"/>
      <c r="BD423" s="28"/>
    </row>
    <row r="424" spans="1:60" ht="13.5" hidden="1" thickBot="1">
      <c r="A424" s="28"/>
      <c r="B424" s="649">
        <v>29</v>
      </c>
      <c r="C424" s="659">
        <f>cantkmhs</f>
        <v>0</v>
      </c>
      <c r="D424" s="524" t="s">
        <v>102</v>
      </c>
      <c r="E424" s="651">
        <f>kmsemhssup*1543/15*4</f>
        <v>0</v>
      </c>
      <c r="F424" s="291">
        <f>81121/15</f>
        <v>5408.0666666666666</v>
      </c>
      <c r="G424" s="652"/>
      <c r="H424" s="651">
        <f>kmsemhssup*1543/15*4</f>
        <v>0</v>
      </c>
      <c r="I424" s="291">
        <f>81121/15</f>
        <v>5408.0666666666666</v>
      </c>
      <c r="J424" s="652"/>
      <c r="K424" s="651">
        <f>kmsemhssup*1513/15*4</f>
        <v>0</v>
      </c>
      <c r="L424" s="291">
        <f>81121/15</f>
        <v>5408.0666666666666</v>
      </c>
      <c r="M424" s="652"/>
      <c r="N424" s="651">
        <f>kmsemhssup*83.46*4</f>
        <v>0</v>
      </c>
      <c r="O424" s="291">
        <f>81121/15</f>
        <v>5408.0666666666666</v>
      </c>
      <c r="P424" s="652"/>
      <c r="Q424" s="651">
        <f>kmsemhssup*83.46*4</f>
        <v>0</v>
      </c>
      <c r="R424" s="291">
        <f>81121/15</f>
        <v>5408.0666666666666</v>
      </c>
      <c r="S424" s="652"/>
      <c r="T424" s="651">
        <f>kmsemhssup*83.46*4</f>
        <v>0</v>
      </c>
      <c r="U424" s="291">
        <f>81121/15</f>
        <v>5408.0666666666666</v>
      </c>
      <c r="V424" s="652"/>
      <c r="W424" s="651">
        <f>kmsemhssup*83.46*4</f>
        <v>0</v>
      </c>
      <c r="X424" s="291">
        <f>81121/15</f>
        <v>5408.0666666666666</v>
      </c>
      <c r="Y424" s="652"/>
      <c r="Z424" s="651">
        <f>kmsemhssup*83.46*4</f>
        <v>0</v>
      </c>
      <c r="AA424" s="291">
        <f>81121/15</f>
        <v>5408.0666666666666</v>
      </c>
      <c r="AB424" s="652"/>
      <c r="AC424" s="651">
        <f>kmsemhssup*83.46*4</f>
        <v>0</v>
      </c>
      <c r="AD424" s="291">
        <f>81121/15</f>
        <v>5408.0666666666666</v>
      </c>
      <c r="AE424" s="652"/>
      <c r="AF424" s="651">
        <f>kmsemhssup*83.46*4</f>
        <v>0</v>
      </c>
      <c r="AG424" s="291">
        <f>81121/15</f>
        <v>5408.0666666666666</v>
      </c>
      <c r="AH424" s="652"/>
      <c r="AI424" s="651">
        <f>kmsemhssup*83.46*4</f>
        <v>0</v>
      </c>
      <c r="AJ424" s="291"/>
      <c r="AK424" s="652"/>
      <c r="AL424" s="651">
        <f>kmsemhssup*83.46*4</f>
        <v>0</v>
      </c>
      <c r="AM424" s="291">
        <f>81121/15</f>
        <v>5408.0666666666666</v>
      </c>
      <c r="AN424" s="652"/>
      <c r="AO424" s="651">
        <f>IF(kmsemhssup&lt;400,kmsemhssup*71.8*4,114880)*(1+aumentoene25)/(1+Aumentoago24)</f>
        <v>0</v>
      </c>
      <c r="AP424" s="291">
        <f>81121/15</f>
        <v>5408.0666666666666</v>
      </c>
      <c r="AQ424" s="652"/>
      <c r="AR424" s="651">
        <f>IF(kmsemhssup&lt;400,kmsemhssup*71.8*4,114880)*(1+Aumentodic24)/(1+Aumentoago24)</f>
        <v>0</v>
      </c>
      <c r="AS424" s="291"/>
      <c r="AT424" s="652"/>
      <c r="AU424" s="28"/>
      <c r="AV424" s="28"/>
      <c r="AW424" s="28"/>
      <c r="AX424" s="28"/>
      <c r="AY424" s="28"/>
      <c r="AZ424" s="28"/>
      <c r="BA424" s="28"/>
      <c r="BB424" s="28"/>
      <c r="BC424" s="28"/>
      <c r="BD424" s="28"/>
    </row>
    <row r="425" spans="1:60" ht="16.5" hidden="1" thickBot="1">
      <c r="A425" s="28"/>
      <c r="B425" s="660">
        <v>38</v>
      </c>
      <c r="C425" s="661">
        <f>C374</f>
        <v>15</v>
      </c>
      <c r="D425" s="662" t="s">
        <v>147</v>
      </c>
      <c r="E425" s="663">
        <f>IF($C425="",IF(canthorsup&lt;15,5408.07*canthorsup,81121),IF($C425&lt;15,5408.07*$C425,81121))*(1+Aumentodic25respene25)</f>
        <v>103085.35657838669</v>
      </c>
      <c r="F425" s="664"/>
      <c r="G425" s="665"/>
      <c r="H425" s="663">
        <f>IF($C425="",IF(canthorsup&lt;15,5408.07*canthorsup,81121),IF($C425&lt;15,5408.07*$C425,81121))*(1+Aumentonov25respene25)</f>
        <v>100571.07958866995</v>
      </c>
      <c r="I425" s="664"/>
      <c r="J425" s="665"/>
      <c r="K425" s="663" cm="1">
        <f t="array" ref="K425">IF($C425="",IF(canthorsup&lt;15,5408.07*canthorsup,81121),IF($C425&lt;15,5408.07*$C425,81121))*(1+Aumentooct25respene25)</f>
        <v>98395.035533599963</v>
      </c>
      <c r="L425" s="664"/>
      <c r="M425" s="665"/>
      <c r="N425" s="663">
        <f>IF($C425="",IF(canthorsup&lt;15,5408.07*canthorsup,81121),IF($C425&lt;15,5408.07*$C425,81121))*(1+Aumentosep25respene25)</f>
        <v>96408.212700709977</v>
      </c>
      <c r="O425" s="664"/>
      <c r="P425" s="665"/>
      <c r="Q425" s="663">
        <f>IF($C425="",IF(canthorsup&lt;15,5408.07*canthorsup,81121),IF($C425&lt;15,5408.07*$C425,81121))*(1+Aumentoago25respene25)</f>
        <v>94610.611089999991</v>
      </c>
      <c r="R425" s="664"/>
      <c r="S425" s="665"/>
      <c r="T425" s="663">
        <f>IF($C425="",IF(canthorsup&lt;15,5408.07*canthorsup,81121),IF($C425&lt;15,5408.07*$C425,81121))*(1+Aumentojul25respene25)</f>
        <v>92998.412335999994</v>
      </c>
      <c r="U425" s="664"/>
      <c r="V425" s="665"/>
      <c r="W425" s="663">
        <f>IF($C425="",IF(canthorsup&lt;15,5408.07*canthorsup,81121),IF($C425&lt;15,5408.07*$C425,81121))*(1+Aumentojun25respene25)</f>
        <v>91640.771279999986</v>
      </c>
      <c r="X425" s="664"/>
      <c r="Y425" s="665"/>
      <c r="Z425" s="663">
        <f>IF($C425="",IF(canthorsup&lt;15,5408.07*canthorsup,81121),IF($C425&lt;15,5408.07*$C425,81121))*(1+Aumentomay25respene25)</f>
        <v>90367.982790000009</v>
      </c>
      <c r="AA425" s="664"/>
      <c r="AB425" s="665"/>
      <c r="AC425" s="663">
        <f>IF($C425="",IF(canthorsup&lt;15,5408.07*canthorsup,81121),IF($C425&lt;15,5408.07*$C425,81121))*(1+Aumentoabr25respene25)</f>
        <v>87992.110941999999</v>
      </c>
      <c r="AD425" s="664"/>
      <c r="AE425" s="665"/>
      <c r="AF425" s="663">
        <f>IF($C425="",IF(canthorsup&lt;15,5408.07*canthorsup,81121),IF($C425&lt;15,5408.07*$C425,81121))*(1+Aumentomar25respene25)</f>
        <v>84852.566000000006</v>
      </c>
      <c r="AG425" s="664"/>
      <c r="AH425" s="665"/>
      <c r="AI425" s="663">
        <f>IF($C425="",IF(canthorsup&lt;15,5408.07*canthorsup,81121),IF($C425&lt;15,5408.07*$C425,81121))*(1+Aumentofeb25respene25)</f>
        <v>82905.661999999997</v>
      </c>
      <c r="AJ425" s="664"/>
      <c r="AK425" s="665"/>
      <c r="AL425" s="663">
        <f>IF($C425="",IF(canthorsup&lt;15,5408.07*canthorsup,81121),IF($C425&lt;15,5408.07*$C425,81121))*(1+Aumentofeb25respene25)</f>
        <v>82905.661999999997</v>
      </c>
      <c r="AM425" s="664"/>
      <c r="AN425" s="665"/>
      <c r="AO425" s="663">
        <f>IF($C425="",IF(canthorsup&lt;15,5408.07*canthorsup,81121),IF($C425&lt;15,5408.07*$C425,81121))</f>
        <v>81121</v>
      </c>
      <c r="AP425" s="664"/>
      <c r="AQ425" s="665"/>
      <c r="AR425" s="663">
        <f>IF($C425="",IF(canthorsup&lt;15,4628.6*canthorsup,69429),IF($C425&lt;15,4628.6*$C425,69429))*(1+Aumentodic24)/(1+Aumentosep24)</f>
        <v>79311.605850313033</v>
      </c>
      <c r="AS425" s="664"/>
      <c r="AT425" s="665"/>
      <c r="AU425" s="28"/>
      <c r="AV425" s="28"/>
      <c r="AW425" s="28"/>
      <c r="AX425" s="28"/>
      <c r="AY425" s="28"/>
      <c r="AZ425" s="28"/>
      <c r="BA425" s="28"/>
      <c r="BB425" s="28"/>
      <c r="BC425" s="28"/>
      <c r="BD425" s="28"/>
    </row>
    <row r="426" spans="1:60" s="748" customFormat="1" hidden="1" thickBot="1">
      <c r="A426" s="28"/>
      <c r="B426" s="763">
        <v>25</v>
      </c>
      <c r="C426" s="764">
        <f>C375</f>
        <v>1</v>
      </c>
      <c r="D426" s="765" t="s">
        <v>197</v>
      </c>
      <c r="E426" s="771">
        <f>IF(AND(porantighorsup&gt;=0.5,$C426=1),IF(canthorsup&gt;15,25000,1666.6666*canthorsup),0)</f>
        <v>25000</v>
      </c>
      <c r="F426" s="772"/>
      <c r="G426" s="665"/>
      <c r="H426" s="771">
        <f>IF(AND(porantighorsup&gt;=0.5,$C426=1),IF(canthorsup&gt;15,25000,1666.6666*canthorsup),0)</f>
        <v>25000</v>
      </c>
      <c r="I426" s="772"/>
      <c r="J426" s="665"/>
      <c r="K426" s="771">
        <f>IF(AND(porantighorsup&gt;=0.5,$C426=1),IF(canthorsup&gt;15,25000,1666.6666*canthorsup),0)</f>
        <v>25000</v>
      </c>
      <c r="L426" s="772"/>
      <c r="M426" s="665"/>
      <c r="N426" s="771">
        <f>IF(AND(porantighorsup&gt;=0.5,$C426=1),IF(canthorsup&gt;15,25000,1666.6666*canthorsup),0)</f>
        <v>25000</v>
      </c>
      <c r="O426" s="772"/>
      <c r="P426" s="665"/>
      <c r="Q426" s="771">
        <f>IF(AND(porantighorsup&gt;=0.5,$C426=1),IF(canthorsup&gt;15,25000,1666.6666*canthorsup),0)</f>
        <v>25000</v>
      </c>
      <c r="R426" s="772"/>
      <c r="S426" s="665"/>
      <c r="T426" s="771">
        <f>IF(AND(porantighorsup&gt;=0.5,$C426=1),IF(canthorsup&gt;15,25000,1666.6666*canthorsup),0)</f>
        <v>25000</v>
      </c>
      <c r="U426" s="772"/>
      <c r="V426" s="665"/>
      <c r="W426" s="771">
        <f>IF(AND(porantighorsup&gt;=0.5,$C426=1),IF(canthorsup&gt;15,25000,1666.6666*canthorsup),0)</f>
        <v>25000</v>
      </c>
      <c r="X426" s="772"/>
      <c r="Y426" s="665"/>
      <c r="Z426" s="771">
        <f>IF(AND(porantighorsup&gt;=0.5,$C426=1),IF(canthorsup&gt;15,25000,1666.6666*canthorsup),0)</f>
        <v>25000</v>
      </c>
      <c r="AA426" s="772"/>
      <c r="AB426" s="665"/>
      <c r="AC426" s="771">
        <f>IF(AND(porantighorsup&gt;=0.5,$C426=1),IF(canthorsup&gt;15,25000,1666.6666*canthorsup),0)</f>
        <v>25000</v>
      </c>
      <c r="AD426" s="772"/>
      <c r="AE426" s="665"/>
      <c r="AF426" s="771">
        <f>IF(AND(porantighorsup&gt;=0.5,$C426=1),IF(canthorsup&gt;15,25000,1666.6666*canthorsup),0)</f>
        <v>25000</v>
      </c>
      <c r="AG426" s="772"/>
      <c r="AH426" s="665"/>
      <c r="AI426" s="771">
        <f>IF(porantighorsup&gt;=0.5,IF(canthorsup&gt;15,25000,1666.6666*canthorsup),0)</f>
        <v>25000</v>
      </c>
      <c r="AJ426" s="772"/>
      <c r="AK426" s="665"/>
      <c r="AL426" s="663"/>
      <c r="AM426" s="772"/>
      <c r="AN426" s="665"/>
      <c r="AO426" s="663"/>
      <c r="AP426" s="772"/>
      <c r="AQ426" s="665"/>
      <c r="AR426" s="663"/>
      <c r="AS426" s="772"/>
      <c r="AT426" s="665"/>
      <c r="AU426" s="28"/>
      <c r="AV426" s="28"/>
      <c r="AW426" s="28"/>
      <c r="AX426" s="28"/>
      <c r="AY426" s="28"/>
      <c r="AZ426" s="28"/>
      <c r="BA426" s="28"/>
      <c r="BB426" s="28"/>
      <c r="BC426" s="28"/>
      <c r="BD426" s="28"/>
    </row>
    <row r="427" spans="1:60" ht="16.5" hidden="1" thickBot="1">
      <c r="A427" s="28"/>
      <c r="B427" s="660"/>
      <c r="C427" s="666"/>
      <c r="D427" s="667" t="s">
        <v>154</v>
      </c>
      <c r="E427" s="668">
        <f>SUM(E418:E426)</f>
        <v>2236952.4532199516</v>
      </c>
      <c r="F427" s="288"/>
      <c r="G427" s="669"/>
      <c r="H427" s="668">
        <f>SUM(H418:H426)</f>
        <v>2183828.0031414158</v>
      </c>
      <c r="I427" s="288"/>
      <c r="J427" s="669"/>
      <c r="K427" s="668">
        <f>SUM(K418:K426)</f>
        <v>2137850.1159614986</v>
      </c>
      <c r="L427" s="288"/>
      <c r="M427" s="669"/>
      <c r="N427" s="668">
        <f>SUM(N418:N426)</f>
        <v>2095870.3059276603</v>
      </c>
      <c r="O427" s="288"/>
      <c r="P427" s="669"/>
      <c r="Q427" s="668">
        <f>SUM(Q418:Q426)</f>
        <v>2057888.5730399024</v>
      </c>
      <c r="R427" s="288"/>
      <c r="S427" s="669"/>
      <c r="T427" s="668">
        <f>SUM(T418:T426)</f>
        <v>2023822.8777237735</v>
      </c>
      <c r="U427" s="288"/>
      <c r="V427" s="669"/>
      <c r="W427" s="668">
        <f>SUM(W418:W426)</f>
        <v>1995137.1422825505</v>
      </c>
      <c r="X427" s="288"/>
      <c r="Y427" s="669"/>
      <c r="Z427" s="668">
        <f>SUM(Z418:Z426)</f>
        <v>1968244.4715055048</v>
      </c>
      <c r="AA427" s="288"/>
      <c r="AB427" s="669"/>
      <c r="AC427" s="668">
        <f>SUM(AC418:AC426)</f>
        <v>1918044.4816145878</v>
      </c>
      <c r="AD427" s="288"/>
      <c r="AE427" s="669"/>
      <c r="AF427" s="668">
        <f>SUM(AF418:AF426)</f>
        <v>1851708.4650764358</v>
      </c>
      <c r="AG427" s="288"/>
      <c r="AH427" s="669"/>
      <c r="AI427" s="668">
        <f>SUM(AI418:AI426)</f>
        <v>1810571.9878370177</v>
      </c>
      <c r="AJ427" s="288"/>
      <c r="AK427" s="669"/>
      <c r="AL427" s="668">
        <f>SUM(AL418:AL425)</f>
        <v>1751721.9878370177</v>
      </c>
      <c r="AM427" s="288"/>
      <c r="AN427" s="669"/>
      <c r="AO427" s="668">
        <f>SUM(AO418:AO425)</f>
        <v>1714013.6867289799</v>
      </c>
      <c r="AP427" s="288"/>
      <c r="AQ427" s="669"/>
      <c r="AR427" s="668">
        <f>SUM(AR418:AR425)</f>
        <v>1672664.1494376403</v>
      </c>
      <c r="AS427" s="288"/>
      <c r="AT427" s="669"/>
      <c r="AU427" s="28"/>
      <c r="AV427" s="28"/>
      <c r="AW427" s="28"/>
      <c r="AX427" s="28"/>
      <c r="AY427" s="28"/>
      <c r="AZ427" s="28"/>
      <c r="BA427" s="28"/>
      <c r="BB427" s="28"/>
      <c r="BC427" s="28"/>
      <c r="BD427" s="28"/>
    </row>
    <row r="428" spans="1:60" ht="16.5" hidden="1" thickBot="1">
      <c r="A428" s="28"/>
      <c r="B428" s="670" t="s">
        <v>149</v>
      </c>
      <c r="C428" s="523"/>
      <c r="D428" s="523"/>
      <c r="E428" s="671">
        <f>E377</f>
        <v>0</v>
      </c>
      <c r="F428" s="523"/>
      <c r="G428" s="656"/>
      <c r="H428" s="671">
        <f>H377</f>
        <v>0</v>
      </c>
      <c r="I428" s="523"/>
      <c r="J428" s="656"/>
      <c r="K428" s="671">
        <f>K377</f>
        <v>0</v>
      </c>
      <c r="L428" s="523"/>
      <c r="M428" s="656"/>
      <c r="N428" s="671">
        <f>N377</f>
        <v>0</v>
      </c>
      <c r="O428" s="523"/>
      <c r="P428" s="656"/>
      <c r="Q428" s="671">
        <f>Q377</f>
        <v>0</v>
      </c>
      <c r="R428" s="523"/>
      <c r="S428" s="656"/>
      <c r="T428" s="671">
        <f>T377</f>
        <v>0</v>
      </c>
      <c r="U428" s="523"/>
      <c r="V428" s="656"/>
      <c r="W428" s="671">
        <f>W377</f>
        <v>0</v>
      </c>
      <c r="X428" s="523"/>
      <c r="Y428" s="656"/>
      <c r="Z428" s="671">
        <f>Z377</f>
        <v>0</v>
      </c>
      <c r="AA428" s="523"/>
      <c r="AB428" s="656"/>
      <c r="AC428" s="671">
        <f>AC377</f>
        <v>0</v>
      </c>
      <c r="AD428" s="523"/>
      <c r="AE428" s="656"/>
      <c r="AF428" s="671">
        <f>AF377</f>
        <v>0</v>
      </c>
      <c r="AG428" s="523"/>
      <c r="AH428" s="656"/>
      <c r="AI428" s="671">
        <f>AI377</f>
        <v>0</v>
      </c>
      <c r="AJ428" s="523"/>
      <c r="AK428" s="656"/>
      <c r="AL428" s="671">
        <f>AL377</f>
        <v>0</v>
      </c>
      <c r="AM428" s="523"/>
      <c r="AN428" s="656"/>
      <c r="AO428" s="671">
        <f>AO377</f>
        <v>0</v>
      </c>
      <c r="AP428" s="523"/>
      <c r="AQ428" s="656"/>
      <c r="AR428" s="671">
        <f>AR377</f>
        <v>0</v>
      </c>
      <c r="AS428" s="523"/>
      <c r="AT428" s="656"/>
      <c r="AU428" s="28"/>
      <c r="AV428" s="28"/>
      <c r="AW428" s="28"/>
      <c r="AX428" s="28"/>
      <c r="AY428" s="28"/>
      <c r="AZ428" s="28"/>
      <c r="BA428" s="28"/>
      <c r="BB428" s="28"/>
      <c r="BC428" s="28"/>
      <c r="BD428" s="28"/>
    </row>
    <row r="429" spans="1:60" hidden="1" thickBot="1">
      <c r="A429" s="28"/>
      <c r="B429" s="670"/>
      <c r="C429" s="523"/>
      <c r="D429" s="524"/>
      <c r="E429" s="672"/>
      <c r="F429" s="523"/>
      <c r="G429" s="652"/>
      <c r="H429" s="672"/>
      <c r="I429" s="523"/>
      <c r="J429" s="652"/>
      <c r="K429" s="672"/>
      <c r="L429" s="523"/>
      <c r="M429" s="652"/>
      <c r="N429" s="672"/>
      <c r="O429" s="523"/>
      <c r="P429" s="652"/>
      <c r="Q429" s="672"/>
      <c r="R429" s="523"/>
      <c r="S429" s="652"/>
      <c r="T429" s="672"/>
      <c r="U429" s="523"/>
      <c r="V429" s="652"/>
      <c r="W429" s="672"/>
      <c r="X429" s="523"/>
      <c r="Y429" s="652"/>
      <c r="Z429" s="672"/>
      <c r="AA429" s="523"/>
      <c r="AB429" s="652"/>
      <c r="AC429" s="672"/>
      <c r="AD429" s="523"/>
      <c r="AE429" s="652"/>
      <c r="AF429" s="672"/>
      <c r="AG429" s="523"/>
      <c r="AH429" s="652"/>
      <c r="AI429" s="672"/>
      <c r="AJ429" s="523"/>
      <c r="AK429" s="652"/>
      <c r="AL429" s="672"/>
      <c r="AM429" s="523"/>
      <c r="AN429" s="652"/>
      <c r="AO429" s="672"/>
      <c r="AP429" s="523"/>
      <c r="AQ429" s="652"/>
      <c r="AR429" s="672"/>
      <c r="AS429" s="523"/>
      <c r="AT429" s="652"/>
      <c r="AU429" s="28"/>
      <c r="AV429" s="28"/>
      <c r="AW429" s="28"/>
      <c r="AX429" s="28"/>
      <c r="AY429" s="28"/>
      <c r="AZ429" s="28"/>
      <c r="BA429" s="28"/>
      <c r="BB429" s="28"/>
      <c r="BC429" s="28"/>
      <c r="BD429" s="28"/>
    </row>
    <row r="430" spans="1:60" ht="16.5" hidden="1" thickBot="1">
      <c r="A430" s="28"/>
      <c r="B430" s="649">
        <v>184</v>
      </c>
      <c r="C430" s="657">
        <f>AL430/2766.6666</f>
        <v>24</v>
      </c>
      <c r="D430" s="524" t="s">
        <v>196</v>
      </c>
      <c r="E430" s="651">
        <f>IF(canthorincsup*2766.66666&gt;66400,66400,canthorincsup*2766.6666)*1.107</f>
        <v>73504.798228799991</v>
      </c>
      <c r="F430" s="673"/>
      <c r="G430" s="652"/>
      <c r="H430" s="651">
        <f>IF(canthorincsup*2766.66666&gt;66400,66400,canthorincsup*2766.6666)*1.107</f>
        <v>73504.798228799991</v>
      </c>
      <c r="I430" s="673"/>
      <c r="J430" s="652"/>
      <c r="K430" s="651">
        <f>IF(canthorincsup*2766.66666&gt;66400,66400,canthorincsup*2766.6666)*1.107</f>
        <v>73504.798228799991</v>
      </c>
      <c r="L430" s="673"/>
      <c r="M430" s="652"/>
      <c r="N430" s="651">
        <f>IF(canthorincsup*2766.66666&gt;66400,66400,canthorincsup*2766.6666)*1.107</f>
        <v>73504.798228799991</v>
      </c>
      <c r="O430" s="673"/>
      <c r="P430" s="652"/>
      <c r="Q430" s="651">
        <f>IF(canthorincsup*2766.66666&gt;66400,66400,canthorincsup*2766.6666)*1.107</f>
        <v>73504.798228799991</v>
      </c>
      <c r="R430" s="673"/>
      <c r="S430" s="652"/>
      <c r="T430" s="651">
        <f>IF(canthorincsup*2766.66666&gt;66400,66400,canthorincsup*2766.6666)*1.107</f>
        <v>73504.798228799991</v>
      </c>
      <c r="U430" s="673"/>
      <c r="V430" s="652"/>
      <c r="W430" s="651">
        <f>IF(canthorincsup*2766.66666&gt;66400,66400,canthorincsup*2766.6666)*1.107</f>
        <v>73504.798228799991</v>
      </c>
      <c r="X430" s="673"/>
      <c r="Y430" s="652"/>
      <c r="Z430" s="651">
        <f>IF(canthorincsup*2766.66666&gt;66400,66400,canthorincsup*2766.6666)*1.107</f>
        <v>73504.798228799991</v>
      </c>
      <c r="AA430" s="673"/>
      <c r="AB430" s="652"/>
      <c r="AC430" s="651">
        <f>IF(canthorincsup*2766.66666&gt;66400,66400,canthorincsup*2766.6666)*1.107</f>
        <v>73504.798228799991</v>
      </c>
      <c r="AD430" s="673"/>
      <c r="AE430" s="652"/>
      <c r="AF430" s="651">
        <f>IF(canthorincsup*2766.66666&gt;66400,66400,canthorincsup*2766.6666)*1.107</f>
        <v>73504.798228799991</v>
      </c>
      <c r="AG430" s="673"/>
      <c r="AH430" s="652"/>
      <c r="AI430" s="651">
        <f>IF(canthorincsup*2766.66666&gt;66400,66400,canthorincsup*2766.6666)*1.107</f>
        <v>73504.798228799991</v>
      </c>
      <c r="AJ430" s="673"/>
      <c r="AK430" s="652"/>
      <c r="AL430" s="651">
        <f>IF(canthorincsup*2766.66666&gt;66400,66400,canthorincsup*2766.6666)</f>
        <v>66399.998399999997</v>
      </c>
      <c r="AM430" s="673"/>
      <c r="AN430" s="652"/>
      <c r="AO430" s="651">
        <f>IF(canthorincsup*2766.66666&gt;66400,66400,canthorincsup*2766.6666)</f>
        <v>66399.998399999997</v>
      </c>
      <c r="AP430" s="673"/>
      <c r="AQ430" s="652"/>
      <c r="AR430" s="651">
        <f>IF(canthorincsup*2766.66666&gt;66400,66400,canthorincsup*2766.6666)</f>
        <v>66399.998399999997</v>
      </c>
      <c r="AS430" s="673"/>
      <c r="AT430" s="652"/>
      <c r="AU430" s="28"/>
      <c r="AV430" s="28"/>
      <c r="AW430" s="28"/>
      <c r="AX430" s="28"/>
      <c r="AY430" s="28"/>
      <c r="AZ430" s="28"/>
      <c r="BA430" s="28"/>
      <c r="BB430" s="28"/>
      <c r="BC430" s="28"/>
      <c r="BD430" s="28"/>
    </row>
    <row r="431" spans="1:60" ht="16.5" hidden="1" thickBot="1">
      <c r="A431" s="28"/>
      <c r="B431" s="653">
        <v>204</v>
      </c>
      <c r="C431" s="674">
        <f>AL431/2066.66666</f>
        <v>24</v>
      </c>
      <c r="D431" s="524" t="s">
        <v>195</v>
      </c>
      <c r="E431" s="655">
        <f>IF(canthorincsup*2066.66666&gt;49600,49600,canthorincsup*2066.66666)*1.107</f>
        <v>54907.199822879993</v>
      </c>
      <c r="F431" s="675"/>
      <c r="G431" s="652"/>
      <c r="H431" s="655">
        <f>IF(canthorincsup*2066.66666&gt;49600,49600,canthorincsup*2066.66666)*1.107</f>
        <v>54907.199822879993</v>
      </c>
      <c r="I431" s="675"/>
      <c r="J431" s="652"/>
      <c r="K431" s="655">
        <f>IF(canthorincsup*2066.66666&gt;49600,49600,canthorincsup*2066.66666)*1.107</f>
        <v>54907.199822879993</v>
      </c>
      <c r="L431" s="675"/>
      <c r="M431" s="652"/>
      <c r="N431" s="655">
        <f>IF(canthorincsup*2066.66666&gt;49600,49600,canthorincsup*2066.66666)*1.107</f>
        <v>54907.199822879993</v>
      </c>
      <c r="O431" s="675"/>
      <c r="P431" s="652"/>
      <c r="Q431" s="655">
        <f>IF(canthorincsup*2066.66666&gt;49600,49600,canthorincsup*2066.66666)*1.107</f>
        <v>54907.199822879993</v>
      </c>
      <c r="R431" s="675"/>
      <c r="S431" s="652"/>
      <c r="T431" s="655">
        <f>IF(canthorincsup*2066.66666&gt;49600,49600,canthorincsup*2066.66666)*1.107</f>
        <v>54907.199822879993</v>
      </c>
      <c r="U431" s="675"/>
      <c r="V431" s="652"/>
      <c r="W431" s="655">
        <f>IF(canthorincsup*2066.66666&gt;49600,49600,canthorincsup*2066.66666)*1.107</f>
        <v>54907.199822879993</v>
      </c>
      <c r="X431" s="675"/>
      <c r="Y431" s="652"/>
      <c r="Z431" s="655">
        <f>IF(canthorincsup*2066.66666&gt;49600,49600,canthorincsup*2066.66666)*1.107</f>
        <v>54907.199822879993</v>
      </c>
      <c r="AA431" s="675"/>
      <c r="AB431" s="652"/>
      <c r="AC431" s="655">
        <f>IF(canthorincsup*2066.66666&gt;49600,49600,canthorincsup*2066.66666)*1.107</f>
        <v>54907.199822879993</v>
      </c>
      <c r="AD431" s="675"/>
      <c r="AE431" s="652"/>
      <c r="AF431" s="655">
        <f>IF(canthorincsup*2066.66666&gt;49600,49600,canthorincsup*2066.66666)*1.107</f>
        <v>54907.199822879993</v>
      </c>
      <c r="AG431" s="675"/>
      <c r="AH431" s="652"/>
      <c r="AI431" s="655">
        <f>IF(canthorincsup*2066.66666&gt;49600,49600,canthorincsup*2066.66666)*1.107</f>
        <v>54907.199822879993</v>
      </c>
      <c r="AJ431" s="675"/>
      <c r="AK431" s="652"/>
      <c r="AL431" s="655">
        <f>IF(canthorincsup*2066.66666&gt;49600,49600,canthorincsup*2066.66666)</f>
        <v>49599.999839999997</v>
      </c>
      <c r="AM431" s="675"/>
      <c r="AN431" s="652"/>
      <c r="AO431" s="655">
        <f>IF(canthorincsup*2066.66666&gt;49600,49600,canthorincsup*2066.66666)</f>
        <v>49599.999839999997</v>
      </c>
      <c r="AP431" s="675"/>
      <c r="AQ431" s="652"/>
      <c r="AR431" s="655">
        <f>IF(canthorincsup*2066.66666&gt;49600,49600,canthorincsup*2066.66666)</f>
        <v>49599.999839999997</v>
      </c>
      <c r="AS431" s="675"/>
      <c r="AT431" s="652"/>
      <c r="AU431" s="28"/>
      <c r="AV431" s="28"/>
      <c r="AW431" s="28"/>
      <c r="AX431" s="28"/>
      <c r="AY431" s="28"/>
      <c r="AZ431" s="28"/>
      <c r="BA431" s="28"/>
      <c r="BB431" s="28"/>
      <c r="BC431" s="28"/>
      <c r="BD431" s="28"/>
    </row>
    <row r="432" spans="1:60" hidden="1" thickBot="1">
      <c r="A432" s="28"/>
      <c r="B432" s="670"/>
      <c r="C432" s="523"/>
      <c r="D432" s="523"/>
      <c r="E432" s="672"/>
      <c r="F432" s="523"/>
      <c r="G432" s="656"/>
      <c r="H432" s="672"/>
      <c r="I432" s="523"/>
      <c r="J432" s="656"/>
      <c r="K432" s="672"/>
      <c r="L432" s="523"/>
      <c r="M432" s="656"/>
      <c r="N432" s="672"/>
      <c r="O432" s="523"/>
      <c r="P432" s="656"/>
      <c r="Q432" s="672"/>
      <c r="R432" s="523"/>
      <c r="S432" s="656"/>
      <c r="T432" s="672"/>
      <c r="U432" s="523"/>
      <c r="V432" s="656"/>
      <c r="W432" s="672"/>
      <c r="X432" s="523"/>
      <c r="Y432" s="656"/>
      <c r="Z432" s="672"/>
      <c r="AA432" s="523"/>
      <c r="AB432" s="656"/>
      <c r="AC432" s="672"/>
      <c r="AD432" s="523"/>
      <c r="AE432" s="656"/>
      <c r="AF432" s="672"/>
      <c r="AG432" s="523"/>
      <c r="AH432" s="656"/>
      <c r="AI432" s="672"/>
      <c r="AJ432" s="523"/>
      <c r="AK432" s="656"/>
      <c r="AL432" s="672"/>
      <c r="AM432" s="523"/>
      <c r="AN432" s="656"/>
      <c r="AO432" s="672"/>
      <c r="AP432" s="523"/>
      <c r="AQ432" s="656"/>
      <c r="AR432" s="672"/>
      <c r="AS432" s="523"/>
      <c r="AT432" s="656"/>
      <c r="AU432" s="28"/>
      <c r="AV432" s="28"/>
      <c r="AW432" s="28"/>
      <c r="AX432" s="28"/>
      <c r="AY432" s="28"/>
      <c r="AZ432" s="28"/>
      <c r="BA432" s="28"/>
      <c r="BB432" s="28"/>
      <c r="BC432" s="28"/>
      <c r="BD432" s="28"/>
      <c r="BE432" s="28"/>
      <c r="BF432" s="28"/>
      <c r="BG432" s="28"/>
      <c r="BH432" s="28"/>
    </row>
    <row r="433" spans="1:60" ht="16.5" hidden="1" thickBot="1">
      <c r="A433" s="28"/>
      <c r="B433" s="649"/>
      <c r="C433" s="676"/>
      <c r="D433" s="658" t="s">
        <v>150</v>
      </c>
      <c r="E433" s="677">
        <f>SUM(E427:E431)</f>
        <v>2365364.4512716313</v>
      </c>
      <c r="F433" s="524"/>
      <c r="G433" s="678"/>
      <c r="H433" s="677">
        <f>SUM(H427:H431)</f>
        <v>2312240.0011930955</v>
      </c>
      <c r="I433" s="524"/>
      <c r="J433" s="678"/>
      <c r="K433" s="677">
        <f>SUM(K427:K431)</f>
        <v>2266262.1140131783</v>
      </c>
      <c r="L433" s="524"/>
      <c r="M433" s="678"/>
      <c r="N433" s="677">
        <f>SUM(N427:N431)</f>
        <v>2224282.30397934</v>
      </c>
      <c r="O433" s="524"/>
      <c r="P433" s="678"/>
      <c r="Q433" s="677">
        <f>SUM(Q427:Q431)</f>
        <v>2186300.5710915821</v>
      </c>
      <c r="R433" s="524"/>
      <c r="S433" s="678"/>
      <c r="T433" s="677">
        <f>SUM(T427:T431)</f>
        <v>2152234.8757754532</v>
      </c>
      <c r="U433" s="524"/>
      <c r="V433" s="678"/>
      <c r="W433" s="677">
        <f>SUM(W427:W431)</f>
        <v>2123549.1403342304</v>
      </c>
      <c r="X433" s="524"/>
      <c r="Y433" s="678"/>
      <c r="Z433" s="677">
        <f>SUM(Z427:Z431)</f>
        <v>2096656.469557185</v>
      </c>
      <c r="AA433" s="524"/>
      <c r="AB433" s="678"/>
      <c r="AC433" s="677">
        <f>SUM(AC427:AC431)</f>
        <v>2046456.479666268</v>
      </c>
      <c r="AD433" s="524"/>
      <c r="AE433" s="678"/>
      <c r="AF433" s="677">
        <f>SUM(AF427:AF431)</f>
        <v>1980120.463128116</v>
      </c>
      <c r="AG433" s="524"/>
      <c r="AH433" s="678"/>
      <c r="AI433" s="677">
        <f>SUM(AI427:AI431)</f>
        <v>1938983.9858886979</v>
      </c>
      <c r="AJ433" s="524"/>
      <c r="AK433" s="678"/>
      <c r="AL433" s="677">
        <f>SUM(AL427:AL431)</f>
        <v>1867721.9860770176</v>
      </c>
      <c r="AM433" s="524"/>
      <c r="AN433" s="678"/>
      <c r="AO433" s="677">
        <f>SUM(AO427:AO431)</f>
        <v>1830013.6849689798</v>
      </c>
      <c r="AP433" s="524"/>
      <c r="AQ433" s="678"/>
      <c r="AR433" s="677">
        <f>SUM(AR427:AR431)</f>
        <v>1788664.1476776402</v>
      </c>
      <c r="AS433" s="524"/>
      <c r="AT433" s="678"/>
      <c r="AU433" s="28"/>
      <c r="AV433" s="28"/>
      <c r="AW433" s="28"/>
      <c r="AX433" s="28"/>
      <c r="AY433" s="28"/>
      <c r="AZ433" s="28"/>
      <c r="BA433" s="28"/>
      <c r="BB433" s="28"/>
      <c r="BC433" s="28"/>
      <c r="BD433" s="28"/>
      <c r="BE433" s="28"/>
      <c r="BF433" s="28"/>
      <c r="BG433" s="28"/>
      <c r="BH433" s="28"/>
    </row>
    <row r="434" spans="1:60" ht="16.5" hidden="1" thickBot="1">
      <c r="A434" s="28"/>
      <c r="B434" s="653">
        <v>440</v>
      </c>
      <c r="C434" s="680"/>
      <c r="D434" s="523" t="s">
        <v>108</v>
      </c>
      <c r="E434" s="671">
        <f>E383</f>
        <v>0</v>
      </c>
      <c r="F434" s="654">
        <f>-E434</f>
        <v>0</v>
      </c>
      <c r="G434" s="656"/>
      <c r="H434" s="671">
        <f>H383</f>
        <v>0</v>
      </c>
      <c r="I434" s="654">
        <f>-H434</f>
        <v>0</v>
      </c>
      <c r="J434" s="656"/>
      <c r="K434" s="671">
        <f>K383</f>
        <v>0</v>
      </c>
      <c r="L434" s="654">
        <f>-K434</f>
        <v>0</v>
      </c>
      <c r="M434" s="656"/>
      <c r="N434" s="671">
        <f>N383</f>
        <v>0</v>
      </c>
      <c r="O434" s="654">
        <f>-N434</f>
        <v>0</v>
      </c>
      <c r="P434" s="656"/>
      <c r="Q434" s="671">
        <f>Q383</f>
        <v>0</v>
      </c>
      <c r="R434" s="654">
        <f>-Q434</f>
        <v>0</v>
      </c>
      <c r="S434" s="656"/>
      <c r="T434" s="671">
        <f>T383</f>
        <v>0</v>
      </c>
      <c r="U434" s="654">
        <f>-T434</f>
        <v>0</v>
      </c>
      <c r="V434" s="656"/>
      <c r="W434" s="671">
        <f>W383</f>
        <v>0</v>
      </c>
      <c r="X434" s="654">
        <f>-W434</f>
        <v>0</v>
      </c>
      <c r="Y434" s="656"/>
      <c r="Z434" s="671">
        <f>Z383</f>
        <v>0</v>
      </c>
      <c r="AA434" s="654">
        <f>-Z434</f>
        <v>0</v>
      </c>
      <c r="AB434" s="656"/>
      <c r="AC434" s="671">
        <f>AC383</f>
        <v>0</v>
      </c>
      <c r="AD434" s="654">
        <f>-AC434</f>
        <v>0</v>
      </c>
      <c r="AE434" s="656"/>
      <c r="AF434" s="671">
        <f>AF383</f>
        <v>0</v>
      </c>
      <c r="AG434" s="654">
        <f>-AF434</f>
        <v>0</v>
      </c>
      <c r="AH434" s="656"/>
      <c r="AI434" s="671">
        <f>AI383</f>
        <v>0</v>
      </c>
      <c r="AJ434" s="654">
        <f>-AI434</f>
        <v>0</v>
      </c>
      <c r="AK434" s="656"/>
      <c r="AL434" s="671">
        <f>AL383</f>
        <v>0</v>
      </c>
      <c r="AM434" s="654">
        <f>-AL434</f>
        <v>0</v>
      </c>
      <c r="AN434" s="656"/>
      <c r="AO434" s="671">
        <f>AO383</f>
        <v>0</v>
      </c>
      <c r="AP434" s="654">
        <f>-AO434</f>
        <v>0</v>
      </c>
      <c r="AQ434" s="656"/>
      <c r="AR434" s="671">
        <f>AR383</f>
        <v>0</v>
      </c>
      <c r="AS434" s="654">
        <f>-AR434</f>
        <v>0</v>
      </c>
      <c r="AT434" s="656"/>
      <c r="AU434" s="69"/>
      <c r="AV434" s="28"/>
      <c r="AW434" s="28"/>
      <c r="AX434" s="28"/>
      <c r="AY434" s="28"/>
      <c r="AZ434" s="28"/>
      <c r="BA434" s="28"/>
      <c r="BB434" s="28"/>
      <c r="BC434" s="28"/>
      <c r="BD434" s="28"/>
      <c r="BE434" s="28"/>
      <c r="BF434" s="28"/>
      <c r="BG434" s="28"/>
      <c r="BH434" s="28"/>
    </row>
    <row r="435" spans="1:60" ht="16.5" hidden="1" thickBot="1">
      <c r="A435" s="28"/>
      <c r="B435" s="649">
        <v>502</v>
      </c>
      <c r="C435" s="681">
        <v>0.16</v>
      </c>
      <c r="D435" s="651" t="s">
        <v>151</v>
      </c>
      <c r="E435" s="651"/>
      <c r="F435" s="659">
        <f>-(E418+E419+E422+E420+E421+F434+E423+E425+E426)*0.19</f>
        <v>-425020.9661117908</v>
      </c>
      <c r="G435" s="682"/>
      <c r="H435" s="651"/>
      <c r="I435" s="659">
        <f>-(H418+H419+H422+H420+H421+I434+H423+H425+H426)*0.19</f>
        <v>-414927.32059686899</v>
      </c>
      <c r="J435" s="682"/>
      <c r="K435" s="651"/>
      <c r="L435" s="659">
        <f>-(K418+K419+K422+K420+K421+L434+K423+K425+K426)*0.19</f>
        <v>-406191.52203268476</v>
      </c>
      <c r="M435" s="682"/>
      <c r="N435" s="651"/>
      <c r="O435" s="659">
        <f>-(N418+N419+N422+N420+N421+O434+N423+N425+N426)*0.19</f>
        <v>-398215.35812625545</v>
      </c>
      <c r="P435" s="682"/>
      <c r="Q435" s="651"/>
      <c r="R435" s="659">
        <f>-(Q418+Q419+Q422+Q420+Q421+R434+Q423+Q425+Q426)*0.19</f>
        <v>-390998.82887758152</v>
      </c>
      <c r="S435" s="682"/>
      <c r="T435" s="651"/>
      <c r="U435" s="659">
        <f>-(T418+T419+T422+T420+T421+U434+T423+T425+T426)*0.19</f>
        <v>-384526.34676751698</v>
      </c>
      <c r="V435" s="682"/>
      <c r="W435" s="651"/>
      <c r="X435" s="659">
        <f>-(W418+W419+W422+W420+W421+X434+W423+W425+W426)*0.19</f>
        <v>-379076.05703368457</v>
      </c>
      <c r="Y435" s="682"/>
      <c r="Z435" s="651"/>
      <c r="AA435" s="659">
        <f>-(Z418+Z419+Z422+Z420+Z421+AA434+Z423+Z425+Z426)*0.19</f>
        <v>-373966.44958604593</v>
      </c>
      <c r="AB435" s="682"/>
      <c r="AC435" s="651"/>
      <c r="AD435" s="659">
        <f>-(AC418+AC419+AC422+AC420+AC421+AD434+AC423+AC425+AC426)*0.19</f>
        <v>-364428.45150677167</v>
      </c>
      <c r="AE435" s="682"/>
      <c r="AF435" s="651"/>
      <c r="AG435" s="659">
        <f>-(AF418+AF419+AF422+AF420+AF421+AG434+AF423+AF425+AF426)*0.19</f>
        <v>-351824.60836452281</v>
      </c>
      <c r="AH435" s="682"/>
      <c r="AI435" s="651"/>
      <c r="AJ435" s="659">
        <f>-(AI418+AI419+AI422+AI420+AI421+AJ434+AI423+AI425+AI426)*0.19</f>
        <v>-344008.67768903339</v>
      </c>
      <c r="AK435" s="808"/>
      <c r="AL435" s="651"/>
      <c r="AM435" s="659">
        <f>-(AL418+AL419+AL422+AL420+AL421+AM434+AL423+AL425)*0.19</f>
        <v>-332827.17768903339</v>
      </c>
      <c r="AN435" s="682"/>
      <c r="AO435" s="651"/>
      <c r="AP435" s="659">
        <f>-(AO418+AO419+AO422+AO420+AO421+AP434+AO423+AO425)*0.19</f>
        <v>-325662.60047850618</v>
      </c>
      <c r="AQ435" s="682"/>
      <c r="AR435" s="651"/>
      <c r="AS435" s="659">
        <f>-(AR418+AR419+AR422+AR420+AR421+AS434+AR423+AR425)*0.19</f>
        <v>-317806.18839315168</v>
      </c>
      <c r="AT435" s="682"/>
      <c r="AU435" s="28"/>
      <c r="AV435" s="28"/>
      <c r="AW435" s="28"/>
      <c r="AX435" s="28"/>
      <c r="AY435" s="28"/>
      <c r="AZ435" s="28"/>
      <c r="BA435" s="28"/>
      <c r="BB435" s="28"/>
      <c r="BC435" s="28"/>
      <c r="BD435" s="28"/>
      <c r="BE435" s="28"/>
      <c r="BF435" s="28"/>
      <c r="BG435" s="28"/>
      <c r="BH435" s="28"/>
    </row>
    <row r="436" spans="1:60" ht="16.5" hidden="1" thickBot="1">
      <c r="A436" s="28"/>
      <c r="B436" s="649">
        <v>505</v>
      </c>
      <c r="C436" s="683">
        <v>0.03</v>
      </c>
      <c r="D436" s="651" t="s">
        <v>152</v>
      </c>
      <c r="E436" s="651"/>
      <c r="F436" s="659">
        <f>-(E418+E419+E422+E420+E421+F434+E423+E425+E426)*poros</f>
        <v>-67108.573596598551</v>
      </c>
      <c r="G436" s="682"/>
      <c r="H436" s="651"/>
      <c r="I436" s="659">
        <f>-(H418+H419+H422+H420+H421+I434+H423+H425+H426)*poros</f>
        <v>-65514.840094242471</v>
      </c>
      <c r="J436" s="682"/>
      <c r="K436" s="651"/>
      <c r="L436" s="659">
        <f>-(K418+K419+K422+K420+K421+L434+K423+K425+K426)*poros</f>
        <v>-64135.503478844956</v>
      </c>
      <c r="M436" s="682"/>
      <c r="N436" s="651"/>
      <c r="O436" s="659">
        <f>-(N418+N419+N422+N420+N421+O434+N423+N425+N426)*poros</f>
        <v>-62876.109177829807</v>
      </c>
      <c r="P436" s="682"/>
      <c r="Q436" s="651"/>
      <c r="R436" s="659">
        <f>-(Q418+Q419+Q422+Q420+Q421+R434+Q423+Q425+Q426)*poros</f>
        <v>-61736.657191197075</v>
      </c>
      <c r="S436" s="682"/>
      <c r="T436" s="651"/>
      <c r="U436" s="659">
        <f>-(T418+T419+T422+T420+T421+U434+T423+T425+T426)*poros</f>
        <v>-60714.686331713201</v>
      </c>
      <c r="V436" s="682"/>
      <c r="W436" s="651"/>
      <c r="X436" s="659">
        <f>-(W418+W419+W422+W420+W421+X434+W423+W425+W426)*poros</f>
        <v>-59854.114268476515</v>
      </c>
      <c r="Y436" s="682"/>
      <c r="Z436" s="651"/>
      <c r="AA436" s="659">
        <f>-(Z418+Z419+Z422+Z420+Z421+AA434+Z423+Z425+Z426)*poros</f>
        <v>-59047.334145165143</v>
      </c>
      <c r="AB436" s="682"/>
      <c r="AC436" s="651"/>
      <c r="AD436" s="659">
        <f>-(AC418+AC419+AC422+AC420+AC421+AD434+AC423+AC425+AC426)*poros</f>
        <v>-57541.334448437636</v>
      </c>
      <c r="AE436" s="682"/>
      <c r="AF436" s="651"/>
      <c r="AG436" s="659">
        <f>-(AF418+AF419+AF422+AF420+AF421+AG434+AF423+AF425+AF426)*poros</f>
        <v>-55551.253952293075</v>
      </c>
      <c r="AH436" s="682"/>
      <c r="AI436" s="651"/>
      <c r="AJ436" s="659">
        <f>-(AI418+AI419+AI422+AI420+AI421+AJ434+AI423+AI425+AI426)*poros</f>
        <v>-54317.159635110533</v>
      </c>
      <c r="AK436" s="808"/>
      <c r="AL436" s="651"/>
      <c r="AM436" s="659">
        <f>-(AL418+AL419+AL422+AL420+AL421+AM434+AL423+AL425)*poros</f>
        <v>-52551.659635110533</v>
      </c>
      <c r="AN436" s="682"/>
      <c r="AO436" s="651"/>
      <c r="AP436" s="659">
        <f>-(AO418+AO419+AO422+AO420+AO421+AP434+AO423+AO425)*poros</f>
        <v>-51420.410601869393</v>
      </c>
      <c r="AQ436" s="682"/>
      <c r="AR436" s="651"/>
      <c r="AS436" s="659">
        <f>-(AR418+AR419+AR422+AR420+AR421+AS434+AR423+AR425)*poros</f>
        <v>-50179.924483129209</v>
      </c>
      <c r="AT436" s="682"/>
      <c r="AU436" s="28"/>
      <c r="AV436" s="28"/>
      <c r="AW436" s="28"/>
      <c r="AX436" s="28"/>
      <c r="AY436" s="28"/>
      <c r="AZ436" s="28"/>
      <c r="BA436" s="28"/>
      <c r="BB436" s="28"/>
      <c r="BC436" s="28"/>
      <c r="BD436" s="28"/>
      <c r="BE436" s="28"/>
      <c r="BF436" s="28"/>
      <c r="BG436" s="28"/>
      <c r="BH436" s="28"/>
    </row>
    <row r="437" spans="1:60" ht="16.5" hidden="1" thickBot="1">
      <c r="A437" s="28"/>
      <c r="B437" s="684">
        <v>332</v>
      </c>
      <c r="C437" s="685">
        <f t="shared" ref="C437:C438" si="685">C386</f>
        <v>0</v>
      </c>
      <c r="D437" s="655" t="s">
        <v>113</v>
      </c>
      <c r="E437" s="655"/>
      <c r="F437" s="654">
        <f>-(E418+E419+E422+E420+E421+F434+E423+E426)*poragmer-E430*poragmer</f>
        <v>0</v>
      </c>
      <c r="G437" s="686"/>
      <c r="H437" s="655"/>
      <c r="I437" s="654">
        <f>-(H418+H419+H422+H420+H421+I434+H423+H426)*poragmer-H430*poragmer</f>
        <v>0</v>
      </c>
      <c r="J437" s="686"/>
      <c r="K437" s="655"/>
      <c r="L437" s="654">
        <f>-(K418+K419+K422+K420+K421+L434+K423+K426)*poragmer-K430*poragmer</f>
        <v>0</v>
      </c>
      <c r="M437" s="686"/>
      <c r="N437" s="655"/>
      <c r="O437" s="654">
        <f>-(N418+N419+N422+N420+N421+O434+N423+N426)*poragmer-N430*poragmer</f>
        <v>0</v>
      </c>
      <c r="P437" s="686"/>
      <c r="Q437" s="655"/>
      <c r="R437" s="654">
        <f>-(Q418+Q419+Q422+Q420+Q421+R434+Q423+Q426)*poragmer-Q430*poragmer</f>
        <v>0</v>
      </c>
      <c r="S437" s="686"/>
      <c r="T437" s="655"/>
      <c r="U437" s="654">
        <f>-(T418+T419+T422+T420+T421+U434+T423+T426)*poragmer-T430*poragmer</f>
        <v>0</v>
      </c>
      <c r="V437" s="686"/>
      <c r="W437" s="655"/>
      <c r="X437" s="654">
        <f>-(W418+W419+W422+W420+W421+X434+W423+W426)*poragmer-W430*poragmer</f>
        <v>0</v>
      </c>
      <c r="Y437" s="686"/>
      <c r="Z437" s="655"/>
      <c r="AA437" s="654">
        <f>-(Z418+Z419+Z422+Z420+Z421+AA434+Z423+Z426)*poragmer-Z430*poragmer</f>
        <v>0</v>
      </c>
      <c r="AB437" s="686"/>
      <c r="AC437" s="655"/>
      <c r="AD437" s="654">
        <f>-(AC418+AC419+AC422+AC420+AC421+AD434+AC423+AC426)*poragmer-AC430*poragmer</f>
        <v>0</v>
      </c>
      <c r="AE437" s="686"/>
      <c r="AF437" s="655"/>
      <c r="AG437" s="654">
        <f>-(AF418+AF419+AF422+AF420+AF421+AG434+AF423+AF426)*poragmer-AF430*poragmer</f>
        <v>0</v>
      </c>
      <c r="AH437" s="686"/>
      <c r="AI437" s="655"/>
      <c r="AJ437" s="654">
        <f>-(AI418+AI419+AI422+AI420+AI421+AJ434+AI423)*poragmer-AI430*poragmer</f>
        <v>0</v>
      </c>
      <c r="AK437" s="686"/>
      <c r="AL437" s="655"/>
      <c r="AM437" s="654">
        <f>-(AL418+AL419+AL422+AL420+AL421+AM434+AL423)*poragmer-AL430*poragmer</f>
        <v>0</v>
      </c>
      <c r="AN437" s="686"/>
      <c r="AO437" s="655"/>
      <c r="AP437" s="654">
        <f>-(AO418+AO419+AO422+AO420+AO421+AP434+AO423)*poragmer-AO430*poragmer</f>
        <v>0</v>
      </c>
      <c r="AQ437" s="686"/>
      <c r="AR437" s="655"/>
      <c r="AS437" s="654">
        <f>-(AR418+AR419+AR422+AR420+AR421+AS434+AR423)*poragmer-AR430*poragmer</f>
        <v>0</v>
      </c>
      <c r="AT437" s="686"/>
      <c r="AU437" s="28"/>
      <c r="AV437" s="28"/>
      <c r="AW437" s="28"/>
      <c r="AX437" s="28"/>
      <c r="AY437" s="28"/>
      <c r="AZ437" s="28"/>
      <c r="BA437" s="28"/>
      <c r="BB437" s="28"/>
      <c r="BC437" s="28"/>
      <c r="BD437" s="28"/>
      <c r="BE437" s="28"/>
      <c r="BF437" s="28"/>
      <c r="BG437" s="28"/>
      <c r="BH437" s="28"/>
    </row>
    <row r="438" spans="1:60" ht="16.5" hidden="1" thickBot="1">
      <c r="A438" s="28"/>
      <c r="B438" s="687" t="s">
        <v>114</v>
      </c>
      <c r="C438" s="685">
        <f t="shared" si="685"/>
        <v>0</v>
      </c>
      <c r="D438" s="524"/>
      <c r="E438" s="524"/>
      <c r="F438" s="659">
        <f>-(E419+E418+E422+E420+E421+F434+E423+E425+E426)*$C438</f>
        <v>0</v>
      </c>
      <c r="G438" s="652"/>
      <c r="H438" s="524"/>
      <c r="I438" s="659">
        <f>-(H419+H418+H422+H420+H421+I434+H423+H425+H426)*$C438</f>
        <v>0</v>
      </c>
      <c r="J438" s="652"/>
      <c r="K438" s="524"/>
      <c r="L438" s="659">
        <f>-(K419+K418+K422+K420+K421+L434+K423+K425+K426)*$C438</f>
        <v>0</v>
      </c>
      <c r="M438" s="652"/>
      <c r="N438" s="524"/>
      <c r="O438" s="659">
        <f>-(N419+N418+N422+N420+N421+O434+N423+N425+N426)*$C438</f>
        <v>0</v>
      </c>
      <c r="P438" s="652"/>
      <c r="Q438" s="524"/>
      <c r="R438" s="659">
        <f>-(Q419+Q418+Q422+Q420+Q421+R434+Q423+Q425+Q426)*$C438</f>
        <v>0</v>
      </c>
      <c r="S438" s="652"/>
      <c r="T438" s="524"/>
      <c r="U438" s="659">
        <f>-(T419+T418+T422+T420+T421+U434+T423+T425+T426)*$C438</f>
        <v>0</v>
      </c>
      <c r="V438" s="652"/>
      <c r="W438" s="524"/>
      <c r="X438" s="659">
        <f>-(W419+W418+W422+W420+W421+X434+W423+W425+W426)*$C438</f>
        <v>0</v>
      </c>
      <c r="Y438" s="652"/>
      <c r="Z438" s="524"/>
      <c r="AA438" s="659">
        <f>-(Z419+Z418+Z422+Z420+Z421+AA434+Z423+Z425+Z426)*$C438</f>
        <v>0</v>
      </c>
      <c r="AB438" s="652"/>
      <c r="AC438" s="524"/>
      <c r="AD438" s="659">
        <f>-(AC419+AC418+AC422+AC420+AC421+AD434+AC423+AC425+AC426)*$C438</f>
        <v>0</v>
      </c>
      <c r="AE438" s="652"/>
      <c r="AF438" s="524"/>
      <c r="AG438" s="659">
        <f>-(AF419+AF418+AF422+AF420+AF421+AG434+AF423+AF425+AF426)*$C438</f>
        <v>0</v>
      </c>
      <c r="AH438" s="652"/>
      <c r="AI438" s="524"/>
      <c r="AJ438" s="659">
        <f>-(AI419+AI418+AI422+AI420+AI421+AJ434+AI423+AI425)*$C438</f>
        <v>0</v>
      </c>
      <c r="AK438" s="652"/>
      <c r="AL438" s="524"/>
      <c r="AM438" s="659">
        <f>-(AL419+AL418+AL422+AL420+AL421+AM434+AL423+AL425)*$C438</f>
        <v>0</v>
      </c>
      <c r="AN438" s="652"/>
      <c r="AO438" s="524"/>
      <c r="AP438" s="659">
        <f>-(AO419+AO418+AO422+AO420+AO421+AP434+AO423+AO425)*$C438</f>
        <v>0</v>
      </c>
      <c r="AQ438" s="652"/>
      <c r="AR438" s="524"/>
      <c r="AS438" s="659">
        <f>-(AR419+AR418+AR422+AR420+AR421+AS434+AR423+AR425)*$C438</f>
        <v>0</v>
      </c>
      <c r="AT438" s="652"/>
      <c r="AU438" s="28"/>
      <c r="AV438" s="28"/>
      <c r="AW438" s="28"/>
      <c r="AX438" s="28"/>
      <c r="AY438" s="28"/>
      <c r="AZ438" s="28"/>
      <c r="BA438" s="28"/>
      <c r="BB438" s="28"/>
      <c r="BC438" s="28"/>
      <c r="BD438" s="28"/>
      <c r="BE438" s="28"/>
      <c r="BF438" s="28"/>
      <c r="BG438" s="28"/>
      <c r="BH438" s="28"/>
    </row>
    <row r="439" spans="1:60" ht="16.5" hidden="1" thickBot="1">
      <c r="A439" s="28"/>
      <c r="B439" s="680"/>
      <c r="C439" s="680"/>
      <c r="D439" s="688" t="s">
        <v>115</v>
      </c>
      <c r="E439" s="680"/>
      <c r="F439" s="667">
        <f>SUM(F435:F438)</f>
        <v>-492129.53970838932</v>
      </c>
      <c r="G439" s="689"/>
      <c r="H439" s="680"/>
      <c r="I439" s="667">
        <f>SUM(I435:I438)</f>
        <v>-480442.16069111146</v>
      </c>
      <c r="J439" s="689"/>
      <c r="K439" s="680"/>
      <c r="L439" s="667">
        <f>SUM(L435:L438)</f>
        <v>-470327.0255115297</v>
      </c>
      <c r="M439" s="689"/>
      <c r="N439" s="680"/>
      <c r="O439" s="667">
        <f>SUM(O435:O438)</f>
        <v>-461091.46730408526</v>
      </c>
      <c r="P439" s="689"/>
      <c r="Q439" s="680"/>
      <c r="R439" s="667">
        <f>SUM(R435:R438)</f>
        <v>-452735.48606877861</v>
      </c>
      <c r="S439" s="689"/>
      <c r="T439" s="680"/>
      <c r="U439" s="667">
        <f>SUM(U435:U438)</f>
        <v>-445241.0330992302</v>
      </c>
      <c r="V439" s="689"/>
      <c r="W439" s="680"/>
      <c r="X439" s="667">
        <f>SUM(X435:X438)</f>
        <v>-438930.17130216106</v>
      </c>
      <c r="Y439" s="689"/>
      <c r="Z439" s="680"/>
      <c r="AA439" s="667">
        <f>SUM(AA435:AA438)</f>
        <v>-433013.78373121109</v>
      </c>
      <c r="AB439" s="689"/>
      <c r="AC439" s="680"/>
      <c r="AD439" s="667">
        <f>SUM(AD435:AD438)</f>
        <v>-421969.78595520929</v>
      </c>
      <c r="AE439" s="689"/>
      <c r="AF439" s="680"/>
      <c r="AG439" s="667">
        <f>SUM(AG435:AG438)</f>
        <v>-407375.86231681588</v>
      </c>
      <c r="AH439" s="689"/>
      <c r="AI439" s="680"/>
      <c r="AJ439" s="667">
        <f>SUM(AJ435:AJ438)</f>
        <v>-398325.83732414391</v>
      </c>
      <c r="AK439" s="808"/>
      <c r="AL439" s="680"/>
      <c r="AM439" s="667">
        <f>SUM(AM435:AM438)</f>
        <v>-385378.83732414391</v>
      </c>
      <c r="AN439" s="689"/>
      <c r="AO439" s="680"/>
      <c r="AP439" s="667">
        <f>SUM(AP435:AP438)</f>
        <v>-377083.01108037558</v>
      </c>
      <c r="AQ439" s="689"/>
      <c r="AR439" s="680"/>
      <c r="AS439" s="667">
        <f>SUM(AS435:AS438)</f>
        <v>-367986.11287628091</v>
      </c>
      <c r="AT439" s="689"/>
      <c r="AU439" s="33"/>
      <c r="AV439" s="28"/>
      <c r="AW439" s="28"/>
      <c r="AX439" s="28"/>
      <c r="AY439" s="28"/>
      <c r="AZ439" s="28"/>
      <c r="BA439" s="28"/>
      <c r="BB439" s="28"/>
      <c r="BC439" s="28"/>
      <c r="BD439" s="28"/>
      <c r="BE439" s="28"/>
      <c r="BF439" s="28"/>
      <c r="BG439" s="28"/>
      <c r="BH439" s="28"/>
    </row>
    <row r="440" spans="1:60" ht="13.5" hidden="1" thickBot="1">
      <c r="A440" s="28"/>
      <c r="B440" s="524"/>
      <c r="C440" s="524"/>
      <c r="D440" s="524"/>
      <c r="E440" s="524"/>
      <c r="F440" s="524"/>
      <c r="G440" s="652"/>
      <c r="H440" s="524"/>
      <c r="I440" s="524"/>
      <c r="J440" s="652"/>
      <c r="K440" s="524"/>
      <c r="L440" s="524"/>
      <c r="M440" s="652"/>
      <c r="N440" s="524"/>
      <c r="O440" s="524"/>
      <c r="P440" s="652"/>
      <c r="Q440" s="524"/>
      <c r="R440" s="524"/>
      <c r="S440" s="652"/>
      <c r="T440" s="524"/>
      <c r="U440" s="524"/>
      <c r="V440" s="652"/>
      <c r="W440" s="524"/>
      <c r="X440" s="524"/>
      <c r="Y440" s="652"/>
      <c r="Z440" s="524"/>
      <c r="AA440" s="524"/>
      <c r="AB440" s="652"/>
      <c r="AC440" s="524"/>
      <c r="AD440" s="524"/>
      <c r="AE440" s="652"/>
      <c r="AF440" s="524"/>
      <c r="AG440" s="524"/>
      <c r="AH440" s="652"/>
      <c r="AI440" s="524"/>
      <c r="AJ440" s="524"/>
      <c r="AK440" s="652"/>
      <c r="AL440" s="524"/>
      <c r="AM440" s="524"/>
      <c r="AN440" s="652"/>
      <c r="AO440" s="524"/>
      <c r="AP440" s="524"/>
      <c r="AQ440" s="652"/>
      <c r="AR440" s="524"/>
      <c r="AS440" s="524"/>
      <c r="AT440" s="652"/>
      <c r="AU440" s="28"/>
      <c r="AV440" s="28"/>
      <c r="AW440" s="28"/>
      <c r="AX440" s="28"/>
      <c r="AY440" s="28"/>
      <c r="AZ440" s="28"/>
      <c r="BA440" s="28"/>
      <c r="BB440" s="28"/>
      <c r="BC440" s="28"/>
      <c r="BD440" s="28"/>
      <c r="BE440" s="28"/>
      <c r="BF440" s="28"/>
      <c r="BG440" s="28"/>
      <c r="BH440" s="28"/>
    </row>
    <row r="441" spans="1:60" ht="24" hidden="1" thickBot="1">
      <c r="A441" s="28"/>
      <c r="B441" s="651"/>
      <c r="C441" s="524"/>
      <c r="D441" s="658"/>
      <c r="E441" s="658" t="s">
        <v>119</v>
      </c>
      <c r="F441" s="690">
        <f>E433+F439</f>
        <v>1873234.9115632419</v>
      </c>
      <c r="G441" s="678"/>
      <c r="H441" s="658" t="s">
        <v>119</v>
      </c>
      <c r="I441" s="690">
        <f>H433+I439</f>
        <v>1831797.8405019841</v>
      </c>
      <c r="J441" s="678"/>
      <c r="K441" s="658" t="s">
        <v>119</v>
      </c>
      <c r="L441" s="690">
        <f>K433+L439</f>
        <v>1795935.0885016485</v>
      </c>
      <c r="M441" s="678"/>
      <c r="N441" s="658" t="s">
        <v>119</v>
      </c>
      <c r="O441" s="690">
        <f>N433+O439</f>
        <v>1763190.8366752546</v>
      </c>
      <c r="P441" s="678"/>
      <c r="Q441" s="658" t="s">
        <v>119</v>
      </c>
      <c r="R441" s="690">
        <f>Q433+R439</f>
        <v>1733565.0850228034</v>
      </c>
      <c r="S441" s="678"/>
      <c r="T441" s="658" t="s">
        <v>119</v>
      </c>
      <c r="U441" s="690">
        <f>T433+U439</f>
        <v>1706993.842676223</v>
      </c>
      <c r="V441" s="678"/>
      <c r="W441" s="658" t="s">
        <v>119</v>
      </c>
      <c r="X441" s="690">
        <f>W433+X439</f>
        <v>1684618.9690320692</v>
      </c>
      <c r="Y441" s="678"/>
      <c r="Z441" s="658" t="s">
        <v>119</v>
      </c>
      <c r="AA441" s="690">
        <f>Z433+AA439</f>
        <v>1663642.6858259737</v>
      </c>
      <c r="AB441" s="678"/>
      <c r="AC441" s="658" t="s">
        <v>119</v>
      </c>
      <c r="AD441" s="690">
        <f>AC433+AD439</f>
        <v>1624486.6937110587</v>
      </c>
      <c r="AE441" s="678"/>
      <c r="AF441" s="658" t="s">
        <v>119</v>
      </c>
      <c r="AG441" s="690">
        <f>AF433+AG439</f>
        <v>1572744.6008113001</v>
      </c>
      <c r="AH441" s="678"/>
      <c r="AI441" s="658" t="s">
        <v>119</v>
      </c>
      <c r="AJ441" s="690">
        <f>AI433+AJ439</f>
        <v>1540658.1485645541</v>
      </c>
      <c r="AK441" s="678"/>
      <c r="AL441" s="658" t="s">
        <v>119</v>
      </c>
      <c r="AM441" s="690">
        <f>AL433+AM439</f>
        <v>1482343.1487528738</v>
      </c>
      <c r="AN441" s="678"/>
      <c r="AO441" s="658" t="s">
        <v>119</v>
      </c>
      <c r="AP441" s="690">
        <f>AO433+AP439</f>
        <v>1452930.6738886042</v>
      </c>
      <c r="AQ441" s="678"/>
      <c r="AR441" s="658" t="s">
        <v>119</v>
      </c>
      <c r="AS441" s="690">
        <f>AR433+AS439</f>
        <v>1420678.0348013593</v>
      </c>
      <c r="AT441" s="678"/>
      <c r="AU441" s="597"/>
      <c r="AV441" s="28"/>
      <c r="AW441" s="28"/>
      <c r="AX441" s="28"/>
      <c r="AY441" s="28"/>
      <c r="AZ441" s="28"/>
      <c r="BA441" s="28"/>
      <c r="BB441" s="28"/>
      <c r="BC441" s="28"/>
      <c r="BD441" s="28"/>
      <c r="BE441" s="28"/>
      <c r="BF441" s="28"/>
      <c r="BG441" s="28"/>
      <c r="BH441" s="28"/>
    </row>
    <row r="442" spans="1:60" ht="24" hidden="1" thickBot="1">
      <c r="A442" s="28"/>
      <c r="B442" s="691"/>
      <c r="C442" s="524"/>
      <c r="D442" s="658"/>
      <c r="E442" s="625"/>
      <c r="F442" s="690"/>
      <c r="G442" s="678"/>
      <c r="H442" s="625"/>
      <c r="I442" s="690"/>
      <c r="J442" s="678"/>
      <c r="K442" s="625"/>
      <c r="L442" s="690"/>
      <c r="M442" s="678"/>
      <c r="N442" s="625"/>
      <c r="O442" s="690"/>
      <c r="P442" s="678"/>
      <c r="Q442" s="625"/>
      <c r="R442" s="690"/>
      <c r="S442" s="678"/>
      <c r="T442" s="625"/>
      <c r="U442" s="690"/>
      <c r="V442" s="678"/>
      <c r="W442" s="625"/>
      <c r="X442" s="690"/>
      <c r="Y442" s="678"/>
      <c r="Z442" s="625"/>
      <c r="AA442" s="690"/>
      <c r="AB442" s="678"/>
      <c r="AC442" s="625"/>
      <c r="AD442" s="690"/>
      <c r="AE442" s="678"/>
      <c r="AF442" s="625"/>
      <c r="AG442" s="690"/>
      <c r="AH442" s="678"/>
      <c r="AI442" s="625"/>
      <c r="AJ442" s="690"/>
      <c r="AK442" s="678"/>
      <c r="AL442" s="625"/>
      <c r="AM442" s="690"/>
      <c r="AN442" s="678"/>
      <c r="AO442" s="625"/>
      <c r="AP442" s="690"/>
      <c r="AQ442" s="678"/>
      <c r="AR442" s="625"/>
      <c r="AS442" s="690"/>
      <c r="AT442" s="678"/>
      <c r="AU442" s="597"/>
      <c r="AV442" s="28"/>
      <c r="AW442" s="28"/>
      <c r="AX442" s="28"/>
      <c r="AY442" s="28"/>
      <c r="AZ442" s="28"/>
      <c r="BA442" s="28"/>
      <c r="BB442" s="28"/>
      <c r="BC442" s="28"/>
      <c r="BD442" s="28"/>
      <c r="BE442" s="28"/>
      <c r="BF442" s="28"/>
      <c r="BG442" s="28"/>
      <c r="BH442" s="28"/>
    </row>
    <row r="443" spans="1:60" ht="24" hidden="1" thickBot="1">
      <c r="A443" s="28"/>
      <c r="B443" s="651"/>
      <c r="C443" s="524">
        <f>2250/12</f>
        <v>187.5</v>
      </c>
      <c r="D443" s="658"/>
      <c r="E443" s="658"/>
      <c r="F443" s="692"/>
      <c r="G443" s="678"/>
      <c r="H443" s="658"/>
      <c r="I443" s="692"/>
      <c r="J443" s="678"/>
      <c r="K443" s="658"/>
      <c r="L443" s="692"/>
      <c r="M443" s="678"/>
      <c r="N443" s="658"/>
      <c r="O443" s="692"/>
      <c r="P443" s="678"/>
      <c r="Q443" s="658"/>
      <c r="R443" s="692"/>
      <c r="S443" s="678"/>
      <c r="T443" s="658"/>
      <c r="U443" s="692"/>
      <c r="V443" s="678"/>
      <c r="W443" s="658"/>
      <c r="X443" s="692"/>
      <c r="Y443" s="678"/>
      <c r="Z443" s="658"/>
      <c r="AA443" s="692"/>
      <c r="AB443" s="678"/>
      <c r="AC443" s="658"/>
      <c r="AD443" s="692"/>
      <c r="AE443" s="678"/>
      <c r="AF443" s="658"/>
      <c r="AG443" s="692"/>
      <c r="AH443" s="678"/>
      <c r="AI443" s="658"/>
      <c r="AJ443" s="692"/>
      <c r="AK443" s="678"/>
      <c r="AL443" s="658"/>
      <c r="AM443" s="692"/>
      <c r="AN443" s="678"/>
      <c r="AO443" s="658"/>
      <c r="AP443" s="692"/>
      <c r="AQ443" s="678"/>
      <c r="AR443" s="658"/>
      <c r="AS443" s="692"/>
      <c r="AT443" s="678"/>
      <c r="AU443" s="597"/>
      <c r="AV443" s="28"/>
      <c r="AW443" s="28"/>
      <c r="AX443" s="28"/>
      <c r="AY443" s="28"/>
      <c r="AZ443" s="28"/>
      <c r="BA443" s="28"/>
      <c r="BB443" s="28"/>
      <c r="BC443" s="28"/>
      <c r="BD443" s="28"/>
      <c r="BE443" s="28"/>
      <c r="BF443" s="28"/>
      <c r="BG443" s="28"/>
      <c r="BH443" s="28"/>
    </row>
    <row r="444" spans="1:60" ht="18.75" hidden="1" thickBot="1">
      <c r="A444" s="28"/>
      <c r="B444" s="651"/>
      <c r="C444" s="524"/>
      <c r="D444" s="658"/>
      <c r="E444" s="693" t="s">
        <v>121</v>
      </c>
      <c r="F444" s="362">
        <f>F441-I441</f>
        <v>41437.071061257739</v>
      </c>
      <c r="G444" s="678"/>
      <c r="H444" s="693" t="s">
        <v>121</v>
      </c>
      <c r="I444" s="362">
        <f>I441-L441</f>
        <v>35862.752000335604</v>
      </c>
      <c r="J444" s="678"/>
      <c r="K444" s="693" t="s">
        <v>121</v>
      </c>
      <c r="L444" s="362">
        <f>L441-O441</f>
        <v>32744.251826393884</v>
      </c>
      <c r="M444" s="678"/>
      <c r="N444" s="693" t="s">
        <v>121</v>
      </c>
      <c r="O444" s="362">
        <f>O441-R441</f>
        <v>29625.751652451232</v>
      </c>
      <c r="P444" s="678"/>
      <c r="Q444" s="693" t="s">
        <v>121</v>
      </c>
      <c r="R444" s="362">
        <f>R441-U441</f>
        <v>26571.242346580373</v>
      </c>
      <c r="S444" s="678"/>
      <c r="T444" s="693" t="s">
        <v>121</v>
      </c>
      <c r="U444" s="362">
        <f>U441-X441</f>
        <v>22374.87364415382</v>
      </c>
      <c r="V444" s="678"/>
      <c r="W444" s="693" t="s">
        <v>121</v>
      </c>
      <c r="X444" s="362">
        <f>X441-AA441</f>
        <v>20976.283206095453</v>
      </c>
      <c r="Y444" s="678"/>
      <c r="Z444" s="693" t="s">
        <v>121</v>
      </c>
      <c r="AA444" s="362">
        <f>AA441-AD441</f>
        <v>39155.992114915047</v>
      </c>
      <c r="AB444" s="678"/>
      <c r="AC444" s="693" t="s">
        <v>121</v>
      </c>
      <c r="AD444" s="362">
        <f>AD441-AG441</f>
        <v>51742.092899758602</v>
      </c>
      <c r="AE444" s="678"/>
      <c r="AF444" s="693" t="s">
        <v>121</v>
      </c>
      <c r="AG444" s="362">
        <f>AG441-AJ441</f>
        <v>32086.452246746048</v>
      </c>
      <c r="AH444" s="678"/>
      <c r="AI444" s="693" t="s">
        <v>121</v>
      </c>
      <c r="AJ444" s="362">
        <f>AJ441-AM441</f>
        <v>58314.999811680289</v>
      </c>
      <c r="AK444" s="678"/>
      <c r="AL444" s="693" t="s">
        <v>121</v>
      </c>
      <c r="AM444" s="362">
        <f>AM441-AP441</f>
        <v>29412.474864269607</v>
      </c>
      <c r="AN444" s="678"/>
      <c r="AO444" s="693" t="s">
        <v>121</v>
      </c>
      <c r="AP444" s="362">
        <f>AP441-AS441</f>
        <v>32252.639087244868</v>
      </c>
      <c r="AQ444" s="678"/>
      <c r="AR444" s="693" t="s">
        <v>121</v>
      </c>
      <c r="AS444" s="362"/>
      <c r="AT444" s="678"/>
      <c r="AU444" s="28"/>
      <c r="AV444" s="28"/>
      <c r="AW444" s="28"/>
      <c r="AX444" s="28"/>
      <c r="AY444" s="28"/>
      <c r="AZ444" s="28"/>
      <c r="BA444" s="28"/>
      <c r="BB444" s="28"/>
      <c r="BC444" s="28"/>
      <c r="BD444" s="28"/>
      <c r="BE444" s="28"/>
      <c r="BF444" s="28"/>
      <c r="BG444" s="28"/>
    </row>
    <row r="445" spans="1:60" ht="18.75" hidden="1" thickBot="1">
      <c r="A445" s="28"/>
      <c r="B445" s="651"/>
      <c r="C445" s="524"/>
      <c r="D445" s="658"/>
      <c r="E445" s="693" t="s">
        <v>122</v>
      </c>
      <c r="F445" s="340">
        <f>F444/I441</f>
        <v>2.262098477520989E-2</v>
      </c>
      <c r="G445" s="678"/>
      <c r="H445" s="693" t="s">
        <v>122</v>
      </c>
      <c r="I445" s="340">
        <f>I444/L441</f>
        <v>1.9968846441023633E-2</v>
      </c>
      <c r="J445" s="678"/>
      <c r="K445" s="693" t="s">
        <v>122</v>
      </c>
      <c r="L445" s="340">
        <f>L444/O441</f>
        <v>1.857101973609266E-2</v>
      </c>
      <c r="M445" s="678"/>
      <c r="N445" s="693" t="s">
        <v>122</v>
      </c>
      <c r="O445" s="340">
        <f>O444/R441</f>
        <v>1.7089494884503592E-2</v>
      </c>
      <c r="P445" s="678"/>
      <c r="Q445" s="693" t="s">
        <v>122</v>
      </c>
      <c r="R445" s="340">
        <f>R444/U441</f>
        <v>1.556610321740939E-2</v>
      </c>
      <c r="S445" s="678"/>
      <c r="T445" s="693" t="s">
        <v>122</v>
      </c>
      <c r="U445" s="340">
        <f>U444/X441</f>
        <v>1.3281860204275001E-2</v>
      </c>
      <c r="V445" s="678"/>
      <c r="W445" s="693" t="s">
        <v>122</v>
      </c>
      <c r="X445" s="340">
        <f>X444/AA441</f>
        <v>1.2608646907662772E-2</v>
      </c>
      <c r="Y445" s="678"/>
      <c r="Z445" s="693" t="s">
        <v>122</v>
      </c>
      <c r="AA445" s="340">
        <f>AA444/AD441</f>
        <v>2.4103609014774468E-2</v>
      </c>
      <c r="AB445" s="678"/>
      <c r="AC445" s="693" t="s">
        <v>122</v>
      </c>
      <c r="AD445" s="340">
        <f>AD444/AG441</f>
        <v>3.2899234162411015E-2</v>
      </c>
      <c r="AE445" s="678"/>
      <c r="AF445" s="693" t="s">
        <v>122</v>
      </c>
      <c r="AG445" s="340">
        <f>AG444/AJ441</f>
        <v>2.0826458015128991E-2</v>
      </c>
      <c r="AH445" s="678"/>
      <c r="AI445" s="693" t="s">
        <v>122</v>
      </c>
      <c r="AJ445" s="340">
        <f>AJ444/AM441</f>
        <v>3.93397438782929E-2</v>
      </c>
      <c r="AK445" s="678"/>
      <c r="AL445" s="693" t="s">
        <v>122</v>
      </c>
      <c r="AM445" s="340">
        <f>AM444/AP441</f>
        <v>2.0243550083191824E-2</v>
      </c>
      <c r="AN445" s="678"/>
      <c r="AO445" s="693" t="s">
        <v>122</v>
      </c>
      <c r="AP445" s="340">
        <f>AP444/AS441</f>
        <v>2.2702286019192566E-2</v>
      </c>
      <c r="AQ445" s="678"/>
      <c r="AR445" s="693" t="s">
        <v>122</v>
      </c>
      <c r="AS445" s="340"/>
      <c r="AT445" s="678"/>
      <c r="AU445" s="28"/>
      <c r="AV445" s="28"/>
      <c r="AW445" s="28"/>
      <c r="AX445" s="28"/>
      <c r="AY445" s="28"/>
      <c r="AZ445" s="28"/>
      <c r="BA445" s="28"/>
      <c r="BB445" s="28"/>
      <c r="BC445" s="28"/>
      <c r="BD445" s="28"/>
      <c r="BE445" s="28"/>
      <c r="BF445" s="28"/>
      <c r="BG445" s="28"/>
    </row>
    <row r="446" spans="1:60" s="13" customFormat="1" ht="18.75" hidden="1" thickBot="1">
      <c r="A446" s="30"/>
      <c r="B446" s="694"/>
      <c r="C446" s="695"/>
      <c r="D446" s="696"/>
      <c r="E446" s="697"/>
      <c r="F446" s="453"/>
      <c r="G446" s="696"/>
      <c r="H446" s="697"/>
      <c r="I446" s="453"/>
      <c r="J446" s="696"/>
      <c r="K446" s="697"/>
      <c r="L446" s="453"/>
      <c r="M446" s="696"/>
      <c r="N446" s="697"/>
      <c r="O446" s="453"/>
      <c r="P446" s="696"/>
      <c r="Q446" s="697"/>
      <c r="R446" s="453"/>
      <c r="S446" s="696"/>
      <c r="T446" s="697"/>
      <c r="U446" s="453"/>
      <c r="V446" s="696"/>
      <c r="W446" s="697"/>
      <c r="X446" s="453"/>
      <c r="Y446" s="696"/>
      <c r="Z446" s="697"/>
      <c r="AA446" s="453"/>
      <c r="AB446" s="696"/>
      <c r="AC446" s="697"/>
      <c r="AD446" s="453"/>
      <c r="AE446" s="696"/>
      <c r="AF446" s="697"/>
      <c r="AG446" s="453"/>
      <c r="AH446" s="696"/>
      <c r="AI446" s="697"/>
      <c r="AJ446" s="453"/>
      <c r="AK446" s="696"/>
      <c r="AL446" s="697"/>
      <c r="AM446" s="453"/>
      <c r="AN446" s="696"/>
      <c r="AO446" s="697"/>
      <c r="AP446" s="453"/>
      <c r="AQ446" s="696"/>
      <c r="AR446" s="697"/>
      <c r="AS446" s="453"/>
      <c r="AT446" s="696"/>
      <c r="AU446" s="30"/>
      <c r="AV446" s="30"/>
      <c r="AW446" s="30"/>
      <c r="AX446" s="30"/>
      <c r="AY446" s="30"/>
      <c r="AZ446" s="30"/>
      <c r="BA446" s="30"/>
      <c r="BB446" s="30"/>
      <c r="BC446" s="30"/>
      <c r="BD446" s="30"/>
      <c r="BE446" s="30"/>
      <c r="BF446" s="30"/>
      <c r="BG446" s="30"/>
    </row>
    <row r="447" spans="1:60" ht="18.75" hidden="1" thickBot="1">
      <c r="A447" s="28"/>
      <c r="B447" s="698"/>
      <c r="C447" s="658"/>
      <c r="D447" s="699"/>
      <c r="E447" s="700" t="s">
        <v>71</v>
      </c>
      <c r="F447" s="457">
        <f>F441-$AS441</f>
        <v>452556.87676188257</v>
      </c>
      <c r="G447" s="326"/>
      <c r="H447" s="700" t="s">
        <v>71</v>
      </c>
      <c r="I447" s="457">
        <f>I441-$AS441</f>
        <v>411119.80570062483</v>
      </c>
      <c r="J447" s="326"/>
      <c r="K447" s="700" t="s">
        <v>71</v>
      </c>
      <c r="L447" s="457">
        <f>L441-$AS441</f>
        <v>375257.05370028922</v>
      </c>
      <c r="M447" s="326"/>
      <c r="N447" s="700" t="s">
        <v>71</v>
      </c>
      <c r="O447" s="457">
        <f>O441-$AS441</f>
        <v>342512.80187389534</v>
      </c>
      <c r="P447" s="326"/>
      <c r="Q447" s="700" t="s">
        <v>71</v>
      </c>
      <c r="R447" s="457">
        <f>R441-$AS441</f>
        <v>312887.05022144411</v>
      </c>
      <c r="S447" s="326"/>
      <c r="T447" s="700" t="s">
        <v>71</v>
      </c>
      <c r="U447" s="457">
        <f>U441-$AS441</f>
        <v>286315.80787486373</v>
      </c>
      <c r="V447" s="326"/>
      <c r="W447" s="700" t="s">
        <v>71</v>
      </c>
      <c r="X447" s="457">
        <f>X441-$AS441</f>
        <v>263940.93423070991</v>
      </c>
      <c r="Y447" s="326"/>
      <c r="Z447" s="700" t="s">
        <v>71</v>
      </c>
      <c r="AA447" s="457">
        <f>AA441-$AS441</f>
        <v>242964.65102461446</v>
      </c>
      <c r="AB447" s="326"/>
      <c r="AC447" s="700" t="s">
        <v>71</v>
      </c>
      <c r="AD447" s="457">
        <f>AD441-$AS441</f>
        <v>203808.65890969941</v>
      </c>
      <c r="AE447" s="326"/>
      <c r="AF447" s="700" t="s">
        <v>71</v>
      </c>
      <c r="AG447" s="457">
        <f>AG441-$AS441</f>
        <v>152066.56600994081</v>
      </c>
      <c r="AH447" s="326"/>
      <c r="AI447" s="700" t="s">
        <v>71</v>
      </c>
      <c r="AJ447" s="457">
        <f>AJ441-$AS441</f>
        <v>119980.11376319476</v>
      </c>
      <c r="AK447" s="326"/>
      <c r="AL447" s="700" t="s">
        <v>71</v>
      </c>
      <c r="AM447" s="457">
        <f>AM441-$AS441</f>
        <v>61665.113951514475</v>
      </c>
      <c r="AN447" s="326"/>
      <c r="AO447" s="700" t="s">
        <v>71</v>
      </c>
      <c r="AP447" s="457">
        <f>AP441-$AS441</f>
        <v>32252.639087244868</v>
      </c>
      <c r="AQ447" s="326"/>
      <c r="AR447" s="700" t="s">
        <v>71</v>
      </c>
      <c r="AS447" s="457"/>
      <c r="AT447" s="326"/>
      <c r="AU447" s="598"/>
      <c r="AV447" s="28"/>
      <c r="AW447" s="28"/>
      <c r="AX447" s="28"/>
      <c r="AY447" s="28"/>
      <c r="AZ447" s="28"/>
      <c r="BA447" s="28"/>
      <c r="BB447" s="28"/>
      <c r="BC447" s="28"/>
      <c r="BD447" s="28"/>
      <c r="BE447" s="28"/>
      <c r="BF447" s="28"/>
      <c r="BG447" s="28"/>
    </row>
    <row r="448" spans="1:60" ht="18.75" hidden="1" thickBot="1">
      <c r="A448" s="28"/>
      <c r="B448" s="698"/>
      <c r="C448" s="658"/>
      <c r="D448" s="699"/>
      <c r="E448" s="700" t="s">
        <v>125</v>
      </c>
      <c r="F448" s="458">
        <f>F447/$AS441</f>
        <v>0.31854992171055813</v>
      </c>
      <c r="G448" s="326"/>
      <c r="H448" s="700" t="s">
        <v>125</v>
      </c>
      <c r="I448" s="458">
        <f>I447/$AS441</f>
        <v>0.28938281273427868</v>
      </c>
      <c r="J448" s="326"/>
      <c r="K448" s="700" t="s">
        <v>125</v>
      </c>
      <c r="L448" s="458">
        <f>L447/$AS441</f>
        <v>0.26413940703514716</v>
      </c>
      <c r="M448" s="326"/>
      <c r="N448" s="700" t="s">
        <v>125</v>
      </c>
      <c r="O448" s="458">
        <f>O447/$AS441</f>
        <v>0.24109108009246152</v>
      </c>
      <c r="P448" s="326"/>
      <c r="Q448" s="700" t="s">
        <v>125</v>
      </c>
      <c r="R448" s="458">
        <f>R447/$AS441</f>
        <v>0.22023783190622237</v>
      </c>
      <c r="S448" s="326"/>
      <c r="T448" s="700" t="s">
        <v>125</v>
      </c>
      <c r="U448" s="458">
        <f>U447/$AS441</f>
        <v>0.20153461999213404</v>
      </c>
      <c r="V448" s="326"/>
      <c r="W448" s="700" t="s">
        <v>125</v>
      </c>
      <c r="X448" s="458">
        <f>X447/$AS441</f>
        <v>0.18578518690733078</v>
      </c>
      <c r="Y448" s="326"/>
      <c r="Z448" s="700" t="s">
        <v>125</v>
      </c>
      <c r="AA448" s="458">
        <f>AA447/$AS441</f>
        <v>0.17102020660056594</v>
      </c>
      <c r="AB448" s="326"/>
      <c r="AC448" s="700" t="s">
        <v>125</v>
      </c>
      <c r="AD448" s="458">
        <f>AD447/$AS441</f>
        <v>0.1434587245787862</v>
      </c>
      <c r="AE448" s="326"/>
      <c r="AF448" s="700" t="s">
        <v>125</v>
      </c>
      <c r="AG448" s="458">
        <f>AG447/$AS441</f>
        <v>0.10703802148331443</v>
      </c>
      <c r="AH448" s="326"/>
      <c r="AI448" s="700" t="s">
        <v>125</v>
      </c>
      <c r="AJ448" s="458">
        <f>AJ447/$AS441</f>
        <v>8.4452712595060653E-2</v>
      </c>
      <c r="AK448" s="326"/>
      <c r="AL448" s="700" t="s">
        <v>125</v>
      </c>
      <c r="AM448" s="458">
        <f>AM447/$AS441</f>
        <v>4.3405410966416862E-2</v>
      </c>
      <c r="AN448" s="326"/>
      <c r="AO448" s="700" t="s">
        <v>125</v>
      </c>
      <c r="AP448" s="458">
        <f>AP447/$AS441</f>
        <v>2.2702286019192566E-2</v>
      </c>
      <c r="AQ448" s="326"/>
      <c r="AR448" s="700" t="s">
        <v>125</v>
      </c>
      <c r="AS448" s="458"/>
      <c r="AT448" s="326"/>
      <c r="AU448" s="364"/>
      <c r="AV448" s="598"/>
      <c r="AW448" s="28"/>
      <c r="AX448" s="28"/>
      <c r="AY448" s="28"/>
      <c r="AZ448" s="28"/>
      <c r="BA448" s="28"/>
      <c r="BB448" s="28"/>
      <c r="BC448" s="28"/>
      <c r="BD448" s="28"/>
      <c r="BE448" s="28"/>
      <c r="BF448" s="28"/>
      <c r="BG448" s="28"/>
      <c r="BH448" s="28"/>
    </row>
    <row r="449" spans="1:60" ht="18.75" hidden="1" thickBot="1">
      <c r="A449" s="28"/>
      <c r="B449" s="698"/>
      <c r="C449" s="658"/>
      <c r="D449" s="699"/>
      <c r="E449" s="524"/>
      <c r="F449" s="524"/>
      <c r="G449" s="701"/>
      <c r="H449" s="524"/>
      <c r="I449" s="524"/>
      <c r="J449" s="701"/>
      <c r="K449" s="524"/>
      <c r="L449" s="524"/>
      <c r="M449" s="701"/>
      <c r="N449" s="524"/>
      <c r="O449" s="524"/>
      <c r="P449" s="701"/>
      <c r="Q449" s="524"/>
      <c r="R449" s="524"/>
      <c r="S449" s="701"/>
      <c r="T449" s="524"/>
      <c r="U449" s="524"/>
      <c r="V449" s="701"/>
      <c r="W449" s="524"/>
      <c r="X449" s="524"/>
      <c r="Y449" s="701"/>
      <c r="Z449" s="524"/>
      <c r="AA449" s="524"/>
      <c r="AB449" s="701"/>
      <c r="AC449" s="524"/>
      <c r="AD449" s="524"/>
      <c r="AE449" s="701"/>
      <c r="AF449" s="524"/>
      <c r="AG449" s="524"/>
      <c r="AH449" s="701"/>
      <c r="AI449" s="524"/>
      <c r="AJ449" s="524"/>
      <c r="AK449" s="701"/>
      <c r="AL449" s="524"/>
      <c r="AM449" s="524"/>
      <c r="AN449" s="701"/>
      <c r="AO449" s="524"/>
      <c r="AP449" s="524"/>
      <c r="AQ449" s="701"/>
      <c r="AR449" s="524"/>
      <c r="AS449" s="524"/>
      <c r="AT449" s="701"/>
      <c r="AU449" s="365"/>
      <c r="AV449" s="136"/>
      <c r="AW449" s="28"/>
      <c r="AX449" s="28"/>
      <c r="AY449" s="28"/>
      <c r="AZ449" s="28"/>
      <c r="BA449" s="28"/>
      <c r="BB449" s="28"/>
      <c r="BC449" s="28"/>
      <c r="BD449" s="28"/>
      <c r="BE449" s="28"/>
      <c r="BF449" s="28"/>
      <c r="BG449" s="28"/>
      <c r="BH449" s="28"/>
    </row>
    <row r="450" spans="1:60" ht="18.75" hidden="1" thickBot="1">
      <c r="A450" s="28"/>
      <c r="B450" s="524"/>
      <c r="C450" s="524"/>
      <c r="D450" s="524"/>
      <c r="E450" s="267" t="s">
        <v>123</v>
      </c>
      <c r="F450" s="457">
        <f>(F441-E430-E431)-(I441-H430-H431)</f>
        <v>41437.071061257739</v>
      </c>
      <c r="G450" s="652"/>
      <c r="H450" s="267" t="s">
        <v>123</v>
      </c>
      <c r="I450" s="457">
        <f>(I441-H430-H431)-(L441-K430-K431)</f>
        <v>35862.752000335604</v>
      </c>
      <c r="J450" s="652"/>
      <c r="K450" s="267" t="s">
        <v>123</v>
      </c>
      <c r="L450" s="457">
        <f>(L441-K430-K431)-(O441-N430-N431)</f>
        <v>32744.251826393884</v>
      </c>
      <c r="M450" s="652"/>
      <c r="N450" s="267" t="s">
        <v>123</v>
      </c>
      <c r="O450" s="457">
        <f>(O441-N430-N431)-(R441-Q430-Q431)</f>
        <v>29625.751652451232</v>
      </c>
      <c r="P450" s="652"/>
      <c r="Q450" s="267" t="s">
        <v>123</v>
      </c>
      <c r="R450" s="457">
        <f>(R441-Q430-Q431)-(U441-T430-T431)</f>
        <v>26571.242346580373</v>
      </c>
      <c r="S450" s="652"/>
      <c r="T450" s="267" t="s">
        <v>123</v>
      </c>
      <c r="U450" s="457">
        <f>(U441-T430-T431)-(X441-W430-W431)</f>
        <v>22374.87364415382</v>
      </c>
      <c r="V450" s="652"/>
      <c r="W450" s="267" t="s">
        <v>123</v>
      </c>
      <c r="X450" s="457">
        <f>(X441-W430-W431)-(AA441-Z430-Z431)</f>
        <v>20976.283206095453</v>
      </c>
      <c r="Y450" s="652"/>
      <c r="Z450" s="267" t="s">
        <v>123</v>
      </c>
      <c r="AA450" s="457">
        <f>(AA441-Z430-Z431)-(AD441-AC430-AC431)</f>
        <v>39155.992114915047</v>
      </c>
      <c r="AB450" s="652"/>
      <c r="AC450" s="267" t="s">
        <v>123</v>
      </c>
      <c r="AD450" s="457">
        <f>(AD441-AC430-AC431)-(AG441-AF430-AF431)</f>
        <v>51742.092899758602</v>
      </c>
      <c r="AE450" s="652"/>
      <c r="AF450" s="267" t="s">
        <v>123</v>
      </c>
      <c r="AG450" s="457">
        <f>(AG441-AF430-AF431)-(AJ441-AI430-AI431)</f>
        <v>32086.452246746048</v>
      </c>
      <c r="AH450" s="652"/>
      <c r="AI450" s="267" t="s">
        <v>123</v>
      </c>
      <c r="AJ450" s="457">
        <f>(AJ441-AI430-AI431)-(AM441-AL430-AL431)</f>
        <v>45903</v>
      </c>
      <c r="AK450" s="652"/>
      <c r="AL450" s="267" t="s">
        <v>123</v>
      </c>
      <c r="AM450" s="457">
        <f>(AM441-AL430-AL431)-(AP441-AO430-AO431)</f>
        <v>29412.474864269607</v>
      </c>
      <c r="AN450" s="652"/>
      <c r="AO450" s="267" t="s">
        <v>123</v>
      </c>
      <c r="AP450" s="457">
        <f>(AP441-AO430-AO431)-(AS441-AR430-AR431)</f>
        <v>32252.639087244868</v>
      </c>
      <c r="AQ450" s="652"/>
      <c r="AR450" s="267" t="s">
        <v>116</v>
      </c>
      <c r="AS450" s="457"/>
      <c r="AT450" s="652"/>
      <c r="AU450" s="28"/>
      <c r="AV450" s="28"/>
      <c r="AW450" s="28"/>
      <c r="AX450" s="28"/>
      <c r="AY450" s="28"/>
      <c r="AZ450" s="28"/>
      <c r="BA450" s="28"/>
      <c r="BB450" s="28"/>
      <c r="BC450" s="28"/>
      <c r="BD450" s="28"/>
      <c r="BE450" s="28"/>
      <c r="BF450" s="28"/>
      <c r="BG450" s="28"/>
      <c r="BH450" s="28"/>
    </row>
    <row r="451" spans="1:60" ht="18.75" hidden="1" thickBot="1">
      <c r="A451" s="28"/>
      <c r="B451" s="524"/>
      <c r="C451" s="524"/>
      <c r="D451" s="524"/>
      <c r="E451" s="269" t="s">
        <v>124</v>
      </c>
      <c r="F451" s="458">
        <f>F450/(I441-H430-H431)</f>
        <v>2.4326297676427154E-2</v>
      </c>
      <c r="G451" s="652"/>
      <c r="H451" s="269" t="s">
        <v>124</v>
      </c>
      <c r="I451" s="458">
        <f>I450/(L441-K430-K431)</f>
        <v>2.1506599941988398E-2</v>
      </c>
      <c r="J451" s="652"/>
      <c r="K451" s="269" t="s">
        <v>124</v>
      </c>
      <c r="L451" s="458">
        <f>L450/(O441-N430-N431)</f>
        <v>2.0029774702713533E-2</v>
      </c>
      <c r="M451" s="652"/>
      <c r="N451" s="269" t="s">
        <v>124</v>
      </c>
      <c r="O451" s="458">
        <f>O450/(R441-Q430-Q431)</f>
        <v>1.8456651825249987E-2</v>
      </c>
      <c r="P451" s="652"/>
      <c r="Q451" s="269" t="s">
        <v>124</v>
      </c>
      <c r="R451" s="458">
        <f>R450/(U441-T430-T431)</f>
        <v>1.6832350148370166E-2</v>
      </c>
      <c r="S451" s="652"/>
      <c r="T451" s="269" t="s">
        <v>124</v>
      </c>
      <c r="U451" s="458">
        <f>U450/(X441-W430-W431)</f>
        <v>1.4377826382603823E-2</v>
      </c>
      <c r="V451" s="652"/>
      <c r="W451" s="269" t="s">
        <v>124</v>
      </c>
      <c r="X451" s="458">
        <f>X450/(AA441-Z430-Z431)</f>
        <v>1.3663277690537764E-2</v>
      </c>
      <c r="Y451" s="652"/>
      <c r="Z451" s="269" t="s">
        <v>124</v>
      </c>
      <c r="AA451" s="458">
        <f>AA450/(AD441-AC430-AC431)</f>
        <v>2.6172484721865757E-2</v>
      </c>
      <c r="AB451" s="652"/>
      <c r="AC451" s="269" t="s">
        <v>124</v>
      </c>
      <c r="AD451" s="458">
        <f>AD450/(AG441-AF430-AF431)</f>
        <v>3.5824222759285061E-2</v>
      </c>
      <c r="AE451" s="652"/>
      <c r="AF451" s="269" t="s">
        <v>124</v>
      </c>
      <c r="AG451" s="458">
        <f>AG450/(AJ441-AI430-AI431)</f>
        <v>2.2720155572803987E-2</v>
      </c>
      <c r="AH451" s="652"/>
      <c r="AI451" s="269" t="s">
        <v>124</v>
      </c>
      <c r="AJ451" s="458">
        <f>AJ450/(AM441-AL430-AL431)</f>
        <v>3.3595513676611719E-2</v>
      </c>
      <c r="AK451" s="652"/>
      <c r="AL451" s="269" t="s">
        <v>124</v>
      </c>
      <c r="AM451" s="458">
        <f>AM450/(AP441-AO430-AO431)</f>
        <v>2.2000000000000235E-2</v>
      </c>
      <c r="AN451" s="652"/>
      <c r="AO451" s="269" t="s">
        <v>124</v>
      </c>
      <c r="AP451" s="458">
        <f>AP450/(AS441-AR430-AR431)</f>
        <v>2.472076495765246E-2</v>
      </c>
      <c r="AQ451" s="652"/>
      <c r="AR451" s="269" t="s">
        <v>117</v>
      </c>
      <c r="AS451" s="458"/>
      <c r="AT451" s="652"/>
      <c r="AU451" s="28"/>
      <c r="AV451" s="28"/>
      <c r="AW451" s="28"/>
      <c r="AX451" s="28"/>
      <c r="AY451" s="28"/>
      <c r="AZ451" s="28"/>
      <c r="BA451" s="28"/>
      <c r="BB451" s="28"/>
      <c r="BC451" s="28"/>
      <c r="BD451" s="28"/>
      <c r="BE451" s="28"/>
      <c r="BF451" s="28"/>
      <c r="BG451" s="28"/>
      <c r="BH451" s="28"/>
    </row>
    <row r="452" spans="1:60" ht="16.5" hidden="1" thickBot="1">
      <c r="A452" s="28"/>
      <c r="B452" s="524"/>
      <c r="C452" s="524"/>
      <c r="D452" s="524"/>
      <c r="E452" s="658"/>
      <c r="F452" s="677"/>
      <c r="G452" s="652"/>
      <c r="H452" s="658"/>
      <c r="I452" s="677"/>
      <c r="J452" s="652"/>
      <c r="K452" s="658"/>
      <c r="L452" s="677"/>
      <c r="M452" s="652"/>
      <c r="N452" s="658"/>
      <c r="O452" s="677"/>
      <c r="P452" s="652"/>
      <c r="Q452" s="658"/>
      <c r="R452" s="677"/>
      <c r="S452" s="652"/>
      <c r="T452" s="658"/>
      <c r="U452" s="677"/>
      <c r="V452" s="652"/>
      <c r="W452" s="658"/>
      <c r="X452" s="677"/>
      <c r="Y452" s="652"/>
      <c r="Z452" s="658"/>
      <c r="AA452" s="677"/>
      <c r="AB452" s="652"/>
      <c r="AC452" s="658"/>
      <c r="AD452" s="677"/>
      <c r="AE452" s="652"/>
      <c r="AF452" s="658"/>
      <c r="AG452" s="677"/>
      <c r="AH452" s="652"/>
      <c r="AI452" s="658"/>
      <c r="AJ452" s="677"/>
      <c r="AK452" s="652"/>
      <c r="AL452" s="658"/>
      <c r="AM452" s="677"/>
      <c r="AN452" s="652"/>
      <c r="AO452" s="658"/>
      <c r="AP452" s="677"/>
      <c r="AQ452" s="652"/>
      <c r="AR452" s="658"/>
      <c r="AS452" s="677"/>
      <c r="AT452" s="652"/>
      <c r="AU452" s="28"/>
      <c r="AV452" s="28"/>
      <c r="AW452" s="28"/>
      <c r="AX452" s="28"/>
      <c r="AY452" s="28"/>
      <c r="AZ452" s="28"/>
      <c r="BA452" s="28"/>
      <c r="BB452" s="28"/>
      <c r="BC452" s="28"/>
      <c r="BD452" s="28"/>
      <c r="BE452" s="28"/>
      <c r="BF452" s="28"/>
      <c r="BG452" s="28"/>
      <c r="BH452" s="28"/>
    </row>
    <row r="453" spans="1:60" ht="16.5" hidden="1" thickBot="1">
      <c r="A453" s="28"/>
      <c r="B453" s="524"/>
      <c r="C453" s="524"/>
      <c r="D453" s="524"/>
      <c r="E453" s="658" t="s">
        <v>127</v>
      </c>
      <c r="F453" s="677"/>
      <c r="G453" s="652"/>
      <c r="H453" s="658" t="s">
        <v>127</v>
      </c>
      <c r="I453" s="677"/>
      <c r="J453" s="652"/>
      <c r="K453" s="658" t="s">
        <v>127</v>
      </c>
      <c r="L453" s="677"/>
      <c r="M453" s="652"/>
      <c r="N453" s="658" t="s">
        <v>127</v>
      </c>
      <c r="O453" s="677"/>
      <c r="P453" s="652"/>
      <c r="Q453" s="658" t="s">
        <v>127</v>
      </c>
      <c r="R453" s="677"/>
      <c r="S453" s="652"/>
      <c r="T453" s="658" t="s">
        <v>127</v>
      </c>
      <c r="U453" s="677"/>
      <c r="V453" s="652"/>
      <c r="W453" s="658" t="s">
        <v>127</v>
      </c>
      <c r="X453" s="677"/>
      <c r="Y453" s="652"/>
      <c r="Z453" s="658" t="s">
        <v>127</v>
      </c>
      <c r="AA453" s="677"/>
      <c r="AB453" s="652"/>
      <c r="AC453" s="658" t="s">
        <v>127</v>
      </c>
      <c r="AD453" s="677"/>
      <c r="AE453" s="652"/>
      <c r="AF453" s="658" t="s">
        <v>127</v>
      </c>
      <c r="AG453" s="677"/>
      <c r="AH453" s="652"/>
      <c r="AI453" s="658" t="s">
        <v>127</v>
      </c>
      <c r="AJ453" s="677"/>
      <c r="AK453" s="652"/>
      <c r="AL453" s="658" t="s">
        <v>127</v>
      </c>
      <c r="AM453" s="677"/>
      <c r="AN453" s="652"/>
      <c r="AO453" s="658" t="s">
        <v>127</v>
      </c>
      <c r="AP453" s="677"/>
      <c r="AQ453" s="652"/>
      <c r="AR453" s="658" t="s">
        <v>127</v>
      </c>
      <c r="AS453" s="677"/>
      <c r="AT453" s="652"/>
      <c r="AU453" s="28"/>
      <c r="AV453" s="28"/>
      <c r="AW453" s="28"/>
      <c r="AX453" s="28"/>
      <c r="AY453" s="28"/>
      <c r="AZ453" s="28"/>
      <c r="BA453" s="28"/>
      <c r="BB453" s="28"/>
      <c r="BC453" s="28"/>
      <c r="BD453" s="28"/>
      <c r="BE453" s="28"/>
      <c r="BF453" s="28"/>
      <c r="BG453" s="28"/>
      <c r="BH453" s="28"/>
    </row>
    <row r="454" spans="1:60" ht="16.5" hidden="1" thickBot="1">
      <c r="A454" s="69"/>
      <c r="B454" s="524"/>
      <c r="C454" s="524"/>
      <c r="D454" s="524"/>
      <c r="E454" s="647" t="s">
        <v>128</v>
      </c>
      <c r="F454" s="702">
        <f>(E418+E419+E420+E421+E422+E423+E425+E426)*0.5</f>
        <v>1118476.2266099758</v>
      </c>
      <c r="G454" s="652"/>
      <c r="H454" s="647" t="s">
        <v>128</v>
      </c>
      <c r="I454" s="702">
        <f>(H418+H419+H420+H421+H422+H423+H425+H426)*0.5</f>
        <v>1091914.0015707079</v>
      </c>
      <c r="J454" s="652"/>
      <c r="K454" s="647" t="s">
        <v>128</v>
      </c>
      <c r="L454" s="702">
        <f>(K418+K419+K420+K421+K422+K423+K425+K426)*0.5</f>
        <v>1068925.0579807493</v>
      </c>
      <c r="M454" s="652"/>
      <c r="N454" s="647" t="s">
        <v>128</v>
      </c>
      <c r="O454" s="702">
        <f>(N418+N419+N420+N421+N422+N423+N425+N426)*0.5</f>
        <v>1047935.1529638302</v>
      </c>
      <c r="P454" s="652"/>
      <c r="Q454" s="647" t="s">
        <v>128</v>
      </c>
      <c r="R454" s="702">
        <f>(Q418+Q419+Q420+Q421+Q422+Q423+Q425+Q426)*0.5</f>
        <v>1028944.2865199512</v>
      </c>
      <c r="S454" s="652"/>
      <c r="T454" s="647" t="s">
        <v>128</v>
      </c>
      <c r="U454" s="702">
        <f>(T418+T419+T420+T421+T422+T423+T425+T426)*0.5</f>
        <v>1011911.4388618867</v>
      </c>
      <c r="V454" s="652"/>
      <c r="W454" s="647" t="s">
        <v>128</v>
      </c>
      <c r="X454" s="702">
        <f>(W418+W419+W420+W421+W422+W423+W425+W426)*0.5</f>
        <v>997568.57114127523</v>
      </c>
      <c r="Y454" s="652"/>
      <c r="Z454" s="647" t="s">
        <v>128</v>
      </c>
      <c r="AA454" s="702">
        <f>(Z418+Z419+Z420+Z421+Z422+Z423+Z425+Z426)*0.5</f>
        <v>984122.2357527524</v>
      </c>
      <c r="AB454" s="652"/>
      <c r="AC454" s="647" t="s">
        <v>128</v>
      </c>
      <c r="AD454" s="702">
        <f>(AC418+AC419+AC420+AC421+AC422+AC423+AC425+AC426)*0.5</f>
        <v>959022.24080729391</v>
      </c>
      <c r="AE454" s="652"/>
      <c r="AF454" s="647" t="s">
        <v>128</v>
      </c>
      <c r="AG454" s="702">
        <f>(AF418+AF419+AF420+AF421+AF422+AF423+AF425+AF426)*0.5</f>
        <v>925854.23253821791</v>
      </c>
      <c r="AH454" s="652"/>
      <c r="AI454" s="647" t="s">
        <v>128</v>
      </c>
      <c r="AJ454" s="702">
        <f>(AI418+AI419+AI420+AI421+AI422+AI423+AI425)*0.5</f>
        <v>892785.99391850887</v>
      </c>
      <c r="AK454" s="652"/>
      <c r="AL454" s="647" t="s">
        <v>128</v>
      </c>
      <c r="AM454" s="702">
        <f>(AL418+AL419+AL420+AL421+AL422+AL423+AL425)*0.5</f>
        <v>875860.99391850887</v>
      </c>
      <c r="AN454" s="652"/>
      <c r="AO454" s="647" t="s">
        <v>128</v>
      </c>
      <c r="AP454" s="702">
        <f>(AO418+AO419+AO420+AO421+AO422+AO423+AO425)*0.5</f>
        <v>857006.84336448996</v>
      </c>
      <c r="AQ454" s="652"/>
      <c r="AR454" s="647" t="s">
        <v>128</v>
      </c>
      <c r="AS454" s="702">
        <f>(AR418+AR419+AR420+AR421+AR422+AR423+AR425)*0.5</f>
        <v>836332.07471882016</v>
      </c>
      <c r="AT454" s="652"/>
      <c r="AU454" s="28"/>
      <c r="AV454" s="28"/>
      <c r="AW454" s="28"/>
      <c r="AX454" s="28"/>
      <c r="AY454" s="28"/>
      <c r="AZ454" s="28"/>
      <c r="BA454" s="28"/>
      <c r="BB454" s="28"/>
      <c r="BC454" s="28"/>
      <c r="BD454" s="28"/>
      <c r="BE454" s="28"/>
      <c r="BF454" s="28"/>
      <c r="BG454" s="28"/>
      <c r="BH454" s="28"/>
    </row>
    <row r="455" spans="1:60" ht="16.5" hidden="1" thickBot="1">
      <c r="A455" s="69"/>
      <c r="B455" s="524"/>
      <c r="C455" s="524"/>
      <c r="D455" s="524"/>
      <c r="E455" s="647" t="s">
        <v>129</v>
      </c>
      <c r="F455" s="677"/>
      <c r="G455" s="652"/>
      <c r="H455" s="647" t="s">
        <v>129</v>
      </c>
      <c r="I455" s="677"/>
      <c r="J455" s="652"/>
      <c r="K455" s="647" t="s">
        <v>129</v>
      </c>
      <c r="L455" s="677"/>
      <c r="M455" s="652"/>
      <c r="N455" s="647" t="s">
        <v>129</v>
      </c>
      <c r="O455" s="677"/>
      <c r="P455" s="652"/>
      <c r="Q455" s="647" t="s">
        <v>129</v>
      </c>
      <c r="R455" s="677"/>
      <c r="S455" s="652"/>
      <c r="T455" s="647" t="s">
        <v>129</v>
      </c>
      <c r="U455" s="677"/>
      <c r="V455" s="652"/>
      <c r="W455" s="647" t="s">
        <v>129</v>
      </c>
      <c r="X455" s="677"/>
      <c r="Y455" s="652"/>
      <c r="Z455" s="647" t="s">
        <v>129</v>
      </c>
      <c r="AA455" s="677"/>
      <c r="AB455" s="652"/>
      <c r="AC455" s="647" t="s">
        <v>129</v>
      </c>
      <c r="AD455" s="677"/>
      <c r="AE455" s="652"/>
      <c r="AF455" s="647" t="s">
        <v>129</v>
      </c>
      <c r="AG455" s="677"/>
      <c r="AH455" s="652"/>
      <c r="AI455" s="647" t="s">
        <v>129</v>
      </c>
      <c r="AJ455" s="677"/>
      <c r="AK455" s="652"/>
      <c r="AL455" s="647" t="s">
        <v>129</v>
      </c>
      <c r="AM455" s="677"/>
      <c r="AN455" s="652"/>
      <c r="AO455" s="647" t="s">
        <v>129</v>
      </c>
      <c r="AP455" s="677"/>
      <c r="AQ455" s="652"/>
      <c r="AR455" s="647" t="s">
        <v>129</v>
      </c>
      <c r="AS455" s="677"/>
      <c r="AT455" s="652"/>
      <c r="AU455" s="28"/>
      <c r="AV455" s="28"/>
      <c r="AW455" s="28"/>
      <c r="AX455" s="28"/>
      <c r="AY455" s="28"/>
      <c r="AZ455" s="28"/>
      <c r="BA455" s="28"/>
      <c r="BB455" s="28"/>
      <c r="BC455" s="28"/>
      <c r="BD455" s="28"/>
      <c r="BE455" s="28"/>
      <c r="BF455" s="28"/>
      <c r="BG455" s="28"/>
      <c r="BH455" s="28"/>
    </row>
    <row r="456" spans="1:60" ht="13.5" hidden="1" thickBot="1">
      <c r="A456" s="69"/>
      <c r="B456" s="524"/>
      <c r="C456" s="524"/>
      <c r="D456" s="524"/>
      <c r="E456" s="524" t="s">
        <v>130</v>
      </c>
      <c r="F456" s="524">
        <f>F454*0.78</f>
        <v>872411.4567557812</v>
      </c>
      <c r="G456" s="652"/>
      <c r="H456" s="524" t="s">
        <v>130</v>
      </c>
      <c r="I456" s="524">
        <f>I454*0.78</f>
        <v>851692.92122515221</v>
      </c>
      <c r="J456" s="652"/>
      <c r="K456" s="524" t="s">
        <v>130</v>
      </c>
      <c r="L456" s="524">
        <f>L454*0.78</f>
        <v>833761.54522498453</v>
      </c>
      <c r="M456" s="652"/>
      <c r="N456" s="524" t="s">
        <v>130</v>
      </c>
      <c r="O456" s="524">
        <f>O454*0.78</f>
        <v>817389.41931178758</v>
      </c>
      <c r="P456" s="652"/>
      <c r="Q456" s="524" t="s">
        <v>130</v>
      </c>
      <c r="R456" s="524">
        <f>R454*0.78</f>
        <v>802576.54348556197</v>
      </c>
      <c r="S456" s="652"/>
      <c r="T456" s="524" t="s">
        <v>130</v>
      </c>
      <c r="U456" s="524">
        <f>U454*0.78</f>
        <v>789290.92231227166</v>
      </c>
      <c r="V456" s="652"/>
      <c r="W456" s="524" t="s">
        <v>130</v>
      </c>
      <c r="X456" s="524">
        <f>X454*0.78</f>
        <v>778103.48549019475</v>
      </c>
      <c r="Y456" s="652"/>
      <c r="Z456" s="524" t="s">
        <v>130</v>
      </c>
      <c r="AA456" s="524">
        <f>AA454*0.78</f>
        <v>767615.34388714691</v>
      </c>
      <c r="AB456" s="652"/>
      <c r="AC456" s="524" t="s">
        <v>130</v>
      </c>
      <c r="AD456" s="524">
        <f>AD454*0.78</f>
        <v>748037.34782968927</v>
      </c>
      <c r="AE456" s="652"/>
      <c r="AF456" s="524" t="s">
        <v>130</v>
      </c>
      <c r="AG456" s="524">
        <f>AG454*0.78</f>
        <v>722166.30137980997</v>
      </c>
      <c r="AH456" s="652"/>
      <c r="AI456" s="524" t="s">
        <v>130</v>
      </c>
      <c r="AJ456" s="524">
        <f>AJ454*0.78</f>
        <v>696373.07525643695</v>
      </c>
      <c r="AK456" s="652"/>
      <c r="AL456" s="524" t="s">
        <v>130</v>
      </c>
      <c r="AM456" s="524">
        <f>AM454*0.78</f>
        <v>683171.57525643695</v>
      </c>
      <c r="AN456" s="652"/>
      <c r="AO456" s="524" t="s">
        <v>130</v>
      </c>
      <c r="AP456" s="524">
        <f>AP454*0.78</f>
        <v>668465.33782430214</v>
      </c>
      <c r="AQ456" s="652"/>
      <c r="AR456" s="524" t="s">
        <v>130</v>
      </c>
      <c r="AS456" s="524">
        <f>AS454*0.78</f>
        <v>652339.01828067971</v>
      </c>
      <c r="AT456" s="652"/>
      <c r="AU456" s="28"/>
      <c r="AV456" s="28"/>
      <c r="AW456" s="28"/>
      <c r="AX456" s="28"/>
      <c r="AY456" s="28"/>
      <c r="AZ456" s="28"/>
      <c r="BA456" s="28"/>
      <c r="BB456" s="28"/>
      <c r="BC456" s="28"/>
      <c r="BD456" s="28"/>
      <c r="BE456" s="28"/>
      <c r="BF456" s="28"/>
      <c r="BG456" s="28"/>
      <c r="BH456" s="28"/>
    </row>
    <row r="457" spans="1:60" ht="13.5" hidden="1" thickBot="1">
      <c r="A457" s="69"/>
      <c r="B457" s="524"/>
      <c r="C457" s="524"/>
      <c r="D457" s="524"/>
      <c r="E457" s="647" t="s">
        <v>131</v>
      </c>
      <c r="F457" s="647"/>
      <c r="G457" s="652"/>
      <c r="H457" s="647" t="s">
        <v>131</v>
      </c>
      <c r="I457" s="647"/>
      <c r="J457" s="652"/>
      <c r="K457" s="647" t="s">
        <v>131</v>
      </c>
      <c r="L457" s="647"/>
      <c r="M457" s="652"/>
      <c r="N457" s="647" t="s">
        <v>131</v>
      </c>
      <c r="O457" s="647"/>
      <c r="P457" s="652"/>
      <c r="Q457" s="647" t="s">
        <v>131</v>
      </c>
      <c r="R457" s="647"/>
      <c r="S457" s="652"/>
      <c r="T457" s="647" t="s">
        <v>131</v>
      </c>
      <c r="U457" s="647"/>
      <c r="V457" s="652"/>
      <c r="W457" s="647" t="s">
        <v>131</v>
      </c>
      <c r="X457" s="647"/>
      <c r="Y457" s="652"/>
      <c r="Z457" s="647" t="s">
        <v>131</v>
      </c>
      <c r="AA457" s="647"/>
      <c r="AB457" s="652"/>
      <c r="AC457" s="647" t="s">
        <v>131</v>
      </c>
      <c r="AD457" s="647"/>
      <c r="AE457" s="652"/>
      <c r="AF457" s="647" t="s">
        <v>131</v>
      </c>
      <c r="AG457" s="647"/>
      <c r="AH457" s="652"/>
      <c r="AI457" s="647" t="s">
        <v>131</v>
      </c>
      <c r="AJ457" s="647"/>
      <c r="AK457" s="652"/>
      <c r="AL457" s="647" t="s">
        <v>131</v>
      </c>
      <c r="AM457" s="647"/>
      <c r="AN457" s="652"/>
      <c r="AO457" s="647" t="s">
        <v>131</v>
      </c>
      <c r="AP457" s="647"/>
      <c r="AQ457" s="652"/>
      <c r="AR457" s="647" t="s">
        <v>131</v>
      </c>
      <c r="AS457" s="647"/>
      <c r="AT457" s="652"/>
      <c r="AU457" s="28"/>
      <c r="AV457" s="28"/>
      <c r="AW457" s="28"/>
      <c r="AX457" s="28"/>
      <c r="AY457" s="28"/>
      <c r="AZ457" s="28"/>
      <c r="BA457" s="28"/>
      <c r="BB457" s="28"/>
      <c r="BC457" s="28"/>
      <c r="BD457" s="28"/>
      <c r="BE457" s="28"/>
      <c r="BF457" s="28"/>
      <c r="BG457" s="28"/>
      <c r="BH457" s="28"/>
    </row>
    <row r="458" spans="1:60" ht="16.5" hidden="1" thickBot="1">
      <c r="A458" s="69"/>
      <c r="B458" s="524"/>
      <c r="C458" s="524"/>
      <c r="D458" s="524"/>
      <c r="E458" s="703">
        <v>502</v>
      </c>
      <c r="F458" s="702">
        <f>-(E418+E419+E422+E420+E421+F434+E423+E425+F454+E426)*0.19</f>
        <v>-637531.44916768617</v>
      </c>
      <c r="G458" s="652"/>
      <c r="H458" s="703">
        <v>502</v>
      </c>
      <c r="I458" s="702">
        <f>-(H418+H419+H422+H420+H421+I434+H423+H425+I454+H426)*0.19</f>
        <v>-622390.98089530342</v>
      </c>
      <c r="J458" s="652"/>
      <c r="K458" s="703">
        <v>502</v>
      </c>
      <c r="L458" s="702">
        <f>-(K418+K419+K422+K420+K421+L434+K423+K425+L454+K426)*0.19</f>
        <v>-609287.28304902709</v>
      </c>
      <c r="M458" s="652"/>
      <c r="N458" s="703">
        <v>502</v>
      </c>
      <c r="O458" s="702">
        <f>-(N418+N419+N422+N420+N421+O434+N423+N425+O454+N426)*0.19</f>
        <v>-597323.03718938318</v>
      </c>
      <c r="P458" s="652"/>
      <c r="Q458" s="703">
        <v>502</v>
      </c>
      <c r="R458" s="702">
        <f>-(Q418+Q419+Q422+Q420+Q421+R434+Q423+Q425+R454+Q426)*0.19</f>
        <v>-586498.24331637216</v>
      </c>
      <c r="S458" s="652"/>
      <c r="T458" s="703">
        <v>502</v>
      </c>
      <c r="U458" s="702">
        <f>-(T418+T419+T422+T420+T421+U434+T423+T425+U454+T426)*0.19</f>
        <v>-576789.52015127544</v>
      </c>
      <c r="V458" s="652"/>
      <c r="W458" s="703">
        <v>502</v>
      </c>
      <c r="X458" s="702">
        <f>-(W418+W419+W422+W420+W421+X434+W423+W425+X454+W426)*0.19</f>
        <v>-568614.08555052686</v>
      </c>
      <c r="Y458" s="652"/>
      <c r="Z458" s="703">
        <v>502</v>
      </c>
      <c r="AA458" s="702">
        <f>-(Z418+Z419+Z422+Z420+Z421+AA434+Z423+Z425+AA454+Z426)*0.19</f>
        <v>-560949.67437906889</v>
      </c>
      <c r="AB458" s="652"/>
      <c r="AC458" s="703">
        <v>502</v>
      </c>
      <c r="AD458" s="702">
        <f>-(AC418+AC419+AC422+AC420+AC421+AD434+AC423+AC425+AD454+AC426)*0.19</f>
        <v>-546642.67726015754</v>
      </c>
      <c r="AE458" s="652"/>
      <c r="AF458" s="703">
        <v>502</v>
      </c>
      <c r="AG458" s="702">
        <f>-(AF418+AF419+AF422+AF420+AF421+AG434+AF423+AF425+AG454+AF426)*0.19</f>
        <v>-527736.91254678427</v>
      </c>
      <c r="AH458" s="652"/>
      <c r="AI458" s="703">
        <v>502</v>
      </c>
      <c r="AJ458" s="702">
        <f>-(AI418+AI419+AI422+AI420+AI421+AJ434+AI423+AI425+AJ454)*0.19</f>
        <v>-508888.01653355011</v>
      </c>
      <c r="AK458" s="652"/>
      <c r="AL458" s="703">
        <v>502</v>
      </c>
      <c r="AM458" s="702">
        <f>-(AL418+AL419+AL422+AL420+AL421+AM434+AL423+AL425+AM454)*0.19</f>
        <v>-499240.76653355011</v>
      </c>
      <c r="AN458" s="652"/>
      <c r="AO458" s="703">
        <v>502</v>
      </c>
      <c r="AP458" s="702">
        <f>-(AO418+AO419+AO422+AO420+AO421+AP434+AO423+AO425+AP454)*0.19</f>
        <v>-488493.90071775921</v>
      </c>
      <c r="AQ458" s="652"/>
      <c r="AR458" s="703">
        <v>502</v>
      </c>
      <c r="AS458" s="702">
        <f>-(AR418+AR419+AR422+AR420+AR421+AS434+AR423+AR425+AS454)*0.19</f>
        <v>-476709.28258972755</v>
      </c>
      <c r="AT458" s="652"/>
      <c r="AU458" s="28"/>
      <c r="AV458" s="28"/>
      <c r="AW458" s="28"/>
      <c r="AX458" s="28"/>
      <c r="AY458" s="28"/>
      <c r="AZ458" s="28"/>
      <c r="BA458" s="28"/>
      <c r="BB458" s="28"/>
      <c r="BC458" s="28"/>
      <c r="BD458" s="28"/>
      <c r="BE458" s="28"/>
      <c r="BF458" s="28"/>
      <c r="BG458" s="28"/>
      <c r="BH458" s="28"/>
    </row>
    <row r="459" spans="1:60" ht="16.5" hidden="1" thickBot="1">
      <c r="A459" s="69"/>
      <c r="B459" s="524"/>
      <c r="C459" s="524"/>
      <c r="D459" s="524"/>
      <c r="E459" s="703">
        <v>505</v>
      </c>
      <c r="F459" s="702">
        <f>-(E418+E419+E422+E420+E421+F434+E423+E425+F454+E426)*0.03</f>
        <v>-100662.86039489781</v>
      </c>
      <c r="G459" s="652"/>
      <c r="H459" s="703">
        <v>505</v>
      </c>
      <c r="I459" s="702">
        <f>-(H418+H419+H422+H420+H421+I434+H423+H425+I454+H426)*0.03</f>
        <v>-98272.260141363702</v>
      </c>
      <c r="J459" s="652"/>
      <c r="K459" s="703">
        <v>505</v>
      </c>
      <c r="L459" s="702">
        <f>-(K418+K419+K422+K420+K421+L434+K423+K425+L454+K426)*0.03</f>
        <v>-96203.255218267426</v>
      </c>
      <c r="M459" s="652"/>
      <c r="N459" s="703">
        <v>505</v>
      </c>
      <c r="O459" s="702">
        <f>-(N418+N419+N422+N420+N421+O434+N423+N425+O454+N426)*0.03</f>
        <v>-94314.163766744707</v>
      </c>
      <c r="P459" s="652"/>
      <c r="Q459" s="703">
        <v>505</v>
      </c>
      <c r="R459" s="702">
        <f>-(Q418+Q419+Q422+Q420+Q421+R434+Q423+Q425+R454+Q426)*0.03</f>
        <v>-92604.985786795602</v>
      </c>
      <c r="S459" s="652"/>
      <c r="T459" s="703">
        <v>505</v>
      </c>
      <c r="U459" s="702">
        <f>-(T418+T419+T422+T420+T421+U434+T423+T425+U454+T426)*0.03</f>
        <v>-91072.029497569791</v>
      </c>
      <c r="V459" s="652"/>
      <c r="W459" s="703">
        <v>505</v>
      </c>
      <c r="X459" s="702">
        <f>-(W418+W419+W422+W420+W421+X434+W423+W425+X454+W426)*0.03</f>
        <v>-89781.171402714768</v>
      </c>
      <c r="Y459" s="652"/>
      <c r="Z459" s="703">
        <v>505</v>
      </c>
      <c r="AA459" s="702">
        <f>-(Z418+Z419+Z422+Z420+Z421+AA434+Z423+Z425+AA454+Z426)*0.03</f>
        <v>-88571.001217747704</v>
      </c>
      <c r="AB459" s="652"/>
      <c r="AC459" s="703">
        <v>505</v>
      </c>
      <c r="AD459" s="702">
        <f>-(AC418+AC419+AC422+AC420+AC421+AD434+AC423+AC425+AD454+AC426)*0.03</f>
        <v>-86312.00167265645</v>
      </c>
      <c r="AE459" s="652"/>
      <c r="AF459" s="703">
        <v>505</v>
      </c>
      <c r="AG459" s="702">
        <f>-(AF418+AF419+AF422+AF420+AF421+AG434+AF423+AF425+AG454+AF426)*0.03</f>
        <v>-83326.880928439612</v>
      </c>
      <c r="AH459" s="652"/>
      <c r="AI459" s="703">
        <v>505</v>
      </c>
      <c r="AJ459" s="702">
        <f>-(AI418+AI419+AI422+AI420+AI421+AJ434+AI423+AI425+AJ454)*0.03</f>
        <v>-80350.739452665803</v>
      </c>
      <c r="AK459" s="652"/>
      <c r="AL459" s="703">
        <v>505</v>
      </c>
      <c r="AM459" s="702">
        <f>-(AL418+AL419+AL422+AL420+AL421+AM434+AL423+AL425+AM454)*0.03</f>
        <v>-78827.489452665803</v>
      </c>
      <c r="AN459" s="652"/>
      <c r="AO459" s="703">
        <v>505</v>
      </c>
      <c r="AP459" s="702">
        <f>-(AO418+AO419+AO422+AO420+AO421+AP434+AO423+AO425+AP454)*0.03</f>
        <v>-77130.615902804086</v>
      </c>
      <c r="AQ459" s="652"/>
      <c r="AR459" s="703">
        <v>505</v>
      </c>
      <c r="AS459" s="702">
        <f>-(AR418+AR419+AR422+AR420+AR421+AS434+AR423+AR425+AS454)*0.03</f>
        <v>-75269.886724693817</v>
      </c>
      <c r="AT459" s="652"/>
      <c r="AU459" s="28"/>
      <c r="AV459" s="28"/>
      <c r="AW459" s="28"/>
      <c r="AX459" s="28"/>
      <c r="AY459" s="28"/>
      <c r="AZ459" s="28"/>
      <c r="BA459" s="28"/>
      <c r="BB459" s="28"/>
      <c r="BC459" s="28"/>
      <c r="BD459" s="28"/>
      <c r="BE459" s="28"/>
      <c r="BF459" s="28"/>
      <c r="BG459" s="28"/>
      <c r="BH459" s="28"/>
    </row>
    <row r="460" spans="1:60" ht="16.5" hidden="1" thickBot="1">
      <c r="A460" s="69"/>
      <c r="B460" s="524"/>
      <c r="C460" s="524"/>
      <c r="D460" s="524"/>
      <c r="E460" s="677"/>
      <c r="F460" s="677"/>
      <c r="G460" s="652"/>
      <c r="H460" s="677"/>
      <c r="I460" s="677"/>
      <c r="J460" s="652"/>
      <c r="K460" s="677"/>
      <c r="L460" s="677"/>
      <c r="M460" s="652"/>
      <c r="N460" s="677"/>
      <c r="O460" s="677"/>
      <c r="P460" s="652"/>
      <c r="Q460" s="677"/>
      <c r="R460" s="677"/>
      <c r="S460" s="652"/>
      <c r="T460" s="677"/>
      <c r="U460" s="677"/>
      <c r="V460" s="652"/>
      <c r="W460" s="677"/>
      <c r="X460" s="677"/>
      <c r="Y460" s="652"/>
      <c r="Z460" s="677"/>
      <c r="AA460" s="677"/>
      <c r="AB460" s="652"/>
      <c r="AC460" s="677"/>
      <c r="AD460" s="677"/>
      <c r="AE460" s="652"/>
      <c r="AF460" s="677"/>
      <c r="AG460" s="677"/>
      <c r="AH460" s="652"/>
      <c r="AI460" s="677"/>
      <c r="AJ460" s="677"/>
      <c r="AK460" s="652"/>
      <c r="AL460" s="677"/>
      <c r="AM460" s="677"/>
      <c r="AN460" s="652"/>
      <c r="AO460" s="677"/>
      <c r="AP460" s="677"/>
      <c r="AQ460" s="652"/>
      <c r="AR460" s="677"/>
      <c r="AS460" s="677"/>
      <c r="AT460" s="652"/>
      <c r="AU460" s="28"/>
      <c r="AV460" s="28"/>
      <c r="AW460" s="28"/>
      <c r="AX460" s="28"/>
      <c r="AY460" s="28"/>
      <c r="AZ460" s="28"/>
      <c r="BA460" s="28"/>
      <c r="BB460" s="28"/>
      <c r="BC460" s="28"/>
      <c r="BD460" s="28"/>
      <c r="BE460" s="28"/>
      <c r="BF460" s="28"/>
      <c r="BG460" s="28"/>
      <c r="BH460" s="28"/>
    </row>
    <row r="461" spans="1:60" hidden="1" thickBot="1">
      <c r="A461" s="69"/>
      <c r="B461" s="524"/>
      <c r="C461" s="524"/>
      <c r="D461" s="524"/>
      <c r="E461" s="704" t="s">
        <v>132</v>
      </c>
      <c r="F461" s="704"/>
      <c r="G461" s="652"/>
      <c r="H461" s="704" t="s">
        <v>132</v>
      </c>
      <c r="I461" s="704"/>
      <c r="J461" s="652"/>
      <c r="K461" s="704" t="s">
        <v>132</v>
      </c>
      <c r="L461" s="704"/>
      <c r="M461" s="652"/>
      <c r="N461" s="704" t="s">
        <v>132</v>
      </c>
      <c r="O461" s="704"/>
      <c r="P461" s="652"/>
      <c r="Q461" s="704" t="s">
        <v>132</v>
      </c>
      <c r="R461" s="704"/>
      <c r="S461" s="652"/>
      <c r="T461" s="704" t="s">
        <v>132</v>
      </c>
      <c r="U461" s="704"/>
      <c r="V461" s="652"/>
      <c r="W461" s="704" t="s">
        <v>132</v>
      </c>
      <c r="X461" s="704"/>
      <c r="Y461" s="652"/>
      <c r="Z461" s="704" t="s">
        <v>132</v>
      </c>
      <c r="AA461" s="704"/>
      <c r="AB461" s="652"/>
      <c r="AC461" s="704" t="s">
        <v>132</v>
      </c>
      <c r="AD461" s="704"/>
      <c r="AE461" s="652"/>
      <c r="AF461" s="704" t="s">
        <v>132</v>
      </c>
      <c r="AG461" s="704"/>
      <c r="AH461" s="652"/>
      <c r="AI461" s="704" t="s">
        <v>132</v>
      </c>
      <c r="AJ461" s="704"/>
      <c r="AK461" s="652"/>
      <c r="AL461" s="704" t="s">
        <v>132</v>
      </c>
      <c r="AM461" s="704"/>
      <c r="AN461" s="652"/>
      <c r="AO461" s="704" t="s">
        <v>132</v>
      </c>
      <c r="AP461" s="704"/>
      <c r="AQ461" s="652"/>
      <c r="AR461" s="704" t="s">
        <v>132</v>
      </c>
      <c r="AS461" s="704"/>
      <c r="AT461" s="652"/>
      <c r="AU461" s="28"/>
      <c r="AV461" s="28"/>
      <c r="AW461" s="28"/>
      <c r="AX461" s="28"/>
      <c r="AY461" s="28"/>
      <c r="AZ461" s="28"/>
      <c r="BA461" s="28"/>
      <c r="BB461" s="28"/>
      <c r="BC461" s="28"/>
      <c r="BD461" s="28"/>
      <c r="BE461" s="28"/>
      <c r="BF461" s="28"/>
      <c r="BG461" s="28"/>
      <c r="BH461" s="28"/>
    </row>
    <row r="462" spans="1:60" ht="16.5" hidden="1" thickBot="1">
      <c r="A462" s="69"/>
      <c r="B462" s="524"/>
      <c r="C462" s="524"/>
      <c r="D462" s="524"/>
      <c r="E462" s="704"/>
      <c r="F462" s="677">
        <f>E433+F454+F455+F458+F459</f>
        <v>2745646.3683190229</v>
      </c>
      <c r="G462" s="652"/>
      <c r="H462" s="704"/>
      <c r="I462" s="677">
        <f>H433+I454+I455+I458+I459</f>
        <v>2683490.7617271361</v>
      </c>
      <c r="J462" s="652"/>
      <c r="K462" s="704"/>
      <c r="L462" s="677">
        <f>K433+L454+L455+L458+L459</f>
        <v>2629696.6337266332</v>
      </c>
      <c r="M462" s="652"/>
      <c r="N462" s="704"/>
      <c r="O462" s="677">
        <f>N433+O454+O455+O458+O459</f>
        <v>2580580.2559870426</v>
      </c>
      <c r="P462" s="652"/>
      <c r="Q462" s="704"/>
      <c r="R462" s="677">
        <f>Q433+R454+R455+R458+R459</f>
        <v>2536141.6285083657</v>
      </c>
      <c r="S462" s="652"/>
      <c r="T462" s="704"/>
      <c r="U462" s="677">
        <f>T433+U454+U455+U458+U459</f>
        <v>2496284.7649884946</v>
      </c>
      <c r="V462" s="652"/>
      <c r="W462" s="704"/>
      <c r="X462" s="677">
        <f>W433+X454+X455+X458+X459</f>
        <v>2462722.4545222637</v>
      </c>
      <c r="Y462" s="652"/>
      <c r="Z462" s="704"/>
      <c r="AA462" s="677">
        <f>Z433+AA454+AA455+AA458+AA459</f>
        <v>2431258.0297131208</v>
      </c>
      <c r="AB462" s="652"/>
      <c r="AC462" s="704"/>
      <c r="AD462" s="677">
        <f>AC433+AD454+AD455+AD458+AD459</f>
        <v>2372524.041540748</v>
      </c>
      <c r="AE462" s="652"/>
      <c r="AF462" s="704"/>
      <c r="AG462" s="677">
        <f>AF433+AG454+AG455+AG458+AG459</f>
        <v>2294910.90219111</v>
      </c>
      <c r="AH462" s="652"/>
      <c r="AI462" s="704"/>
      <c r="AJ462" s="677">
        <f>AI433+AJ454+AJ455+AJ458+AJ459</f>
        <v>2242531.2238209909</v>
      </c>
      <c r="AK462" s="652"/>
      <c r="AL462" s="704"/>
      <c r="AM462" s="677">
        <f>AL433+AM454+AM455+AM458+AM459</f>
        <v>2165514.7240093108</v>
      </c>
      <c r="AN462" s="652"/>
      <c r="AO462" s="704"/>
      <c r="AP462" s="677">
        <f>AO433+AP454+AP455+AP458+AP459</f>
        <v>2121396.0117129064</v>
      </c>
      <c r="AQ462" s="652"/>
      <c r="AR462" s="704"/>
      <c r="AS462" s="677">
        <f>AR433+AS454+AS455+AS458+AS459</f>
        <v>2073017.0530820391</v>
      </c>
      <c r="AT462" s="652"/>
      <c r="AU462" s="28"/>
      <c r="AV462" s="28"/>
      <c r="AW462" s="28"/>
      <c r="AX462" s="28"/>
      <c r="AY462" s="28"/>
      <c r="AZ462" s="28"/>
      <c r="BA462" s="28"/>
      <c r="BB462" s="28"/>
      <c r="BC462" s="28"/>
      <c r="BD462" s="28"/>
      <c r="BE462" s="28"/>
      <c r="BF462" s="28"/>
      <c r="BG462" s="28"/>
      <c r="BH462" s="28"/>
    </row>
    <row r="463" spans="1:60" ht="16.5" hidden="1" thickBot="1">
      <c r="A463" s="69"/>
      <c r="B463" s="524"/>
      <c r="C463" s="524"/>
      <c r="D463" s="524"/>
      <c r="E463" s="705" t="s">
        <v>133</v>
      </c>
      <c r="F463" s="705"/>
      <c r="G463" s="652"/>
      <c r="H463" s="705" t="s">
        <v>133</v>
      </c>
      <c r="I463" s="705"/>
      <c r="J463" s="652"/>
      <c r="K463" s="705" t="s">
        <v>133</v>
      </c>
      <c r="L463" s="705"/>
      <c r="M463" s="652"/>
      <c r="N463" s="705" t="s">
        <v>133</v>
      </c>
      <c r="O463" s="705"/>
      <c r="P463" s="652"/>
      <c r="Q463" s="705" t="s">
        <v>133</v>
      </c>
      <c r="R463" s="705"/>
      <c r="S463" s="652"/>
      <c r="T463" s="705" t="s">
        <v>133</v>
      </c>
      <c r="U463" s="705"/>
      <c r="V463" s="652"/>
      <c r="W463" s="705" t="s">
        <v>133</v>
      </c>
      <c r="X463" s="705"/>
      <c r="Y463" s="652"/>
      <c r="Z463" s="705" t="s">
        <v>133</v>
      </c>
      <c r="AA463" s="705"/>
      <c r="AB463" s="652"/>
      <c r="AC463" s="705" t="s">
        <v>133</v>
      </c>
      <c r="AD463" s="705"/>
      <c r="AE463" s="652"/>
      <c r="AF463" s="705" t="s">
        <v>133</v>
      </c>
      <c r="AG463" s="705"/>
      <c r="AH463" s="652"/>
      <c r="AI463" s="705" t="s">
        <v>133</v>
      </c>
      <c r="AJ463" s="705"/>
      <c r="AK463" s="652"/>
      <c r="AL463" s="705" t="s">
        <v>133</v>
      </c>
      <c r="AM463" s="705"/>
      <c r="AN463" s="652"/>
      <c r="AO463" s="705" t="s">
        <v>133</v>
      </c>
      <c r="AP463" s="705"/>
      <c r="AQ463" s="652"/>
      <c r="AR463" s="705" t="s">
        <v>133</v>
      </c>
      <c r="AS463" s="705"/>
      <c r="AT463" s="652"/>
      <c r="AU463" s="28"/>
      <c r="AV463" s="28"/>
      <c r="AW463" s="28"/>
      <c r="AX463" s="28"/>
      <c r="AY463" s="28"/>
      <c r="AZ463" s="28"/>
      <c r="BA463" s="28"/>
      <c r="BB463" s="28"/>
      <c r="BC463" s="28"/>
      <c r="BD463" s="28"/>
      <c r="BE463" s="28"/>
      <c r="BF463" s="28"/>
      <c r="BG463" s="28"/>
      <c r="BH463" s="28"/>
    </row>
    <row r="464" spans="1:60" ht="18.75" hidden="1" thickBot="1">
      <c r="A464" s="69"/>
      <c r="B464" s="524"/>
      <c r="C464" s="524"/>
      <c r="D464" s="524"/>
      <c r="E464" s="524"/>
      <c r="F464" s="706">
        <f>F462-F441+F437</f>
        <v>872411.45675578108</v>
      </c>
      <c r="G464" s="707"/>
      <c r="H464" s="524"/>
      <c r="I464" s="706">
        <f>I462-I441+I437</f>
        <v>851692.92122515198</v>
      </c>
      <c r="J464" s="707"/>
      <c r="K464" s="524"/>
      <c r="L464" s="706">
        <f>L462-L441+L437</f>
        <v>833761.54522498464</v>
      </c>
      <c r="M464" s="707"/>
      <c r="N464" s="524"/>
      <c r="O464" s="706">
        <f>O462-O441+O437</f>
        <v>817389.41931178793</v>
      </c>
      <c r="P464" s="707"/>
      <c r="Q464" s="524"/>
      <c r="R464" s="706">
        <f>R462-R441+R437</f>
        <v>802576.54348556232</v>
      </c>
      <c r="S464" s="707"/>
      <c r="T464" s="524"/>
      <c r="U464" s="706">
        <f>U462-U441+U437</f>
        <v>789290.92231227155</v>
      </c>
      <c r="V464" s="707"/>
      <c r="W464" s="524"/>
      <c r="X464" s="706">
        <f>X462-X441+X437</f>
        <v>778103.48549019452</v>
      </c>
      <c r="Y464" s="707"/>
      <c r="Z464" s="524"/>
      <c r="AA464" s="706">
        <f>AA462-AA441+AA437</f>
        <v>767615.34388714703</v>
      </c>
      <c r="AB464" s="707"/>
      <c r="AC464" s="524"/>
      <c r="AD464" s="706">
        <f>AD462-AD441+AD437</f>
        <v>748037.34782968927</v>
      </c>
      <c r="AE464" s="707"/>
      <c r="AF464" s="524"/>
      <c r="AG464" s="706">
        <f>AG462-AG441+AG437</f>
        <v>722166.30137980985</v>
      </c>
      <c r="AH464" s="707"/>
      <c r="AI464" s="524"/>
      <c r="AJ464" s="706">
        <f>AJ462-AJ441+AJ437</f>
        <v>701873.07525643683</v>
      </c>
      <c r="AK464" s="707"/>
      <c r="AL464" s="524"/>
      <c r="AM464" s="706">
        <f>AM462-AM441+AM437</f>
        <v>683171.57525643706</v>
      </c>
      <c r="AN464" s="707"/>
      <c r="AO464" s="524"/>
      <c r="AP464" s="706">
        <f>AP462-AP441+AP437</f>
        <v>668465.33782430226</v>
      </c>
      <c r="AQ464" s="707"/>
      <c r="AR464" s="524"/>
      <c r="AS464" s="706">
        <f>AS462-AS441+AS437</f>
        <v>652339.01828067983</v>
      </c>
      <c r="AT464" s="707"/>
      <c r="AU464" s="28"/>
      <c r="AV464" s="28"/>
      <c r="AW464" s="28"/>
      <c r="AX464" s="28"/>
      <c r="AY464" s="28"/>
      <c r="AZ464" s="28"/>
      <c r="BA464" s="28"/>
      <c r="BB464" s="28"/>
      <c r="BC464" s="28"/>
      <c r="BD464" s="28"/>
      <c r="BE464" s="28"/>
      <c r="BF464" s="28"/>
      <c r="BG464" s="28"/>
      <c r="BH464" s="28"/>
    </row>
    <row r="465" spans="1:72" ht="13.5" hidden="1" thickBot="1">
      <c r="A465" s="69"/>
      <c r="B465" s="524"/>
      <c r="C465" s="524"/>
      <c r="D465" s="524"/>
      <c r="E465" s="524"/>
      <c r="F465" s="524"/>
      <c r="G465" s="652"/>
      <c r="H465" s="524"/>
      <c r="I465" s="524"/>
      <c r="J465" s="652"/>
      <c r="K465" s="524"/>
      <c r="L465" s="524"/>
      <c r="M465" s="652"/>
      <c r="N465" s="524"/>
      <c r="O465" s="524"/>
      <c r="P465" s="652"/>
      <c r="Q465" s="524"/>
      <c r="R465" s="524"/>
      <c r="S465" s="652"/>
      <c r="T465" s="524"/>
      <c r="U465" s="524"/>
      <c r="V465" s="652"/>
      <c r="W465" s="524"/>
      <c r="X465" s="524"/>
      <c r="Y465" s="652"/>
      <c r="Z465" s="524"/>
      <c r="AA465" s="524"/>
      <c r="AB465" s="652"/>
      <c r="AC465" s="524"/>
      <c r="AD465" s="524"/>
      <c r="AE465" s="652"/>
      <c r="AF465" s="524"/>
      <c r="AG465" s="524"/>
      <c r="AH465" s="652"/>
      <c r="AI465" s="524"/>
      <c r="AJ465" s="524"/>
      <c r="AK465" s="652"/>
      <c r="AL465" s="524"/>
      <c r="AM465" s="524"/>
      <c r="AN465" s="652"/>
      <c r="AO465" s="524"/>
      <c r="AP465" s="524"/>
      <c r="AQ465" s="652"/>
      <c r="AR465" s="524"/>
      <c r="AS465" s="524"/>
      <c r="AT465" s="652"/>
      <c r="AU465" s="28"/>
      <c r="AV465" s="28"/>
      <c r="AW465" s="28"/>
      <c r="AX465" s="28"/>
      <c r="AY465" s="28"/>
      <c r="AZ465" s="28"/>
      <c r="BA465" s="28"/>
      <c r="BB465" s="28"/>
      <c r="BC465" s="28"/>
      <c r="BD465" s="28"/>
      <c r="BE465" s="28"/>
      <c r="BF465" s="28"/>
      <c r="BG465" s="28"/>
      <c r="BH465" s="28"/>
    </row>
    <row r="466" spans="1:72" ht="18">
      <c r="A466" s="708" t="s">
        <v>155</v>
      </c>
      <c r="B466" s="28"/>
      <c r="C466" s="28"/>
      <c r="D466" s="28"/>
      <c r="E466" s="21">
        <v>45992</v>
      </c>
      <c r="F466" s="22">
        <f>(1+Aumentodic25respene25)*(1+Aumentoene25respdic24)-1</f>
        <v>0.29963870703408513</v>
      </c>
      <c r="G466" s="20"/>
      <c r="H466" s="21">
        <v>45962</v>
      </c>
      <c r="I466" s="22">
        <f>(1+Aumentonov25respene25)*(1+Aumentoene25respdic24)-1</f>
        <v>0.26794020198447344</v>
      </c>
      <c r="J466" s="20"/>
      <c r="K466" s="21">
        <v>45931</v>
      </c>
      <c r="L466" s="22" cm="1">
        <f t="array" ref="L466">(1+Aumentooct25respene25)*(1+Aumentoene25respdic24)-1</f>
        <v>0.24050593609017179</v>
      </c>
      <c r="M466" s="20"/>
      <c r="N466" s="21">
        <v>45901</v>
      </c>
      <c r="O466" s="22" cm="1">
        <f t="array" ref="O466">(1+Aumentosep25respene25)*(1+Aumentoene25respdic24)-1</f>
        <v>0.21545725853450493</v>
      </c>
      <c r="P466" s="20"/>
      <c r="Q466" s="21">
        <v>45870</v>
      </c>
      <c r="R466" s="22" cm="1">
        <f t="array" ref="R466">(1+Aumentoago25respene25)*(1+Aumentoene25respdic24)-1</f>
        <v>0.19279416931747306</v>
      </c>
      <c r="S466" s="20"/>
      <c r="T466" s="21">
        <v>45839</v>
      </c>
      <c r="U466" s="22">
        <f>(1+Aumentojul25respene25)*(1+Aumentoene25respdic24)-1</f>
        <v>0.17246852876408125</v>
      </c>
      <c r="V466" s="20"/>
      <c r="W466" s="21">
        <v>45809</v>
      </c>
      <c r="X466" s="22">
        <f>(1+Aumentojun25respene25)*(1+Aumentoene25respdic24)-1</f>
        <v>0.15535219987701421</v>
      </c>
      <c r="Y466" s="20"/>
      <c r="Z466" s="21">
        <v>45778</v>
      </c>
      <c r="AA466" s="22" cm="1">
        <f t="array" ref="AA466">(1+Aumentomay25respene25)*(1+Aumentoene25respdic24)-1</f>
        <v>0.13930564154538927</v>
      </c>
      <c r="AB466" s="20"/>
      <c r="AC466" s="21">
        <v>45748</v>
      </c>
      <c r="AD466" s="22">
        <f>(1+Aumentoabr25respene25)*(1+Aumentoene25respdic24)-1</f>
        <v>0.10935206599302227</v>
      </c>
      <c r="AE466" s="20"/>
      <c r="AF466" s="21">
        <v>45717</v>
      </c>
      <c r="AG466" s="22">
        <f>(1+Aumentomar25respene25)*(1+Aumentoene25respdic24)-1</f>
        <v>6.9770555441680093E-2</v>
      </c>
      <c r="AH466" s="20"/>
      <c r="AI466" s="787" t="s">
        <v>201</v>
      </c>
      <c r="AJ466" s="20"/>
      <c r="AK466" s="20"/>
      <c r="AL466" s="21" t="s">
        <v>200</v>
      </c>
      <c r="AM466" s="22">
        <f>(1+Aumentofeb25respene25)*(1+Aumentoene25respdic24)-1</f>
        <v>4.522515072791311E-2</v>
      </c>
      <c r="AN466" s="20"/>
      <c r="AO466" s="21">
        <v>45658</v>
      </c>
      <c r="AP466" s="22">
        <v>2.2725196406967674E-2</v>
      </c>
      <c r="AQ466" s="20"/>
      <c r="AR466" s="728">
        <v>45627</v>
      </c>
      <c r="AS466" s="729">
        <f>Aumentodic24</f>
        <v>1.1820279278367574</v>
      </c>
      <c r="AT466" s="28"/>
      <c r="AU466" s="28"/>
      <c r="AV466" s="28"/>
      <c r="AW466" s="28"/>
      <c r="AX466" s="28"/>
      <c r="AY466" s="28"/>
      <c r="AZ466" s="28"/>
      <c r="BA466" s="28"/>
      <c r="BB466" s="28"/>
      <c r="BC466" s="28"/>
      <c r="BD466" s="28"/>
      <c r="BE466" s="28"/>
      <c r="BF466" s="28"/>
      <c r="BG466" s="28"/>
      <c r="BH466" s="28"/>
      <c r="BI466" s="28"/>
      <c r="BJ466" s="28"/>
      <c r="BK466" s="28"/>
      <c r="BL466" s="28"/>
      <c r="BM466" s="28"/>
      <c r="BN466" s="28"/>
      <c r="BO466" s="28"/>
      <c r="BP466" s="28"/>
      <c r="BQ466" s="28"/>
      <c r="BR466" s="28"/>
      <c r="BS466" s="28"/>
      <c r="BT466" s="28"/>
    </row>
    <row r="467" spans="1:72" ht="15">
      <c r="A467" s="976" t="s">
        <v>156</v>
      </c>
      <c r="B467" s="977"/>
      <c r="C467" s="709"/>
      <c r="D467" s="710"/>
      <c r="E467" s="711"/>
      <c r="F467" s="711"/>
      <c r="G467" s="711"/>
      <c r="H467" s="711"/>
      <c r="I467" s="711"/>
      <c r="J467" s="711"/>
      <c r="K467" s="711"/>
      <c r="L467" s="711"/>
      <c r="M467" s="711"/>
      <c r="N467" s="711"/>
      <c r="O467" s="711"/>
      <c r="P467" s="711"/>
      <c r="Q467" s="711"/>
      <c r="R467" s="711"/>
      <c r="S467" s="711"/>
      <c r="T467" s="711"/>
      <c r="U467" s="711"/>
      <c r="V467" s="711"/>
      <c r="W467" s="711"/>
      <c r="X467" s="711"/>
      <c r="Y467" s="711"/>
      <c r="Z467" s="711"/>
      <c r="AA467" s="711"/>
      <c r="AB467" s="711"/>
      <c r="AC467" s="711"/>
      <c r="AD467" s="711"/>
      <c r="AE467" s="711"/>
      <c r="AF467" s="711"/>
      <c r="AG467" s="711"/>
      <c r="AH467" s="711"/>
      <c r="AI467" s="711"/>
      <c r="AJ467" s="711"/>
      <c r="AK467" s="711"/>
      <c r="AL467" s="711"/>
      <c r="AM467" s="711"/>
      <c r="AN467" s="711"/>
      <c r="AO467" s="28"/>
      <c r="AP467" s="28"/>
      <c r="AQ467" s="28"/>
      <c r="AR467" s="28"/>
      <c r="AS467" s="28"/>
      <c r="AT467" s="28"/>
      <c r="AU467" s="28"/>
      <c r="AV467" s="28"/>
    </row>
    <row r="468" spans="1:72" ht="15">
      <c r="A468" s="967" t="s">
        <v>157</v>
      </c>
      <c r="B468" s="946"/>
      <c r="C468" s="946"/>
      <c r="D468" s="152"/>
      <c r="E468" s="152"/>
      <c r="F468" s="152"/>
      <c r="G468" s="152"/>
      <c r="H468" s="152"/>
      <c r="I468" s="152"/>
      <c r="J468" s="152"/>
      <c r="K468" s="152"/>
      <c r="L468" s="152"/>
      <c r="M468" s="152"/>
      <c r="N468" s="152"/>
      <c r="O468" s="152"/>
      <c r="P468" s="152"/>
      <c r="Q468" s="152"/>
      <c r="R468" s="152"/>
      <c r="S468" s="152"/>
      <c r="T468" s="152"/>
      <c r="U468" s="152"/>
      <c r="V468" s="152"/>
      <c r="W468" s="152"/>
      <c r="X468" s="152"/>
      <c r="Y468" s="152"/>
      <c r="Z468" s="28"/>
      <c r="AA468" s="28"/>
      <c r="AB468" s="28"/>
      <c r="AC468" s="28"/>
      <c r="AD468" s="28"/>
      <c r="AE468" s="28"/>
      <c r="AF468" s="28"/>
      <c r="AG468" s="28"/>
      <c r="AH468" s="28"/>
      <c r="AI468" s="28"/>
      <c r="AJ468" s="28"/>
    </row>
    <row r="469" spans="1:72" ht="18">
      <c r="A469" s="968" t="s">
        <v>158</v>
      </c>
      <c r="B469" s="969"/>
      <c r="C469" s="969"/>
      <c r="D469" s="152"/>
      <c r="E469" s="152"/>
      <c r="F469" s="152"/>
      <c r="G469" s="152"/>
      <c r="H469" s="152"/>
      <c r="I469" s="152"/>
      <c r="J469" s="152"/>
      <c r="K469" s="152"/>
      <c r="L469" s="152"/>
      <c r="M469" s="152"/>
      <c r="N469" s="152"/>
      <c r="O469" s="152"/>
      <c r="P469" s="152"/>
      <c r="Q469" s="152"/>
      <c r="R469" s="152"/>
      <c r="S469" s="152"/>
      <c r="T469" s="152"/>
      <c r="U469" s="152"/>
      <c r="V469" s="152"/>
      <c r="W469" s="152"/>
      <c r="X469" s="152"/>
      <c r="Y469" s="152"/>
      <c r="Z469" s="28"/>
      <c r="AA469" s="28"/>
      <c r="AB469" s="28"/>
      <c r="AC469" s="28"/>
      <c r="AD469" s="28"/>
      <c r="AE469" s="28"/>
      <c r="AF469" s="28"/>
      <c r="AG469" s="28"/>
      <c r="AH469" s="28"/>
      <c r="AI469" s="28"/>
      <c r="AJ469" s="28"/>
    </row>
    <row r="470" spans="1:72" ht="15">
      <c r="A470" s="970" t="s">
        <v>159</v>
      </c>
      <c r="B470" s="971"/>
      <c r="C470" s="971"/>
      <c r="D470" s="712"/>
      <c r="E470" s="711"/>
      <c r="F470" s="711"/>
      <c r="G470" s="711"/>
      <c r="H470" s="711"/>
      <c r="I470" s="711"/>
      <c r="J470" s="711"/>
      <c r="K470" s="711"/>
      <c r="L470" s="711"/>
      <c r="M470" s="711"/>
      <c r="N470" s="711"/>
      <c r="O470" s="711"/>
      <c r="P470" s="711"/>
      <c r="Q470" s="711"/>
      <c r="R470" s="711"/>
      <c r="S470" s="711"/>
      <c r="T470" s="711"/>
      <c r="U470" s="711"/>
      <c r="V470" s="711"/>
      <c r="W470" s="28"/>
      <c r="X470" s="28"/>
      <c r="Y470" s="28"/>
      <c r="Z470" s="28"/>
      <c r="AA470" s="28"/>
      <c r="AB470" s="28"/>
      <c r="AC470" s="28"/>
      <c r="AD470" s="28"/>
      <c r="AE470" s="28"/>
      <c r="AF470" s="28"/>
      <c r="AG470" s="28"/>
    </row>
    <row r="471" spans="1:72" ht="15">
      <c r="A471" s="972" t="s">
        <v>160</v>
      </c>
      <c r="B471" s="946"/>
      <c r="C471" s="946"/>
      <c r="D471" s="152"/>
      <c r="E471" s="152"/>
      <c r="F471" s="152"/>
      <c r="G471" s="152"/>
      <c r="H471" s="152"/>
      <c r="I471" s="152"/>
      <c r="J471" s="152"/>
      <c r="K471" s="152"/>
      <c r="L471" s="152"/>
      <c r="M471" s="152"/>
      <c r="N471" s="152"/>
      <c r="O471" s="152"/>
      <c r="P471" s="152"/>
      <c r="Q471" s="152"/>
      <c r="R471" s="152"/>
      <c r="S471" s="152"/>
      <c r="T471" s="152"/>
      <c r="U471" s="152"/>
      <c r="V471" s="152"/>
      <c r="W471" s="28"/>
      <c r="X471" s="28"/>
      <c r="Y471" s="28"/>
      <c r="Z471" s="28"/>
      <c r="AA471" s="28"/>
      <c r="AB471" s="28"/>
      <c r="AC471" s="28"/>
      <c r="AD471" s="28"/>
      <c r="AE471" s="28"/>
      <c r="AF471" s="28"/>
      <c r="AG471" s="28"/>
    </row>
    <row r="472" spans="1:72" ht="12.75">
      <c r="A472" s="713" t="s">
        <v>161</v>
      </c>
      <c r="B472" s="28"/>
      <c r="C472" s="28"/>
      <c r="D472" s="28"/>
      <c r="E472" s="28"/>
      <c r="F472" s="28"/>
      <c r="G472" s="28"/>
      <c r="H472" s="28"/>
      <c r="I472" s="28"/>
      <c r="J472" s="28"/>
    </row>
    <row r="473" spans="1:72" ht="12.75">
      <c r="A473" s="28"/>
      <c r="B473" s="28"/>
      <c r="C473" s="28"/>
      <c r="D473" s="28"/>
      <c r="E473" s="28"/>
      <c r="F473" s="28"/>
      <c r="G473" s="28"/>
      <c r="H473" s="28"/>
      <c r="I473" s="28"/>
      <c r="J473" s="28"/>
    </row>
    <row r="474" spans="1:72">
      <c r="A474" s="28"/>
      <c r="B474" s="28"/>
      <c r="C474" s="69"/>
      <c r="D474" s="77"/>
      <c r="E474" s="77"/>
      <c r="F474" s="77"/>
      <c r="G474" s="77"/>
      <c r="H474" s="77"/>
      <c r="I474" s="77"/>
      <c r="J474" s="77"/>
    </row>
    <row r="475" spans="1:72" ht="12.75">
      <c r="A475" s="28"/>
      <c r="B475" s="28"/>
      <c r="C475" s="28"/>
      <c r="D475" s="28"/>
      <c r="E475" s="28"/>
      <c r="F475" s="28"/>
      <c r="G475" s="28"/>
      <c r="H475" s="28"/>
      <c r="I475" s="28"/>
      <c r="J475" s="28"/>
    </row>
    <row r="476" spans="1:72">
      <c r="A476" s="28"/>
      <c r="B476" s="28"/>
      <c r="C476" s="69"/>
      <c r="D476" s="77"/>
      <c r="E476" s="77"/>
      <c r="F476" s="77"/>
      <c r="G476" s="77"/>
      <c r="H476" s="77"/>
      <c r="I476" s="77"/>
      <c r="J476" s="77"/>
    </row>
    <row r="477" spans="1:72" ht="18">
      <c r="A477" s="28"/>
      <c r="B477" s="714"/>
      <c r="C477" s="28"/>
      <c r="D477" s="99"/>
      <c r="E477" s="106"/>
      <c r="F477" s="106"/>
      <c r="G477" s="36"/>
      <c r="H477" s="28"/>
      <c r="I477" s="28"/>
      <c r="J477" s="28"/>
    </row>
    <row r="478" spans="1:72" ht="12.75">
      <c r="A478" s="28"/>
      <c r="B478" s="33"/>
      <c r="C478" s="28"/>
      <c r="D478" s="28"/>
      <c r="E478" s="28"/>
      <c r="F478" s="28"/>
      <c r="G478" s="28"/>
      <c r="H478" s="28"/>
      <c r="I478" s="28"/>
      <c r="J478" s="28"/>
      <c r="K478" s="28"/>
      <c r="L478" s="28"/>
      <c r="M478" s="28"/>
      <c r="N478" s="28"/>
      <c r="O478" s="28"/>
      <c r="P478" s="28"/>
      <c r="Q478" s="28"/>
      <c r="R478" s="28"/>
      <c r="S478" s="28"/>
      <c r="T478" s="28"/>
      <c r="U478" s="28"/>
      <c r="V478" s="28"/>
      <c r="W478" s="28"/>
      <c r="X478" s="28"/>
      <c r="Y478" s="28"/>
      <c r="Z478" s="28"/>
      <c r="AA478" s="28"/>
      <c r="AB478" s="28"/>
      <c r="AC478" s="28"/>
      <c r="AD478" s="28"/>
      <c r="AE478" s="28"/>
      <c r="AF478" s="28"/>
      <c r="AG478" s="28"/>
      <c r="AH478" s="28"/>
      <c r="AI478" s="28"/>
      <c r="AJ478" s="28"/>
      <c r="AK478" s="28"/>
      <c r="AL478" s="28"/>
      <c r="AM478" s="28"/>
      <c r="AN478" s="28"/>
      <c r="AO478" s="28"/>
      <c r="AP478" s="28"/>
      <c r="AQ478" s="28"/>
      <c r="AR478" s="28"/>
      <c r="AS478" s="28"/>
      <c r="AT478" s="28"/>
    </row>
  </sheetData>
  <sheetProtection algorithmName="SHA-512" hashValue="Gon5q/Lvw40vCBTBq0lxgp8oTumwUycHcU/Ve4bUNzwd5j9YWKmWnDfnTiD7U/zeQgoHnhKvqykWGVkP5YI8Kw==" saltValue="Jf1vMLBo10qMpYj2198TVw==" spinCount="100000" sheet="1" selectLockedCells="1"/>
  <mergeCells count="29">
    <mergeCell ref="A468:C468"/>
    <mergeCell ref="A469:C469"/>
    <mergeCell ref="A470:C470"/>
    <mergeCell ref="A471:C471"/>
    <mergeCell ref="B360:C360"/>
    <mergeCell ref="B361:C361"/>
    <mergeCell ref="B363:C363"/>
    <mergeCell ref="B364:C364"/>
    <mergeCell ref="A467:B467"/>
    <mergeCell ref="B234:C234"/>
    <mergeCell ref="BD235:BF235"/>
    <mergeCell ref="B236:C236"/>
    <mergeCell ref="B356:C356"/>
    <mergeCell ref="B357:C357"/>
    <mergeCell ref="B226:C226"/>
    <mergeCell ref="B227:C227"/>
    <mergeCell ref="B230:C230"/>
    <mergeCell ref="B231:C231"/>
    <mergeCell ref="B232:C232"/>
    <mergeCell ref="B83:C83"/>
    <mergeCell ref="B84:C84"/>
    <mergeCell ref="B86:C86"/>
    <mergeCell ref="B87:C87"/>
    <mergeCell ref="B88:C88"/>
    <mergeCell ref="A7:C7"/>
    <mergeCell ref="F54:H54"/>
    <mergeCell ref="F55:G55"/>
    <mergeCell ref="F56:G56"/>
    <mergeCell ref="A77:D77"/>
  </mergeCells>
  <phoneticPr fontId="126" type="noConversion"/>
  <hyperlinks>
    <hyperlink ref="A5" r:id="rId1" location="Cargos!A1" xr:uid="{00000000-0004-0000-0000-000000000000}"/>
    <hyperlink ref="A469" r:id="rId2" xr:uid="{00000000-0004-0000-0000-000001000000}"/>
    <hyperlink ref="A470" r:id="rId3" xr:uid="{00000000-0004-0000-0000-000002000000}"/>
    <hyperlink ref="A471" r:id="rId4" xr:uid="{00000000-0004-0000-0000-000003000000}"/>
    <hyperlink ref="A472" r:id="rId5" xr:uid="{00000000-0004-0000-0000-000004000000}"/>
  </hyperlinks>
  <pageMargins left="0.7" right="0.7" top="0.75" bottom="0.75" header="0.3" footer="0.3"/>
  <pageSetup orientation="portrait" r:id="rId6"/>
  <legacyDrawing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>
    <outlinePr summaryBelow="0" summaryRight="0"/>
  </sheetPr>
  <dimension ref="A1:T377"/>
  <sheetViews>
    <sheetView zoomScale="85" zoomScaleNormal="85" workbookViewId="0">
      <selection activeCell="D145" sqref="D145"/>
    </sheetView>
  </sheetViews>
  <sheetFormatPr baseColWidth="10" defaultColWidth="14.42578125" defaultRowHeight="15.75" customHeight="1"/>
  <cols>
    <col min="1" max="1" width="7.7109375" customWidth="1"/>
    <col min="2" max="2" width="69.140625" style="900" customWidth="1"/>
    <col min="4" max="4" width="13.85546875" customWidth="1"/>
    <col min="5" max="5" width="10.28515625" customWidth="1"/>
    <col min="6" max="6" width="12.7109375" bestFit="1" customWidth="1"/>
    <col min="7" max="7" width="12.42578125" bestFit="1" customWidth="1"/>
    <col min="8" max="8" width="7" bestFit="1" customWidth="1"/>
    <col min="9" max="9" width="6.7109375" style="1" customWidth="1"/>
    <col min="10" max="10" width="5.140625" bestFit="1" customWidth="1"/>
    <col min="11" max="11" width="12.28515625" customWidth="1"/>
  </cols>
  <sheetData>
    <row r="1" spans="1:20" ht="15.75" customHeight="1">
      <c r="A1" s="4" t="s">
        <v>59</v>
      </c>
      <c r="B1" s="6" t="s">
        <v>166</v>
      </c>
      <c r="C1" s="6" t="s">
        <v>167</v>
      </c>
      <c r="D1" s="897" t="s">
        <v>169</v>
      </c>
      <c r="E1" s="890" t="s">
        <v>171</v>
      </c>
      <c r="F1" s="906" t="s">
        <v>616</v>
      </c>
      <c r="G1" s="2" t="s">
        <v>170</v>
      </c>
      <c r="H1" s="4" t="s">
        <v>172</v>
      </c>
      <c r="I1" s="5" t="s">
        <v>173</v>
      </c>
      <c r="J1" s="890" t="s">
        <v>174</v>
      </c>
      <c r="K1" s="891" t="s">
        <v>168</v>
      </c>
      <c r="L1" s="3"/>
      <c r="M1" s="3"/>
      <c r="N1" s="3"/>
      <c r="O1" s="3"/>
      <c r="P1" s="3"/>
    </row>
    <row r="2" spans="1:20" ht="15.75" customHeight="1">
      <c r="A2" s="4"/>
      <c r="B2" s="896" t="s">
        <v>162</v>
      </c>
      <c r="C2" s="910"/>
      <c r="D2" s="898"/>
      <c r="E2" s="906"/>
      <c r="F2" s="906"/>
      <c r="G2" s="899"/>
      <c r="H2" s="911" t="s">
        <v>163</v>
      </c>
      <c r="I2" s="912" t="s">
        <v>164</v>
      </c>
      <c r="J2" s="906" t="s">
        <v>165</v>
      </c>
      <c r="K2" s="913"/>
      <c r="L2" s="3"/>
      <c r="M2" s="3"/>
      <c r="N2" s="3"/>
      <c r="O2" s="3"/>
      <c r="P2" s="3"/>
    </row>
    <row r="3" spans="1:20" ht="15.75" customHeight="1">
      <c r="A3" s="889">
        <v>400</v>
      </c>
      <c r="B3" s="901" t="s">
        <v>599</v>
      </c>
      <c r="C3" s="928">
        <v>2490</v>
      </c>
      <c r="D3" s="931">
        <v>0</v>
      </c>
      <c r="E3" s="914">
        <f t="shared" ref="E3:E36" si="0">C3+D3</f>
        <v>2490</v>
      </c>
      <c r="F3" s="931"/>
      <c r="G3" s="933"/>
      <c r="H3" s="914"/>
      <c r="I3" s="928"/>
      <c r="J3" s="935"/>
      <c r="K3" s="915"/>
      <c r="L3" s="894">
        <v>1</v>
      </c>
      <c r="M3" s="895"/>
      <c r="N3" s="895"/>
      <c r="O3" s="895"/>
      <c r="P3" s="895"/>
      <c r="Q3" s="895"/>
      <c r="R3" s="895"/>
      <c r="S3" s="895"/>
      <c r="T3" s="895"/>
    </row>
    <row r="4" spans="1:20" ht="15.75" customHeight="1" thickBot="1">
      <c r="A4" s="889">
        <v>401</v>
      </c>
      <c r="B4" s="901" t="s">
        <v>600</v>
      </c>
      <c r="C4" s="928">
        <v>1610</v>
      </c>
      <c r="D4" s="931">
        <v>87</v>
      </c>
      <c r="E4" s="914">
        <f t="shared" si="0"/>
        <v>1697</v>
      </c>
      <c r="F4" s="931"/>
      <c r="G4" s="933"/>
      <c r="H4" s="914"/>
      <c r="I4" s="928"/>
      <c r="J4" s="935"/>
      <c r="K4" s="915"/>
      <c r="L4" s="894">
        <v>1</v>
      </c>
      <c r="M4" s="895"/>
      <c r="N4" s="895"/>
      <c r="O4" s="895"/>
      <c r="P4" s="895"/>
      <c r="Q4" s="895"/>
      <c r="R4" s="895"/>
      <c r="S4" s="895"/>
      <c r="T4" s="895"/>
    </row>
    <row r="5" spans="1:20" ht="15.75" customHeight="1" thickBot="1">
      <c r="A5" s="887">
        <v>403</v>
      </c>
      <c r="B5" s="907" t="s">
        <v>601</v>
      </c>
      <c r="C5" s="928">
        <v>1680</v>
      </c>
      <c r="D5" s="931">
        <v>77</v>
      </c>
      <c r="E5" s="914">
        <f t="shared" si="0"/>
        <v>1757</v>
      </c>
      <c r="F5" s="931"/>
      <c r="G5" s="933"/>
      <c r="H5" s="914"/>
      <c r="I5" s="928">
        <v>830</v>
      </c>
      <c r="J5" s="935"/>
      <c r="K5" s="915"/>
      <c r="L5" s="894">
        <v>1</v>
      </c>
      <c r="M5" s="895"/>
      <c r="N5" s="895"/>
      <c r="O5" s="895"/>
      <c r="P5" s="895"/>
      <c r="Q5" s="895"/>
      <c r="R5" s="895"/>
      <c r="S5" s="895"/>
      <c r="T5" s="895"/>
    </row>
    <row r="6" spans="1:20" ht="15.75" customHeight="1" thickBot="1">
      <c r="A6" s="888">
        <v>404</v>
      </c>
      <c r="B6" s="908" t="s">
        <v>602</v>
      </c>
      <c r="C6" s="928">
        <v>2000</v>
      </c>
      <c r="D6" s="931">
        <v>36</v>
      </c>
      <c r="E6" s="914">
        <f t="shared" si="0"/>
        <v>2036</v>
      </c>
      <c r="F6" s="931"/>
      <c r="G6" s="933"/>
      <c r="H6" s="914"/>
      <c r="I6" s="928"/>
      <c r="J6" s="935"/>
      <c r="K6" s="915"/>
      <c r="L6" s="894">
        <v>1</v>
      </c>
      <c r="M6" s="895"/>
      <c r="N6" s="895"/>
      <c r="O6" s="895"/>
      <c r="P6" s="895"/>
      <c r="Q6" s="895"/>
      <c r="R6" s="895"/>
      <c r="S6" s="895"/>
      <c r="T6" s="895"/>
    </row>
    <row r="7" spans="1:20" ht="15.75" customHeight="1" thickBot="1">
      <c r="A7" s="888">
        <v>405</v>
      </c>
      <c r="B7" s="908" t="s">
        <v>603</v>
      </c>
      <c r="C7" s="928">
        <v>2840</v>
      </c>
      <c r="D7" s="931">
        <v>0</v>
      </c>
      <c r="E7" s="914">
        <f t="shared" si="0"/>
        <v>2840</v>
      </c>
      <c r="F7" s="931"/>
      <c r="G7" s="933"/>
      <c r="H7" s="914"/>
      <c r="I7" s="928"/>
      <c r="J7" s="935"/>
      <c r="K7" s="915"/>
      <c r="L7" s="894">
        <v>1</v>
      </c>
      <c r="M7" s="895"/>
      <c r="N7" s="895"/>
      <c r="O7" s="895"/>
      <c r="P7" s="895"/>
      <c r="Q7" s="895"/>
      <c r="R7" s="895"/>
      <c r="S7" s="895"/>
      <c r="T7" s="895"/>
    </row>
    <row r="8" spans="1:20" ht="15.75" customHeight="1" thickBot="1">
      <c r="A8" s="888">
        <v>406</v>
      </c>
      <c r="B8" s="908" t="s">
        <v>604</v>
      </c>
      <c r="C8" s="928">
        <v>1840</v>
      </c>
      <c r="D8" s="931">
        <v>57</v>
      </c>
      <c r="E8" s="914">
        <f t="shared" si="0"/>
        <v>1897</v>
      </c>
      <c r="F8" s="931"/>
      <c r="G8" s="933"/>
      <c r="H8" s="914"/>
      <c r="I8" s="928"/>
      <c r="J8" s="935"/>
      <c r="K8" s="915"/>
      <c r="L8" s="894">
        <v>1</v>
      </c>
      <c r="M8" s="895"/>
      <c r="N8" s="895"/>
      <c r="O8" s="895"/>
      <c r="P8" s="895"/>
      <c r="Q8" s="895"/>
      <c r="R8" s="895"/>
      <c r="S8" s="895"/>
      <c r="T8" s="895"/>
    </row>
    <row r="9" spans="1:20" ht="15.75" customHeight="1" thickBot="1">
      <c r="A9" s="888">
        <v>407</v>
      </c>
      <c r="B9" s="908" t="s">
        <v>605</v>
      </c>
      <c r="C9" s="928">
        <v>1680</v>
      </c>
      <c r="D9" s="931">
        <v>77</v>
      </c>
      <c r="E9" s="914">
        <f t="shared" si="0"/>
        <v>1757</v>
      </c>
      <c r="F9" s="931"/>
      <c r="G9" s="933"/>
      <c r="H9" s="914"/>
      <c r="I9" s="928"/>
      <c r="J9" s="935"/>
      <c r="K9" s="915"/>
      <c r="L9" s="894">
        <v>1</v>
      </c>
      <c r="M9" s="895"/>
      <c r="N9" s="895"/>
      <c r="O9" s="895"/>
      <c r="P9" s="895"/>
      <c r="Q9" s="895"/>
      <c r="R9" s="895"/>
      <c r="S9" s="895"/>
      <c r="T9" s="895"/>
    </row>
    <row r="10" spans="1:20" ht="15.75" customHeight="1" thickBot="1">
      <c r="A10" s="888">
        <v>408</v>
      </c>
      <c r="B10" s="908" t="s">
        <v>398</v>
      </c>
      <c r="C10" s="928">
        <v>2510</v>
      </c>
      <c r="D10" s="931">
        <v>0</v>
      </c>
      <c r="E10" s="914">
        <f t="shared" si="0"/>
        <v>2510</v>
      </c>
      <c r="F10" s="931"/>
      <c r="G10" s="933"/>
      <c r="H10" s="914"/>
      <c r="I10" s="928"/>
      <c r="J10" s="935"/>
      <c r="K10" s="915"/>
      <c r="L10" s="894">
        <v>1</v>
      </c>
      <c r="M10" s="895"/>
      <c r="N10" s="895"/>
      <c r="O10" s="895"/>
      <c r="P10" s="895"/>
      <c r="Q10" s="895"/>
      <c r="R10" s="895"/>
      <c r="S10" s="895"/>
      <c r="T10" s="895"/>
    </row>
    <row r="11" spans="1:20" ht="15.75" customHeight="1" thickBot="1">
      <c r="A11" s="888">
        <v>409</v>
      </c>
      <c r="B11" s="908" t="s">
        <v>606</v>
      </c>
      <c r="C11" s="928">
        <v>2000</v>
      </c>
      <c r="D11" s="931">
        <v>36</v>
      </c>
      <c r="E11" s="914">
        <f t="shared" si="0"/>
        <v>2036</v>
      </c>
      <c r="F11" s="931"/>
      <c r="G11" s="933"/>
      <c r="H11" s="914"/>
      <c r="I11" s="928">
        <v>830</v>
      </c>
      <c r="J11" s="935"/>
      <c r="K11" s="915"/>
      <c r="L11" s="894">
        <v>1</v>
      </c>
      <c r="M11" s="895"/>
      <c r="N11" s="895"/>
      <c r="O11" s="895"/>
      <c r="P11" s="895"/>
      <c r="Q11" s="895"/>
      <c r="R11" s="895"/>
      <c r="S11" s="895"/>
      <c r="T11" s="895"/>
    </row>
    <row r="12" spans="1:20" ht="15.75" customHeight="1" thickBot="1">
      <c r="A12" s="888">
        <v>410</v>
      </c>
      <c r="B12" s="908" t="s">
        <v>607</v>
      </c>
      <c r="C12" s="928">
        <v>1740</v>
      </c>
      <c r="D12" s="931">
        <v>75</v>
      </c>
      <c r="E12" s="914">
        <f t="shared" si="0"/>
        <v>1815</v>
      </c>
      <c r="F12" s="931"/>
      <c r="G12" s="933"/>
      <c r="H12" s="914"/>
      <c r="I12" s="928"/>
      <c r="J12" s="935"/>
      <c r="K12" s="915"/>
      <c r="L12" s="894">
        <v>1</v>
      </c>
      <c r="M12" s="895"/>
      <c r="N12" s="895"/>
      <c r="O12" s="895"/>
      <c r="P12" s="895"/>
      <c r="Q12" s="895"/>
      <c r="R12" s="895"/>
      <c r="S12" s="895"/>
      <c r="T12" s="895"/>
    </row>
    <row r="13" spans="1:20" ht="15.75" customHeight="1" thickBot="1">
      <c r="A13" s="888">
        <v>411</v>
      </c>
      <c r="B13" s="908" t="s">
        <v>608</v>
      </c>
      <c r="C13" s="928">
        <v>2300</v>
      </c>
      <c r="D13" s="931">
        <v>0</v>
      </c>
      <c r="E13" s="914">
        <f t="shared" si="0"/>
        <v>2300</v>
      </c>
      <c r="F13" s="931"/>
      <c r="G13" s="933"/>
      <c r="H13" s="914"/>
      <c r="I13" s="928"/>
      <c r="J13" s="935"/>
      <c r="K13" s="915"/>
      <c r="L13" s="894">
        <v>1</v>
      </c>
      <c r="M13" s="895"/>
      <c r="N13" s="895"/>
      <c r="O13" s="895"/>
      <c r="P13" s="895"/>
      <c r="Q13" s="895"/>
      <c r="R13" s="895"/>
      <c r="S13" s="895"/>
      <c r="T13" s="895"/>
    </row>
    <row r="14" spans="1:20" ht="15.75" customHeight="1" thickBot="1">
      <c r="A14" s="888">
        <v>412</v>
      </c>
      <c r="B14" s="908" t="s">
        <v>609</v>
      </c>
      <c r="C14" s="928">
        <v>1690</v>
      </c>
      <c r="D14" s="931">
        <v>76</v>
      </c>
      <c r="E14" s="914">
        <f t="shared" si="0"/>
        <v>1766</v>
      </c>
      <c r="F14" s="931"/>
      <c r="G14" s="933"/>
      <c r="H14" s="914"/>
      <c r="I14" s="928"/>
      <c r="J14" s="935"/>
      <c r="K14" s="915"/>
      <c r="L14" s="894">
        <v>1</v>
      </c>
      <c r="M14" s="895"/>
      <c r="N14" s="895"/>
      <c r="O14" s="895"/>
      <c r="P14" s="895"/>
      <c r="Q14" s="895"/>
      <c r="R14" s="895"/>
      <c r="S14" s="895"/>
      <c r="T14" s="895"/>
    </row>
    <row r="15" spans="1:20" ht="15.75" customHeight="1" thickBot="1">
      <c r="A15" s="888">
        <v>414</v>
      </c>
      <c r="B15" s="908" t="s">
        <v>399</v>
      </c>
      <c r="C15" s="928">
        <v>1340</v>
      </c>
      <c r="D15" s="931">
        <v>122</v>
      </c>
      <c r="E15" s="914">
        <f t="shared" si="0"/>
        <v>1462</v>
      </c>
      <c r="F15" s="931"/>
      <c r="G15" s="933"/>
      <c r="H15" s="914"/>
      <c r="I15" s="928"/>
      <c r="J15" s="935"/>
      <c r="K15" s="915"/>
      <c r="L15" s="894">
        <v>1</v>
      </c>
      <c r="M15" s="895"/>
      <c r="N15" s="895"/>
      <c r="O15" s="895"/>
      <c r="P15" s="895"/>
      <c r="Q15" s="895"/>
      <c r="R15" s="895"/>
      <c r="S15" s="895"/>
      <c r="T15" s="895"/>
    </row>
    <row r="16" spans="1:20" s="895" customFormat="1" ht="14.45" customHeight="1" thickBot="1">
      <c r="A16" s="886">
        <v>415</v>
      </c>
      <c r="B16" s="909" t="s">
        <v>610</v>
      </c>
      <c r="C16" s="928">
        <v>1500</v>
      </c>
      <c r="D16" s="931">
        <v>101</v>
      </c>
      <c r="E16" s="914">
        <f t="shared" si="0"/>
        <v>1601</v>
      </c>
      <c r="F16" s="931"/>
      <c r="G16" s="933"/>
      <c r="H16" s="914"/>
      <c r="I16" s="928"/>
      <c r="J16" s="935"/>
      <c r="K16" s="915"/>
      <c r="L16" s="894">
        <v>1</v>
      </c>
    </row>
    <row r="17" spans="1:12" s="895" customFormat="1" ht="15" thickBot="1">
      <c r="A17" s="886">
        <v>416</v>
      </c>
      <c r="B17" s="909" t="s">
        <v>400</v>
      </c>
      <c r="C17" s="928">
        <v>776.4</v>
      </c>
      <c r="D17" s="931">
        <v>0</v>
      </c>
      <c r="E17" s="914">
        <f t="shared" si="0"/>
        <v>776.4</v>
      </c>
      <c r="F17" s="931"/>
      <c r="G17" s="933"/>
      <c r="H17" s="914"/>
      <c r="I17" s="928"/>
      <c r="J17" s="935"/>
      <c r="K17" s="915"/>
      <c r="L17" s="894">
        <v>1</v>
      </c>
    </row>
    <row r="18" spans="1:12" s="895" customFormat="1" ht="15" thickBot="1">
      <c r="A18" s="886">
        <v>417</v>
      </c>
      <c r="B18" s="909" t="s">
        <v>401</v>
      </c>
      <c r="C18" s="928">
        <v>971</v>
      </c>
      <c r="D18" s="931">
        <v>414.7</v>
      </c>
      <c r="E18" s="914">
        <f t="shared" si="0"/>
        <v>1385.7</v>
      </c>
      <c r="F18" s="931"/>
      <c r="G18" s="933"/>
      <c r="H18" s="914"/>
      <c r="I18" s="928"/>
      <c r="J18" s="935"/>
      <c r="K18" s="915"/>
      <c r="L18" s="894">
        <v>1</v>
      </c>
    </row>
    <row r="19" spans="1:12" s="895" customFormat="1" ht="14.45" customHeight="1" thickBot="1">
      <c r="A19" s="886">
        <v>418</v>
      </c>
      <c r="B19" s="909" t="s">
        <v>402</v>
      </c>
      <c r="C19" s="928">
        <v>1552.8</v>
      </c>
      <c r="D19" s="931">
        <v>0</v>
      </c>
      <c r="E19" s="914">
        <f t="shared" si="0"/>
        <v>1552.8</v>
      </c>
      <c r="F19" s="931"/>
      <c r="G19" s="933"/>
      <c r="H19" s="914"/>
      <c r="I19" s="928"/>
      <c r="J19" s="935"/>
      <c r="K19" s="915"/>
      <c r="L19" s="894">
        <v>1</v>
      </c>
    </row>
    <row r="20" spans="1:12" s="895" customFormat="1" ht="15" thickBot="1">
      <c r="A20" s="886">
        <v>419</v>
      </c>
      <c r="B20" s="909" t="s">
        <v>403</v>
      </c>
      <c r="C20" s="928">
        <v>776.4</v>
      </c>
      <c r="D20" s="931">
        <v>0</v>
      </c>
      <c r="E20" s="914">
        <f t="shared" si="0"/>
        <v>776.4</v>
      </c>
      <c r="F20" s="931"/>
      <c r="G20" s="933"/>
      <c r="H20" s="914"/>
      <c r="I20" s="928"/>
      <c r="J20" s="935"/>
      <c r="K20" s="915"/>
      <c r="L20" s="894">
        <v>1</v>
      </c>
    </row>
    <row r="21" spans="1:12" s="895" customFormat="1" ht="15" thickBot="1">
      <c r="A21" s="886">
        <v>420</v>
      </c>
      <c r="B21" s="909" t="s">
        <v>404</v>
      </c>
      <c r="C21" s="928">
        <v>1164.5999999999999</v>
      </c>
      <c r="D21" s="931">
        <v>0</v>
      </c>
      <c r="E21" s="914">
        <f t="shared" si="0"/>
        <v>1164.5999999999999</v>
      </c>
      <c r="F21" s="931"/>
      <c r="G21" s="933"/>
      <c r="H21" s="914"/>
      <c r="I21" s="928"/>
      <c r="J21" s="935"/>
      <c r="K21" s="915"/>
      <c r="L21" s="894">
        <v>1</v>
      </c>
    </row>
    <row r="22" spans="1:12" s="895" customFormat="1" ht="14.45" customHeight="1" thickBot="1">
      <c r="A22" s="886">
        <v>421</v>
      </c>
      <c r="B22" s="909" t="s">
        <v>405</v>
      </c>
      <c r="C22" s="928">
        <v>1340</v>
      </c>
      <c r="D22" s="931">
        <v>122</v>
      </c>
      <c r="E22" s="914">
        <f t="shared" si="0"/>
        <v>1462</v>
      </c>
      <c r="F22" s="931"/>
      <c r="G22" s="933"/>
      <c r="H22" s="914"/>
      <c r="I22" s="928"/>
      <c r="J22" s="935"/>
      <c r="K22" s="915"/>
      <c r="L22" s="894">
        <v>1</v>
      </c>
    </row>
    <row r="23" spans="1:12" s="895" customFormat="1" ht="15" thickBot="1">
      <c r="A23" s="886">
        <v>422</v>
      </c>
      <c r="B23" s="909" t="s">
        <v>406</v>
      </c>
      <c r="C23" s="928">
        <v>971</v>
      </c>
      <c r="D23" s="931">
        <v>414.7</v>
      </c>
      <c r="E23" s="914">
        <f t="shared" si="0"/>
        <v>1385.7</v>
      </c>
      <c r="F23" s="931"/>
      <c r="G23" s="933"/>
      <c r="H23" s="914"/>
      <c r="I23" s="928"/>
      <c r="J23" s="935"/>
      <c r="K23" s="915"/>
      <c r="L23" s="894">
        <v>1</v>
      </c>
    </row>
    <row r="24" spans="1:12" s="895" customFormat="1" ht="15" thickBot="1">
      <c r="A24" s="886">
        <v>424</v>
      </c>
      <c r="B24" s="909" t="s">
        <v>611</v>
      </c>
      <c r="C24" s="928">
        <v>1370</v>
      </c>
      <c r="D24" s="931">
        <v>118</v>
      </c>
      <c r="E24" s="914">
        <f t="shared" si="0"/>
        <v>1488</v>
      </c>
      <c r="F24" s="931"/>
      <c r="G24" s="933"/>
      <c r="H24" s="914"/>
      <c r="I24" s="928"/>
      <c r="J24" s="935"/>
      <c r="K24" s="915"/>
      <c r="L24" s="894">
        <v>1</v>
      </c>
    </row>
    <row r="25" spans="1:12" s="895" customFormat="1" ht="14.45" customHeight="1" thickBot="1">
      <c r="A25" s="886">
        <v>425</v>
      </c>
      <c r="B25" s="909" t="s">
        <v>407</v>
      </c>
      <c r="C25" s="928">
        <v>1580</v>
      </c>
      <c r="D25" s="931">
        <v>90</v>
      </c>
      <c r="E25" s="914">
        <f t="shared" si="0"/>
        <v>1670</v>
      </c>
      <c r="F25" s="931"/>
      <c r="G25" s="933"/>
      <c r="H25" s="914"/>
      <c r="I25" s="928"/>
      <c r="J25" s="935"/>
      <c r="K25" s="915"/>
      <c r="L25" s="894">
        <v>1</v>
      </c>
    </row>
    <row r="26" spans="1:12" s="895" customFormat="1" ht="15" thickBot="1">
      <c r="A26" s="886">
        <v>426</v>
      </c>
      <c r="B26" s="909" t="s">
        <v>612</v>
      </c>
      <c r="C26" s="928">
        <v>1340</v>
      </c>
      <c r="D26" s="931">
        <v>122</v>
      </c>
      <c r="E26" s="914">
        <f t="shared" si="0"/>
        <v>1462</v>
      </c>
      <c r="F26" s="931"/>
      <c r="G26" s="933"/>
      <c r="H26" s="914"/>
      <c r="I26" s="928"/>
      <c r="J26" s="935"/>
      <c r="K26" s="915"/>
      <c r="L26" s="894">
        <v>1</v>
      </c>
    </row>
    <row r="27" spans="1:12" s="895" customFormat="1" ht="15" thickBot="1">
      <c r="A27" s="886">
        <v>427</v>
      </c>
      <c r="B27" s="909" t="s">
        <v>613</v>
      </c>
      <c r="C27" s="928">
        <v>1300</v>
      </c>
      <c r="D27" s="931">
        <v>127</v>
      </c>
      <c r="E27" s="914">
        <f t="shared" si="0"/>
        <v>1427</v>
      </c>
      <c r="F27" s="931"/>
      <c r="G27" s="933"/>
      <c r="H27" s="914"/>
      <c r="I27" s="928"/>
      <c r="J27" s="935"/>
      <c r="K27" s="915"/>
      <c r="L27" s="894">
        <v>1</v>
      </c>
    </row>
    <row r="28" spans="1:12" s="895" customFormat="1" ht="14.45" customHeight="1" thickBot="1">
      <c r="A28" s="886">
        <v>432</v>
      </c>
      <c r="B28" s="909" t="s">
        <v>408</v>
      </c>
      <c r="C28" s="928">
        <v>941</v>
      </c>
      <c r="D28" s="931">
        <v>414.7</v>
      </c>
      <c r="E28" s="914">
        <f t="shared" si="0"/>
        <v>1355.7</v>
      </c>
      <c r="F28" s="931"/>
      <c r="G28" s="933"/>
      <c r="H28" s="914"/>
      <c r="I28" s="928"/>
      <c r="J28" s="935"/>
      <c r="K28" s="915"/>
      <c r="L28" s="894">
        <v>1</v>
      </c>
    </row>
    <row r="29" spans="1:12" s="895" customFormat="1" ht="15" thickBot="1">
      <c r="A29" s="886">
        <v>433</v>
      </c>
      <c r="B29" s="909" t="s">
        <v>409</v>
      </c>
      <c r="C29" s="928">
        <v>941</v>
      </c>
      <c r="D29" s="931">
        <v>414.7</v>
      </c>
      <c r="E29" s="914">
        <f t="shared" si="0"/>
        <v>1355.7</v>
      </c>
      <c r="F29" s="931"/>
      <c r="G29" s="933"/>
      <c r="H29" s="914"/>
      <c r="I29" s="928"/>
      <c r="J29" s="935"/>
      <c r="K29" s="915"/>
      <c r="L29" s="894">
        <v>1</v>
      </c>
    </row>
    <row r="30" spans="1:12" s="895" customFormat="1" ht="15" thickBot="1">
      <c r="A30" s="886">
        <v>438</v>
      </c>
      <c r="B30" s="909" t="s">
        <v>410</v>
      </c>
      <c r="C30" s="928">
        <v>906</v>
      </c>
      <c r="D30" s="931">
        <v>414.7</v>
      </c>
      <c r="E30" s="914">
        <f t="shared" si="0"/>
        <v>1320.7</v>
      </c>
      <c r="F30" s="931"/>
      <c r="G30" s="933"/>
      <c r="H30" s="914"/>
      <c r="I30" s="928"/>
      <c r="J30" s="935"/>
      <c r="K30" s="915"/>
      <c r="L30" s="894">
        <v>1</v>
      </c>
    </row>
    <row r="31" spans="1:12" s="895" customFormat="1" ht="14.45" customHeight="1" thickBot="1">
      <c r="A31" s="886">
        <v>440</v>
      </c>
      <c r="B31" s="909" t="s">
        <v>411</v>
      </c>
      <c r="C31" s="928">
        <v>1680</v>
      </c>
      <c r="D31" s="931">
        <v>77</v>
      </c>
      <c r="E31" s="914">
        <f t="shared" si="0"/>
        <v>1757</v>
      </c>
      <c r="F31" s="931"/>
      <c r="G31" s="933"/>
      <c r="H31" s="914"/>
      <c r="I31" s="928"/>
      <c r="J31" s="935"/>
      <c r="K31" s="915"/>
      <c r="L31" s="894">
        <v>1</v>
      </c>
    </row>
    <row r="32" spans="1:12" s="895" customFormat="1" ht="15" thickBot="1">
      <c r="A32" s="886">
        <v>441</v>
      </c>
      <c r="B32" s="909" t="s">
        <v>412</v>
      </c>
      <c r="C32" s="928">
        <v>2275</v>
      </c>
      <c r="D32" s="931">
        <v>0</v>
      </c>
      <c r="E32" s="914">
        <f t="shared" si="0"/>
        <v>2275</v>
      </c>
      <c r="F32" s="931"/>
      <c r="G32" s="933"/>
      <c r="H32" s="914"/>
      <c r="I32" s="928"/>
      <c r="J32" s="935"/>
      <c r="K32" s="915"/>
      <c r="L32" s="894">
        <v>1</v>
      </c>
    </row>
    <row r="33" spans="1:12" s="895" customFormat="1" ht="15" thickBot="1">
      <c r="A33" s="886">
        <v>443</v>
      </c>
      <c r="B33" s="909" t="s">
        <v>413</v>
      </c>
      <c r="C33" s="928">
        <v>1830</v>
      </c>
      <c r="D33" s="931">
        <v>58</v>
      </c>
      <c r="E33" s="914">
        <f t="shared" si="0"/>
        <v>1888</v>
      </c>
      <c r="F33" s="931"/>
      <c r="G33" s="933"/>
      <c r="H33" s="914"/>
      <c r="I33" s="928"/>
      <c r="J33" s="935"/>
      <c r="K33" s="915"/>
      <c r="L33" s="894">
        <v>1</v>
      </c>
    </row>
    <row r="34" spans="1:12" s="895" customFormat="1" ht="14.45" customHeight="1" thickBot="1">
      <c r="A34" s="886">
        <v>444</v>
      </c>
      <c r="B34" s="909" t="s">
        <v>414</v>
      </c>
      <c r="C34" s="928">
        <v>1500</v>
      </c>
      <c r="D34" s="931">
        <v>101</v>
      </c>
      <c r="E34" s="914">
        <f t="shared" si="0"/>
        <v>1601</v>
      </c>
      <c r="F34" s="931"/>
      <c r="G34" s="933"/>
      <c r="H34" s="914"/>
      <c r="I34" s="928">
        <v>750</v>
      </c>
      <c r="J34" s="935"/>
      <c r="K34" s="915"/>
      <c r="L34" s="894">
        <v>1</v>
      </c>
    </row>
    <row r="35" spans="1:12" s="895" customFormat="1" ht="15" thickBot="1">
      <c r="A35" s="886">
        <v>445</v>
      </c>
      <c r="B35" s="909" t="s">
        <v>415</v>
      </c>
      <c r="C35" s="928">
        <v>1750</v>
      </c>
      <c r="D35" s="931">
        <v>68</v>
      </c>
      <c r="E35" s="914">
        <f t="shared" si="0"/>
        <v>1818</v>
      </c>
      <c r="F35" s="931"/>
      <c r="G35" s="933"/>
      <c r="H35" s="914"/>
      <c r="I35" s="928">
        <v>750</v>
      </c>
      <c r="J35" s="935"/>
      <c r="K35" s="915"/>
      <c r="L35" s="894">
        <v>1</v>
      </c>
    </row>
    <row r="36" spans="1:12" s="895" customFormat="1" ht="15" thickBot="1">
      <c r="A36" s="886">
        <v>450</v>
      </c>
      <c r="B36" s="909" t="s">
        <v>416</v>
      </c>
      <c r="C36" s="928">
        <v>2329.1999999999998</v>
      </c>
      <c r="D36" s="931">
        <v>0</v>
      </c>
      <c r="E36" s="914">
        <f t="shared" si="0"/>
        <v>2329.1999999999998</v>
      </c>
      <c r="F36" s="931"/>
      <c r="G36" s="933"/>
      <c r="H36" s="914"/>
      <c r="I36" s="928"/>
      <c r="J36" s="935"/>
      <c r="K36" s="915"/>
      <c r="L36" s="894">
        <v>1</v>
      </c>
    </row>
    <row r="37" spans="1:12" s="895" customFormat="1" ht="15" thickBot="1">
      <c r="A37" s="886">
        <v>454</v>
      </c>
      <c r="B37" s="909" t="s">
        <v>614</v>
      </c>
      <c r="C37" s="928">
        <v>1690</v>
      </c>
      <c r="D37" s="931">
        <v>76</v>
      </c>
      <c r="E37" s="914">
        <f t="shared" ref="E37:E68" si="1">C37+D37</f>
        <v>1766</v>
      </c>
      <c r="F37" s="931"/>
      <c r="G37" s="933"/>
      <c r="H37" s="914"/>
      <c r="I37" s="928"/>
      <c r="J37" s="935"/>
      <c r="K37" s="915"/>
      <c r="L37" s="894">
        <v>1</v>
      </c>
    </row>
    <row r="38" spans="1:12" s="895" customFormat="1" ht="14.45" customHeight="1" thickBot="1">
      <c r="A38" s="886">
        <v>455</v>
      </c>
      <c r="B38" s="909" t="s">
        <v>417</v>
      </c>
      <c r="C38" s="928">
        <v>922</v>
      </c>
      <c r="D38" s="931">
        <v>414.7</v>
      </c>
      <c r="E38" s="914">
        <f t="shared" si="1"/>
        <v>1336.7</v>
      </c>
      <c r="F38" s="931"/>
      <c r="G38" s="933"/>
      <c r="H38" s="914"/>
      <c r="I38" s="928"/>
      <c r="J38" s="935"/>
      <c r="K38" s="915"/>
      <c r="L38" s="894">
        <v>1</v>
      </c>
    </row>
    <row r="39" spans="1:12" s="895" customFormat="1" ht="15" thickBot="1">
      <c r="A39" s="886">
        <v>456</v>
      </c>
      <c r="B39" s="909" t="s">
        <v>418</v>
      </c>
      <c r="C39" s="928">
        <v>971</v>
      </c>
      <c r="D39" s="931">
        <v>414.7</v>
      </c>
      <c r="E39" s="914">
        <f t="shared" si="1"/>
        <v>1385.7</v>
      </c>
      <c r="F39" s="931"/>
      <c r="G39" s="933"/>
      <c r="H39" s="914"/>
      <c r="I39" s="928"/>
      <c r="J39" s="935"/>
      <c r="K39" s="915"/>
      <c r="L39" s="894">
        <v>1</v>
      </c>
    </row>
    <row r="40" spans="1:12" s="895" customFormat="1" ht="15" thickBot="1">
      <c r="A40" s="886">
        <v>457</v>
      </c>
      <c r="B40" s="909" t="s">
        <v>419</v>
      </c>
      <c r="C40" s="928">
        <v>2100</v>
      </c>
      <c r="D40" s="931">
        <v>23</v>
      </c>
      <c r="E40" s="914">
        <f t="shared" si="1"/>
        <v>2123</v>
      </c>
      <c r="F40" s="931"/>
      <c r="G40" s="933"/>
      <c r="H40" s="914"/>
      <c r="I40" s="928"/>
      <c r="J40" s="935"/>
      <c r="K40" s="915"/>
      <c r="L40" s="894">
        <v>1</v>
      </c>
    </row>
    <row r="41" spans="1:12" s="895" customFormat="1" ht="15" thickBot="1">
      <c r="A41" s="886">
        <v>460</v>
      </c>
      <c r="B41" s="909" t="s">
        <v>420</v>
      </c>
      <c r="C41" s="928">
        <v>2840</v>
      </c>
      <c r="D41" s="931">
        <v>0</v>
      </c>
      <c r="E41" s="914">
        <f t="shared" si="1"/>
        <v>2840</v>
      </c>
      <c r="F41" s="931"/>
      <c r="G41" s="933"/>
      <c r="H41" s="914"/>
      <c r="I41" s="928"/>
      <c r="J41" s="935"/>
      <c r="K41" s="915"/>
      <c r="L41" s="894">
        <v>1</v>
      </c>
    </row>
    <row r="42" spans="1:12" s="895" customFormat="1" ht="15" thickBot="1">
      <c r="A42" s="886">
        <v>461</v>
      </c>
      <c r="B42" s="909" t="s">
        <v>421</v>
      </c>
      <c r="C42" s="928">
        <v>2220</v>
      </c>
      <c r="D42" s="931">
        <v>7</v>
      </c>
      <c r="E42" s="914">
        <f t="shared" si="1"/>
        <v>2227</v>
      </c>
      <c r="F42" s="931">
        <v>521.4</v>
      </c>
      <c r="G42" s="933">
        <v>521.4</v>
      </c>
      <c r="H42" s="914"/>
      <c r="I42" s="928"/>
      <c r="J42" s="935"/>
      <c r="K42" s="915"/>
      <c r="L42" s="894">
        <v>1</v>
      </c>
    </row>
    <row r="43" spans="1:12" s="895" customFormat="1" ht="15" thickBot="1">
      <c r="A43" s="886">
        <v>465</v>
      </c>
      <c r="B43" s="909" t="s">
        <v>422</v>
      </c>
      <c r="C43" s="928">
        <v>1850</v>
      </c>
      <c r="D43" s="931">
        <v>55</v>
      </c>
      <c r="E43" s="914">
        <f t="shared" si="1"/>
        <v>1905</v>
      </c>
      <c r="F43" s="931"/>
      <c r="G43" s="933"/>
      <c r="H43" s="914"/>
      <c r="I43" s="928"/>
      <c r="J43" s="935"/>
      <c r="K43" s="915"/>
      <c r="L43" s="894">
        <v>1</v>
      </c>
    </row>
    <row r="44" spans="1:12" s="895" customFormat="1" ht="15" thickBot="1">
      <c r="A44" s="886">
        <v>468</v>
      </c>
      <c r="B44" s="909" t="s">
        <v>423</v>
      </c>
      <c r="C44" s="928">
        <v>2100</v>
      </c>
      <c r="D44" s="931">
        <v>23</v>
      </c>
      <c r="E44" s="914">
        <f t="shared" si="1"/>
        <v>2123</v>
      </c>
      <c r="F44" s="931"/>
      <c r="G44" s="933"/>
      <c r="H44" s="914"/>
      <c r="I44" s="928"/>
      <c r="J44" s="935"/>
      <c r="K44" s="915"/>
      <c r="L44" s="894">
        <v>1</v>
      </c>
    </row>
    <row r="45" spans="1:12" s="895" customFormat="1" ht="15" thickBot="1">
      <c r="A45" s="886">
        <v>469</v>
      </c>
      <c r="B45" s="909" t="s">
        <v>424</v>
      </c>
      <c r="C45" s="928">
        <v>1740</v>
      </c>
      <c r="D45" s="931">
        <v>75</v>
      </c>
      <c r="E45" s="914">
        <f t="shared" si="1"/>
        <v>1815</v>
      </c>
      <c r="F45" s="931"/>
      <c r="G45" s="933"/>
      <c r="H45" s="914"/>
      <c r="I45" s="928">
        <v>750</v>
      </c>
      <c r="J45" s="935"/>
      <c r="K45" s="915"/>
      <c r="L45" s="894">
        <v>1</v>
      </c>
    </row>
    <row r="46" spans="1:12" s="895" customFormat="1" ht="14.45" customHeight="1" thickBot="1">
      <c r="A46" s="886">
        <v>470</v>
      </c>
      <c r="B46" s="909" t="s">
        <v>425</v>
      </c>
      <c r="C46" s="928">
        <v>1580</v>
      </c>
      <c r="D46" s="931">
        <v>90</v>
      </c>
      <c r="E46" s="914">
        <f t="shared" si="1"/>
        <v>1670</v>
      </c>
      <c r="F46" s="931">
        <v>347.6</v>
      </c>
      <c r="G46" s="933" t="s">
        <v>243</v>
      </c>
      <c r="H46" s="914"/>
      <c r="I46" s="928"/>
      <c r="J46" s="935"/>
      <c r="K46" s="915"/>
      <c r="L46" s="894">
        <v>1</v>
      </c>
    </row>
    <row r="47" spans="1:12" s="895" customFormat="1" ht="14.45" customHeight="1" thickBot="1">
      <c r="A47" s="886">
        <v>472</v>
      </c>
      <c r="B47" s="909" t="s">
        <v>426</v>
      </c>
      <c r="C47" s="928">
        <v>1564</v>
      </c>
      <c r="D47" s="931">
        <v>93</v>
      </c>
      <c r="E47" s="914">
        <f t="shared" si="1"/>
        <v>1657</v>
      </c>
      <c r="F47" s="931"/>
      <c r="G47" s="933"/>
      <c r="H47" s="914"/>
      <c r="I47" s="928"/>
      <c r="J47" s="935"/>
      <c r="K47" s="915"/>
      <c r="L47" s="894">
        <v>1</v>
      </c>
    </row>
    <row r="48" spans="1:12" s="895" customFormat="1" ht="15" thickBot="1">
      <c r="A48" s="886">
        <v>480</v>
      </c>
      <c r="B48" s="909" t="s">
        <v>427</v>
      </c>
      <c r="C48" s="928">
        <v>971</v>
      </c>
      <c r="D48" s="931">
        <v>414.7</v>
      </c>
      <c r="E48" s="914">
        <f t="shared" si="1"/>
        <v>1385.7</v>
      </c>
      <c r="F48" s="931"/>
      <c r="G48" s="933"/>
      <c r="H48" s="914"/>
      <c r="I48" s="928"/>
      <c r="J48" s="935"/>
      <c r="K48" s="915"/>
      <c r="L48" s="894">
        <v>1</v>
      </c>
    </row>
    <row r="49" spans="1:12" s="895" customFormat="1" ht="15" thickBot="1">
      <c r="A49" s="886">
        <v>481</v>
      </c>
      <c r="B49" s="909" t="s">
        <v>428</v>
      </c>
      <c r="C49" s="928">
        <v>1250</v>
      </c>
      <c r="D49" s="931">
        <v>134</v>
      </c>
      <c r="E49" s="914">
        <f t="shared" si="1"/>
        <v>1384</v>
      </c>
      <c r="F49" s="931"/>
      <c r="G49" s="933"/>
      <c r="H49" s="914"/>
      <c r="I49" s="928"/>
      <c r="J49" s="935"/>
      <c r="K49" s="915"/>
      <c r="L49" s="894">
        <v>1</v>
      </c>
    </row>
    <row r="50" spans="1:12" s="895" customFormat="1" ht="15" thickBot="1">
      <c r="A50" s="886">
        <v>485</v>
      </c>
      <c r="B50" s="909" t="s">
        <v>429</v>
      </c>
      <c r="C50" s="928">
        <v>1850</v>
      </c>
      <c r="D50" s="931">
        <v>55</v>
      </c>
      <c r="E50" s="914">
        <f t="shared" si="1"/>
        <v>1905</v>
      </c>
      <c r="F50" s="931"/>
      <c r="G50" s="933"/>
      <c r="H50" s="914"/>
      <c r="I50" s="928"/>
      <c r="J50" s="935"/>
      <c r="K50" s="915"/>
      <c r="L50" s="894">
        <v>1</v>
      </c>
    </row>
    <row r="51" spans="1:12" s="895" customFormat="1" ht="15" thickBot="1">
      <c r="A51" s="886">
        <v>490</v>
      </c>
      <c r="B51" s="909" t="s">
        <v>430</v>
      </c>
      <c r="C51" s="928">
        <v>1750</v>
      </c>
      <c r="D51" s="931">
        <v>68</v>
      </c>
      <c r="E51" s="914">
        <f t="shared" si="1"/>
        <v>1818</v>
      </c>
      <c r="F51" s="931"/>
      <c r="G51" s="933"/>
      <c r="H51" s="914"/>
      <c r="I51" s="928"/>
      <c r="J51" s="935"/>
      <c r="K51" s="915"/>
      <c r="L51" s="894">
        <v>1</v>
      </c>
    </row>
    <row r="52" spans="1:12" s="895" customFormat="1" ht="15" thickBot="1">
      <c r="A52" s="886">
        <v>603</v>
      </c>
      <c r="B52" s="909" t="s">
        <v>431</v>
      </c>
      <c r="C52" s="928">
        <v>2913</v>
      </c>
      <c r="D52" s="931">
        <v>0</v>
      </c>
      <c r="E52" s="914">
        <f t="shared" si="1"/>
        <v>2913</v>
      </c>
      <c r="F52" s="931">
        <v>776</v>
      </c>
      <c r="G52" s="933" t="s">
        <v>244</v>
      </c>
      <c r="H52" s="914"/>
      <c r="I52" s="928"/>
      <c r="J52" s="935"/>
      <c r="K52" s="915"/>
      <c r="L52" s="894">
        <v>1</v>
      </c>
    </row>
    <row r="53" spans="1:12" s="895" customFormat="1" ht="14.45" customHeight="1" thickBot="1">
      <c r="A53" s="886">
        <v>604</v>
      </c>
      <c r="B53" s="909" t="s">
        <v>432</v>
      </c>
      <c r="C53" s="928">
        <v>1690</v>
      </c>
      <c r="D53" s="931">
        <v>76</v>
      </c>
      <c r="E53" s="914">
        <f t="shared" si="1"/>
        <v>1766</v>
      </c>
      <c r="F53" s="931">
        <v>388.2</v>
      </c>
      <c r="G53" s="933" t="s">
        <v>245</v>
      </c>
      <c r="H53" s="914"/>
      <c r="I53" s="928"/>
      <c r="J53" s="935"/>
      <c r="K53" s="915"/>
      <c r="L53" s="894">
        <v>1</v>
      </c>
    </row>
    <row r="54" spans="1:12" s="895" customFormat="1" ht="15" thickBot="1">
      <c r="A54" s="886">
        <v>605</v>
      </c>
      <c r="B54" s="909" t="s">
        <v>433</v>
      </c>
      <c r="C54" s="928">
        <v>2913</v>
      </c>
      <c r="D54" s="931">
        <v>0</v>
      </c>
      <c r="E54" s="914">
        <f t="shared" si="1"/>
        <v>2913</v>
      </c>
      <c r="F54" s="931">
        <v>776</v>
      </c>
      <c r="G54" s="933" t="s">
        <v>244</v>
      </c>
      <c r="H54" s="914"/>
      <c r="I54" s="928"/>
      <c r="J54" s="935"/>
      <c r="K54" s="915"/>
      <c r="L54" s="894">
        <v>1</v>
      </c>
    </row>
    <row r="55" spans="1:12" s="895" customFormat="1" ht="15" thickBot="1">
      <c r="A55" s="886">
        <v>606</v>
      </c>
      <c r="B55" s="909" t="s">
        <v>434</v>
      </c>
      <c r="C55" s="928">
        <v>2913</v>
      </c>
      <c r="D55" s="931">
        <v>0</v>
      </c>
      <c r="E55" s="914">
        <f t="shared" si="1"/>
        <v>2913</v>
      </c>
      <c r="F55" s="931"/>
      <c r="G55" s="933"/>
      <c r="H55" s="914"/>
      <c r="I55" s="928"/>
      <c r="J55" s="935"/>
      <c r="K55" s="915"/>
      <c r="L55" s="894">
        <v>1</v>
      </c>
    </row>
    <row r="56" spans="1:12" s="895" customFormat="1" ht="14.45" customHeight="1" thickBot="1">
      <c r="A56" s="886">
        <v>607</v>
      </c>
      <c r="B56" s="909" t="s">
        <v>435</v>
      </c>
      <c r="C56" s="928">
        <v>1370</v>
      </c>
      <c r="D56" s="931">
        <v>118</v>
      </c>
      <c r="E56" s="914">
        <f t="shared" si="1"/>
        <v>1488</v>
      </c>
      <c r="F56" s="931">
        <v>388</v>
      </c>
      <c r="G56" s="933" t="s">
        <v>245</v>
      </c>
      <c r="H56" s="914"/>
      <c r="I56" s="928"/>
      <c r="J56" s="935"/>
      <c r="K56" s="915"/>
      <c r="L56" s="894">
        <v>1</v>
      </c>
    </row>
    <row r="57" spans="1:12" s="895" customFormat="1" ht="15" thickBot="1">
      <c r="A57" s="886">
        <v>608</v>
      </c>
      <c r="B57" s="909" t="s">
        <v>436</v>
      </c>
      <c r="C57" s="928">
        <v>2913</v>
      </c>
      <c r="D57" s="931">
        <v>0</v>
      </c>
      <c r="E57" s="914">
        <f t="shared" si="1"/>
        <v>2913</v>
      </c>
      <c r="F57" s="931"/>
      <c r="G57" s="933"/>
      <c r="H57" s="914"/>
      <c r="I57" s="928"/>
      <c r="J57" s="935"/>
      <c r="K57" s="915"/>
      <c r="L57" s="894">
        <v>1</v>
      </c>
    </row>
    <row r="58" spans="1:12" s="895" customFormat="1" ht="14.45" customHeight="1" thickBot="1">
      <c r="A58" s="886">
        <v>609</v>
      </c>
      <c r="B58" s="909" t="s">
        <v>437</v>
      </c>
      <c r="C58" s="928">
        <v>2000</v>
      </c>
      <c r="D58" s="931">
        <v>36</v>
      </c>
      <c r="E58" s="914">
        <f t="shared" si="1"/>
        <v>2036</v>
      </c>
      <c r="F58" s="931">
        <v>647</v>
      </c>
      <c r="G58" s="933" t="s">
        <v>246</v>
      </c>
      <c r="H58" s="914"/>
      <c r="I58" s="928"/>
      <c r="J58" s="935"/>
      <c r="K58" s="915"/>
      <c r="L58" s="894">
        <v>1</v>
      </c>
    </row>
    <row r="59" spans="1:12" s="895" customFormat="1" ht="15" thickBot="1">
      <c r="A59" s="886">
        <v>610</v>
      </c>
      <c r="B59" s="909" t="s">
        <v>438</v>
      </c>
      <c r="C59" s="928">
        <v>1680</v>
      </c>
      <c r="D59" s="931">
        <v>77</v>
      </c>
      <c r="E59" s="914">
        <f t="shared" si="1"/>
        <v>1757</v>
      </c>
      <c r="F59" s="931"/>
      <c r="G59" s="933"/>
      <c r="H59" s="914"/>
      <c r="I59" s="928"/>
      <c r="J59" s="935"/>
      <c r="K59" s="915"/>
      <c r="L59" s="894">
        <v>1</v>
      </c>
    </row>
    <row r="60" spans="1:12" s="895" customFormat="1" ht="14.45" customHeight="1" thickBot="1">
      <c r="A60" s="886">
        <v>611</v>
      </c>
      <c r="B60" s="909" t="s">
        <v>439</v>
      </c>
      <c r="C60" s="928">
        <v>1840</v>
      </c>
      <c r="D60" s="931">
        <v>57</v>
      </c>
      <c r="E60" s="914">
        <f t="shared" si="1"/>
        <v>1897</v>
      </c>
      <c r="F60" s="931" t="s">
        <v>247</v>
      </c>
      <c r="G60" s="933" t="s">
        <v>247</v>
      </c>
      <c r="H60" s="914"/>
      <c r="I60" s="928"/>
      <c r="J60" s="935"/>
      <c r="K60" s="915"/>
      <c r="L60" s="894">
        <v>1</v>
      </c>
    </row>
    <row r="61" spans="1:12" s="895" customFormat="1" ht="15" thickBot="1">
      <c r="A61" s="886">
        <v>612</v>
      </c>
      <c r="B61" s="909" t="s">
        <v>440</v>
      </c>
      <c r="C61" s="928">
        <v>1690</v>
      </c>
      <c r="D61" s="931">
        <v>76</v>
      </c>
      <c r="E61" s="914">
        <f t="shared" si="1"/>
        <v>1766</v>
      </c>
      <c r="F61" s="931" t="s">
        <v>248</v>
      </c>
      <c r="G61" s="933" t="s">
        <v>248</v>
      </c>
      <c r="H61" s="914"/>
      <c r="I61" s="928"/>
      <c r="J61" s="935"/>
      <c r="K61" s="915"/>
      <c r="L61" s="894">
        <v>1</v>
      </c>
    </row>
    <row r="62" spans="1:12" s="895" customFormat="1" ht="15" thickBot="1">
      <c r="A62" s="886">
        <v>613</v>
      </c>
      <c r="B62" s="909" t="s">
        <v>441</v>
      </c>
      <c r="C62" s="928">
        <v>1680</v>
      </c>
      <c r="D62" s="931">
        <v>77</v>
      </c>
      <c r="E62" s="914">
        <f t="shared" si="1"/>
        <v>1757</v>
      </c>
      <c r="F62" s="931" t="s">
        <v>248</v>
      </c>
      <c r="G62" s="933" t="s">
        <v>248</v>
      </c>
      <c r="H62" s="914"/>
      <c r="I62" s="928"/>
      <c r="J62" s="935">
        <v>0</v>
      </c>
      <c r="K62" s="915"/>
      <c r="L62" s="894">
        <v>1</v>
      </c>
    </row>
    <row r="63" spans="1:12" s="895" customFormat="1" ht="14.45" customHeight="1" thickBot="1">
      <c r="A63" s="886">
        <v>614</v>
      </c>
      <c r="B63" s="909" t="s">
        <v>442</v>
      </c>
      <c r="C63" s="928">
        <v>1740</v>
      </c>
      <c r="D63" s="931">
        <v>75</v>
      </c>
      <c r="E63" s="914">
        <f t="shared" si="1"/>
        <v>1815</v>
      </c>
      <c r="F63" s="931" t="s">
        <v>249</v>
      </c>
      <c r="G63" s="933" t="s">
        <v>249</v>
      </c>
      <c r="H63" s="914"/>
      <c r="I63" s="928"/>
      <c r="J63" s="935"/>
      <c r="K63" s="915"/>
      <c r="L63" s="894">
        <v>1</v>
      </c>
    </row>
    <row r="64" spans="1:12" s="895" customFormat="1" ht="15" thickBot="1">
      <c r="A64" s="886">
        <v>615</v>
      </c>
      <c r="B64" s="909" t="s">
        <v>443</v>
      </c>
      <c r="C64" s="928">
        <v>1610</v>
      </c>
      <c r="D64" s="931">
        <v>87</v>
      </c>
      <c r="E64" s="914">
        <f t="shared" si="1"/>
        <v>1697</v>
      </c>
      <c r="F64" s="931" t="s">
        <v>245</v>
      </c>
      <c r="G64" s="933" t="s">
        <v>245</v>
      </c>
      <c r="H64" s="914"/>
      <c r="I64" s="928"/>
      <c r="J64" s="935"/>
      <c r="K64" s="915"/>
      <c r="L64" s="894">
        <v>1</v>
      </c>
    </row>
    <row r="65" spans="1:12" s="895" customFormat="1" ht="15" thickBot="1">
      <c r="A65" s="886">
        <v>616</v>
      </c>
      <c r="B65" s="909" t="s">
        <v>444</v>
      </c>
      <c r="C65" s="928">
        <v>1840</v>
      </c>
      <c r="D65" s="931">
        <v>57</v>
      </c>
      <c r="E65" s="914">
        <f t="shared" si="1"/>
        <v>1897</v>
      </c>
      <c r="F65" s="931"/>
      <c r="G65" s="933" t="s">
        <v>247</v>
      </c>
      <c r="H65" s="914"/>
      <c r="I65" s="928"/>
      <c r="J65" s="935"/>
      <c r="K65" s="915"/>
      <c r="L65" s="894">
        <v>1</v>
      </c>
    </row>
    <row r="66" spans="1:12" s="895" customFormat="1" ht="15" thickBot="1">
      <c r="A66" s="886">
        <v>617</v>
      </c>
      <c r="B66" s="909" t="s">
        <v>445</v>
      </c>
      <c r="C66" s="928">
        <v>1610</v>
      </c>
      <c r="D66" s="931">
        <v>87</v>
      </c>
      <c r="E66" s="914">
        <f t="shared" si="1"/>
        <v>1697</v>
      </c>
      <c r="F66" s="931"/>
      <c r="G66" s="933" t="s">
        <v>245</v>
      </c>
      <c r="H66" s="914"/>
      <c r="I66" s="928"/>
      <c r="J66" s="935"/>
      <c r="K66" s="915"/>
      <c r="L66" s="894">
        <v>1</v>
      </c>
    </row>
    <row r="67" spans="1:12" s="895" customFormat="1" ht="15" thickBot="1">
      <c r="A67" s="886">
        <v>618</v>
      </c>
      <c r="B67" s="909" t="s">
        <v>446</v>
      </c>
      <c r="C67" s="928">
        <v>1340</v>
      </c>
      <c r="D67" s="931">
        <v>122</v>
      </c>
      <c r="E67" s="914">
        <f t="shared" si="1"/>
        <v>1462</v>
      </c>
      <c r="F67" s="931"/>
      <c r="G67" s="933" t="s">
        <v>245</v>
      </c>
      <c r="H67" s="914"/>
      <c r="I67" s="928"/>
      <c r="J67" s="935"/>
      <c r="K67" s="915"/>
      <c r="L67" s="894">
        <v>1</v>
      </c>
    </row>
    <row r="68" spans="1:12" s="895" customFormat="1" ht="15" thickBot="1">
      <c r="A68" s="886">
        <v>619</v>
      </c>
      <c r="B68" s="909" t="s">
        <v>447</v>
      </c>
      <c r="C68" s="928">
        <v>971</v>
      </c>
      <c r="D68" s="931">
        <v>414.7</v>
      </c>
      <c r="E68" s="914">
        <f t="shared" si="1"/>
        <v>1385.7</v>
      </c>
      <c r="F68" s="931"/>
      <c r="G68" s="933"/>
      <c r="H68" s="914"/>
      <c r="I68" s="928"/>
      <c r="J68" s="935"/>
      <c r="K68" s="915"/>
      <c r="L68" s="894">
        <v>1</v>
      </c>
    </row>
    <row r="69" spans="1:12" s="895" customFormat="1" ht="14.45" customHeight="1" thickBot="1">
      <c r="A69" s="886">
        <v>620</v>
      </c>
      <c r="B69" s="909" t="s">
        <v>448</v>
      </c>
      <c r="C69" s="928">
        <v>1550</v>
      </c>
      <c r="D69" s="931">
        <v>94</v>
      </c>
      <c r="E69" s="914">
        <f t="shared" ref="E69:E100" si="2">C69+D69</f>
        <v>1644</v>
      </c>
      <c r="F69" s="931"/>
      <c r="G69" s="933" t="s">
        <v>245</v>
      </c>
      <c r="H69" s="914"/>
      <c r="I69" s="928"/>
      <c r="J69" s="935"/>
      <c r="K69" s="915"/>
      <c r="L69" s="894">
        <v>1</v>
      </c>
    </row>
    <row r="70" spans="1:12" s="895" customFormat="1" ht="15" thickBot="1">
      <c r="A70" s="886">
        <v>621</v>
      </c>
      <c r="B70" s="909" t="s">
        <v>449</v>
      </c>
      <c r="C70" s="928">
        <v>1340</v>
      </c>
      <c r="D70" s="931">
        <v>122</v>
      </c>
      <c r="E70" s="914">
        <f t="shared" si="2"/>
        <v>1462</v>
      </c>
      <c r="F70" s="931"/>
      <c r="G70" s="933"/>
      <c r="H70" s="914"/>
      <c r="I70" s="928"/>
      <c r="J70" s="935"/>
      <c r="K70" s="915"/>
      <c r="L70" s="894">
        <v>1</v>
      </c>
    </row>
    <row r="71" spans="1:12" s="895" customFormat="1" ht="15" thickBot="1">
      <c r="A71" s="886">
        <v>622</v>
      </c>
      <c r="B71" s="909" t="s">
        <v>450</v>
      </c>
      <c r="C71" s="928">
        <v>971</v>
      </c>
      <c r="D71" s="931">
        <v>414.7</v>
      </c>
      <c r="E71" s="914">
        <f t="shared" si="2"/>
        <v>1385.7</v>
      </c>
      <c r="F71" s="931"/>
      <c r="G71" s="933"/>
      <c r="H71" s="914"/>
      <c r="I71" s="928"/>
      <c r="J71" s="935"/>
      <c r="K71" s="915"/>
      <c r="L71" s="894">
        <v>1</v>
      </c>
    </row>
    <row r="72" spans="1:12" s="895" customFormat="1" ht="15" thickBot="1">
      <c r="A72" s="886">
        <v>624</v>
      </c>
      <c r="B72" s="909" t="s">
        <v>451</v>
      </c>
      <c r="C72" s="928">
        <v>971</v>
      </c>
      <c r="D72" s="931">
        <v>414.7</v>
      </c>
      <c r="E72" s="914">
        <f t="shared" si="2"/>
        <v>1385.7</v>
      </c>
      <c r="F72" s="931"/>
      <c r="G72" s="933"/>
      <c r="H72" s="914"/>
      <c r="I72" s="928"/>
      <c r="J72" s="935"/>
      <c r="K72" s="915"/>
      <c r="L72" s="894">
        <v>1</v>
      </c>
    </row>
    <row r="73" spans="1:12" s="895" customFormat="1" ht="15" thickBot="1">
      <c r="A73" s="886">
        <v>625</v>
      </c>
      <c r="B73" s="909" t="s">
        <v>452</v>
      </c>
      <c r="C73" s="928">
        <v>1370</v>
      </c>
      <c r="D73" s="931">
        <v>118</v>
      </c>
      <c r="E73" s="914">
        <f t="shared" si="2"/>
        <v>1488</v>
      </c>
      <c r="F73" s="931">
        <v>388</v>
      </c>
      <c r="G73" s="933" t="s">
        <v>245</v>
      </c>
      <c r="H73" s="914"/>
      <c r="I73" s="928"/>
      <c r="J73" s="935"/>
      <c r="K73" s="915"/>
      <c r="L73" s="894">
        <v>1</v>
      </c>
    </row>
    <row r="74" spans="1:12" s="895" customFormat="1" ht="14.45" customHeight="1" thickBot="1">
      <c r="A74" s="886">
        <v>626</v>
      </c>
      <c r="B74" s="909" t="s">
        <v>453</v>
      </c>
      <c r="C74" s="928">
        <v>1340</v>
      </c>
      <c r="D74" s="931">
        <v>122</v>
      </c>
      <c r="E74" s="914">
        <f t="shared" si="2"/>
        <v>1462</v>
      </c>
      <c r="F74" s="931">
        <v>388</v>
      </c>
      <c r="G74" s="933" t="s">
        <v>245</v>
      </c>
      <c r="H74" s="914"/>
      <c r="I74" s="928"/>
      <c r="J74" s="935"/>
      <c r="K74" s="915"/>
      <c r="L74" s="894">
        <v>1</v>
      </c>
    </row>
    <row r="75" spans="1:12" s="895" customFormat="1" ht="15" thickBot="1">
      <c r="A75" s="886">
        <v>627</v>
      </c>
      <c r="B75" s="909" t="s">
        <v>454</v>
      </c>
      <c r="C75" s="928">
        <v>1300</v>
      </c>
      <c r="D75" s="931">
        <v>127</v>
      </c>
      <c r="E75" s="914">
        <f t="shared" si="2"/>
        <v>1427</v>
      </c>
      <c r="F75" s="931">
        <v>388</v>
      </c>
      <c r="G75" s="933" t="s">
        <v>245</v>
      </c>
      <c r="H75" s="914"/>
      <c r="I75" s="928"/>
      <c r="J75" s="935"/>
      <c r="K75" s="915"/>
      <c r="L75" s="894">
        <v>1</v>
      </c>
    </row>
    <row r="76" spans="1:12" s="895" customFormat="1" ht="15" thickBot="1">
      <c r="A76" s="886">
        <v>628</v>
      </c>
      <c r="B76" s="909" t="s">
        <v>455</v>
      </c>
      <c r="C76" s="928">
        <v>980</v>
      </c>
      <c r="D76" s="931">
        <v>169</v>
      </c>
      <c r="E76" s="914">
        <f t="shared" si="2"/>
        <v>1149</v>
      </c>
      <c r="F76" s="931"/>
      <c r="G76" s="933"/>
      <c r="H76" s="914"/>
      <c r="I76" s="928"/>
      <c r="J76" s="935"/>
      <c r="K76" s="915"/>
      <c r="L76" s="894">
        <v>1</v>
      </c>
    </row>
    <row r="77" spans="1:12" s="895" customFormat="1" ht="14.45" customHeight="1" thickBot="1">
      <c r="A77" s="886">
        <v>629</v>
      </c>
      <c r="B77" s="909" t="s">
        <v>456</v>
      </c>
      <c r="C77" s="928">
        <v>941</v>
      </c>
      <c r="D77" s="931">
        <v>414.7</v>
      </c>
      <c r="E77" s="914">
        <f t="shared" si="2"/>
        <v>1355.7</v>
      </c>
      <c r="F77" s="931"/>
      <c r="G77" s="933"/>
      <c r="H77" s="914"/>
      <c r="I77" s="928"/>
      <c r="J77" s="935"/>
      <c r="K77" s="915"/>
      <c r="L77" s="894">
        <v>1</v>
      </c>
    </row>
    <row r="78" spans="1:12" s="895" customFormat="1" ht="15" thickBot="1">
      <c r="A78" s="886">
        <v>632</v>
      </c>
      <c r="B78" s="909" t="s">
        <v>408</v>
      </c>
      <c r="C78" s="928">
        <v>941</v>
      </c>
      <c r="D78" s="931">
        <v>414.7</v>
      </c>
      <c r="E78" s="914">
        <f t="shared" si="2"/>
        <v>1355.7</v>
      </c>
      <c r="F78" s="931"/>
      <c r="G78" s="933"/>
      <c r="H78" s="914"/>
      <c r="I78" s="928"/>
      <c r="J78" s="935"/>
      <c r="K78" s="915"/>
      <c r="L78" s="894">
        <v>1</v>
      </c>
    </row>
    <row r="79" spans="1:12" s="895" customFormat="1" ht="15" thickBot="1">
      <c r="A79" s="886">
        <v>633</v>
      </c>
      <c r="B79" s="909" t="s">
        <v>348</v>
      </c>
      <c r="C79" s="928">
        <v>941</v>
      </c>
      <c r="D79" s="931">
        <v>414.7</v>
      </c>
      <c r="E79" s="914">
        <f t="shared" si="2"/>
        <v>1355.7</v>
      </c>
      <c r="F79" s="931"/>
      <c r="G79" s="933"/>
      <c r="H79" s="914"/>
      <c r="I79" s="928"/>
      <c r="J79" s="935"/>
      <c r="K79" s="915"/>
      <c r="L79" s="894">
        <v>1</v>
      </c>
    </row>
    <row r="80" spans="1:12" s="895" customFormat="1" ht="15" thickBot="1">
      <c r="A80" s="886">
        <v>634</v>
      </c>
      <c r="B80" s="909" t="s">
        <v>457</v>
      </c>
      <c r="C80" s="928">
        <v>971</v>
      </c>
      <c r="D80" s="931">
        <v>414.7</v>
      </c>
      <c r="E80" s="914">
        <f t="shared" si="2"/>
        <v>1385.7</v>
      </c>
      <c r="F80" s="931"/>
      <c r="G80" s="933"/>
      <c r="H80" s="914"/>
      <c r="I80" s="928"/>
      <c r="J80" s="935"/>
      <c r="K80" s="915"/>
      <c r="L80" s="894">
        <v>1</v>
      </c>
    </row>
    <row r="81" spans="1:12" s="895" customFormat="1" ht="14.45" customHeight="1" thickBot="1">
      <c r="A81" s="886">
        <v>635</v>
      </c>
      <c r="B81" s="909" t="s">
        <v>458</v>
      </c>
      <c r="C81" s="928">
        <v>1740</v>
      </c>
      <c r="D81" s="931">
        <v>75</v>
      </c>
      <c r="E81" s="914">
        <f t="shared" si="2"/>
        <v>1815</v>
      </c>
      <c r="F81" s="931">
        <v>388</v>
      </c>
      <c r="G81" s="933" t="s">
        <v>245</v>
      </c>
      <c r="H81" s="914"/>
      <c r="I81" s="928"/>
      <c r="J81" s="931"/>
      <c r="K81" s="915"/>
      <c r="L81" s="894">
        <v>1</v>
      </c>
    </row>
    <row r="82" spans="1:12" s="895" customFormat="1" ht="15" thickBot="1">
      <c r="A82" s="886">
        <v>636</v>
      </c>
      <c r="B82" s="909" t="s">
        <v>459</v>
      </c>
      <c r="C82" s="928">
        <v>971</v>
      </c>
      <c r="D82" s="931">
        <v>414.7</v>
      </c>
      <c r="E82" s="914">
        <f t="shared" si="2"/>
        <v>1385.7</v>
      </c>
      <c r="F82" s="931"/>
      <c r="G82" s="933"/>
      <c r="H82" s="914"/>
      <c r="I82" s="928"/>
      <c r="J82" s="931"/>
      <c r="K82" s="915"/>
      <c r="L82" s="894">
        <v>1</v>
      </c>
    </row>
    <row r="83" spans="1:12" s="895" customFormat="1" ht="15" thickBot="1">
      <c r="A83" s="886">
        <v>637</v>
      </c>
      <c r="B83" s="909" t="s">
        <v>460</v>
      </c>
      <c r="C83" s="928">
        <v>971</v>
      </c>
      <c r="D83" s="931">
        <v>414.7</v>
      </c>
      <c r="E83" s="914">
        <f t="shared" si="2"/>
        <v>1385.7</v>
      </c>
      <c r="F83" s="931"/>
      <c r="G83" s="933"/>
      <c r="H83" s="914"/>
      <c r="I83" s="928"/>
      <c r="J83" s="931"/>
      <c r="K83" s="915"/>
      <c r="L83" s="894">
        <v>1</v>
      </c>
    </row>
    <row r="84" spans="1:12" s="895" customFormat="1" ht="15" thickBot="1">
      <c r="A84" s="886">
        <v>639</v>
      </c>
      <c r="B84" s="909" t="s">
        <v>461</v>
      </c>
      <c r="C84" s="928">
        <v>1300</v>
      </c>
      <c r="D84" s="931">
        <v>127</v>
      </c>
      <c r="E84" s="914">
        <f t="shared" si="2"/>
        <v>1427</v>
      </c>
      <c r="F84" s="931"/>
      <c r="G84" s="933"/>
      <c r="H84" s="914"/>
      <c r="I84" s="928"/>
      <c r="J84" s="931"/>
      <c r="K84" s="915"/>
      <c r="L84" s="894">
        <v>1</v>
      </c>
    </row>
    <row r="85" spans="1:12" s="895" customFormat="1" ht="15" thickBot="1">
      <c r="A85" s="886">
        <v>640</v>
      </c>
      <c r="B85" s="909" t="s">
        <v>462</v>
      </c>
      <c r="C85" s="928">
        <v>1680</v>
      </c>
      <c r="D85" s="931">
        <v>77</v>
      </c>
      <c r="E85" s="914">
        <f t="shared" si="2"/>
        <v>1757</v>
      </c>
      <c r="F85" s="931">
        <v>453</v>
      </c>
      <c r="G85" s="933" t="s">
        <v>248</v>
      </c>
      <c r="H85" s="914"/>
      <c r="I85" s="928"/>
      <c r="J85" s="931"/>
      <c r="K85" s="915"/>
      <c r="L85" s="894">
        <v>1</v>
      </c>
    </row>
    <row r="86" spans="1:12" s="895" customFormat="1" ht="14.45" customHeight="1" thickBot="1">
      <c r="A86" s="886">
        <v>641</v>
      </c>
      <c r="B86" s="909" t="s">
        <v>463</v>
      </c>
      <c r="C86" s="928">
        <v>1300</v>
      </c>
      <c r="D86" s="931">
        <v>127</v>
      </c>
      <c r="E86" s="914">
        <f t="shared" si="2"/>
        <v>1427</v>
      </c>
      <c r="F86" s="931">
        <v>388</v>
      </c>
      <c r="G86" s="933" t="s">
        <v>245</v>
      </c>
      <c r="H86" s="914"/>
      <c r="I86" s="928"/>
      <c r="J86" s="931"/>
      <c r="K86" s="915"/>
      <c r="L86" s="894">
        <v>1</v>
      </c>
    </row>
    <row r="87" spans="1:12" s="895" customFormat="1" ht="15" thickBot="1">
      <c r="A87" s="886">
        <v>642</v>
      </c>
      <c r="B87" s="909" t="s">
        <v>464</v>
      </c>
      <c r="C87" s="928">
        <v>2913</v>
      </c>
      <c r="D87" s="931">
        <v>0</v>
      </c>
      <c r="E87" s="914">
        <f t="shared" si="2"/>
        <v>2913</v>
      </c>
      <c r="F87" s="931">
        <v>776</v>
      </c>
      <c r="G87" s="933" t="s">
        <v>244</v>
      </c>
      <c r="H87" s="914"/>
      <c r="I87" s="928"/>
      <c r="J87" s="931"/>
      <c r="K87" s="915"/>
      <c r="L87" s="894">
        <v>1</v>
      </c>
    </row>
    <row r="88" spans="1:12" s="895" customFormat="1" ht="15" thickBot="1">
      <c r="A88" s="886">
        <v>643</v>
      </c>
      <c r="B88" s="909" t="s">
        <v>465</v>
      </c>
      <c r="C88" s="928">
        <v>1500</v>
      </c>
      <c r="D88" s="931">
        <v>101</v>
      </c>
      <c r="E88" s="914">
        <f t="shared" si="2"/>
        <v>1601</v>
      </c>
      <c r="F88" s="931">
        <v>388</v>
      </c>
      <c r="G88" s="933" t="s">
        <v>245</v>
      </c>
      <c r="H88" s="914"/>
      <c r="I88" s="928"/>
      <c r="J88" s="931"/>
      <c r="K88" s="915"/>
      <c r="L88" s="894">
        <v>1</v>
      </c>
    </row>
    <row r="89" spans="1:12" s="895" customFormat="1" ht="15" thickBot="1">
      <c r="A89" s="886">
        <v>644</v>
      </c>
      <c r="B89" s="909" t="s">
        <v>466</v>
      </c>
      <c r="C89" s="928">
        <v>971</v>
      </c>
      <c r="D89" s="931">
        <v>414.7</v>
      </c>
      <c r="E89" s="914">
        <f t="shared" si="2"/>
        <v>1385.7</v>
      </c>
      <c r="F89" s="931"/>
      <c r="G89" s="933"/>
      <c r="H89" s="914"/>
      <c r="I89" s="928"/>
      <c r="J89" s="931"/>
      <c r="K89" s="915"/>
      <c r="L89" s="894">
        <v>1</v>
      </c>
    </row>
    <row r="90" spans="1:12" s="895" customFormat="1" ht="15" thickBot="1">
      <c r="A90" s="886">
        <v>645</v>
      </c>
      <c r="B90" s="909" t="s">
        <v>467</v>
      </c>
      <c r="C90" s="928">
        <v>2329</v>
      </c>
      <c r="D90" s="931">
        <v>0</v>
      </c>
      <c r="E90" s="914">
        <f t="shared" si="2"/>
        <v>2329</v>
      </c>
      <c r="F90" s="931"/>
      <c r="G90" s="933"/>
      <c r="H90" s="914"/>
      <c r="I90" s="928"/>
      <c r="J90" s="931"/>
      <c r="K90" s="915"/>
      <c r="L90" s="894">
        <v>1</v>
      </c>
    </row>
    <row r="91" spans="1:12" s="895" customFormat="1" ht="15" thickBot="1">
      <c r="A91" s="886">
        <v>646</v>
      </c>
      <c r="B91" s="909" t="s">
        <v>468</v>
      </c>
      <c r="C91" s="928">
        <v>906</v>
      </c>
      <c r="D91" s="931">
        <v>414.7</v>
      </c>
      <c r="E91" s="914">
        <f t="shared" si="2"/>
        <v>1320.7</v>
      </c>
      <c r="F91" s="931"/>
      <c r="G91" s="933"/>
      <c r="H91" s="914"/>
      <c r="I91" s="928"/>
      <c r="J91" s="931"/>
      <c r="K91" s="915"/>
      <c r="L91" s="894">
        <v>1</v>
      </c>
    </row>
    <row r="92" spans="1:12" s="895" customFormat="1" ht="14.45" customHeight="1" thickBot="1">
      <c r="A92" s="886">
        <v>647</v>
      </c>
      <c r="B92" s="909" t="s">
        <v>469</v>
      </c>
      <c r="C92" s="928">
        <v>1830</v>
      </c>
      <c r="D92" s="931">
        <v>58</v>
      </c>
      <c r="E92" s="914">
        <f t="shared" si="2"/>
        <v>1888</v>
      </c>
      <c r="F92" s="931"/>
      <c r="G92" s="933"/>
      <c r="H92" s="914"/>
      <c r="I92" s="928"/>
      <c r="J92" s="931"/>
      <c r="K92" s="915"/>
      <c r="L92" s="894">
        <v>1</v>
      </c>
    </row>
    <row r="93" spans="1:12" s="895" customFormat="1" ht="15" thickBot="1">
      <c r="A93" s="886">
        <v>648</v>
      </c>
      <c r="B93" s="909" t="s">
        <v>470</v>
      </c>
      <c r="C93" s="928">
        <v>2000</v>
      </c>
      <c r="D93" s="931">
        <v>36</v>
      </c>
      <c r="E93" s="914">
        <f t="shared" si="2"/>
        <v>2036</v>
      </c>
      <c r="F93" s="931">
        <v>518</v>
      </c>
      <c r="G93" s="933" t="s">
        <v>249</v>
      </c>
      <c r="H93" s="914"/>
      <c r="I93" s="928"/>
      <c r="J93" s="931"/>
      <c r="K93" s="915"/>
      <c r="L93" s="894">
        <v>1</v>
      </c>
    </row>
    <row r="94" spans="1:12" s="895" customFormat="1" ht="15" thickBot="1">
      <c r="A94" s="886">
        <v>649</v>
      </c>
      <c r="B94" s="909" t="s">
        <v>471</v>
      </c>
      <c r="C94" s="928">
        <v>971</v>
      </c>
      <c r="D94" s="931">
        <v>414.7</v>
      </c>
      <c r="E94" s="914">
        <f t="shared" si="2"/>
        <v>1385.7</v>
      </c>
      <c r="F94" s="931"/>
      <c r="G94" s="933"/>
      <c r="H94" s="914"/>
      <c r="I94" s="928"/>
      <c r="J94" s="931"/>
      <c r="K94" s="915"/>
      <c r="L94" s="894">
        <v>1</v>
      </c>
    </row>
    <row r="95" spans="1:12" s="895" customFormat="1" ht="14.45" customHeight="1" thickBot="1">
      <c r="A95" s="886">
        <v>650</v>
      </c>
      <c r="B95" s="909" t="s">
        <v>472</v>
      </c>
      <c r="C95" s="928">
        <v>1740</v>
      </c>
      <c r="D95" s="931">
        <v>75</v>
      </c>
      <c r="E95" s="914">
        <f t="shared" si="2"/>
        <v>1815</v>
      </c>
      <c r="F95" s="931"/>
      <c r="G95" s="933"/>
      <c r="H95" s="914"/>
      <c r="I95" s="928">
        <v>750</v>
      </c>
      <c r="J95" s="931"/>
      <c r="K95" s="915"/>
      <c r="L95" s="894">
        <v>1</v>
      </c>
    </row>
    <row r="96" spans="1:12" s="895" customFormat="1" ht="15" thickBot="1">
      <c r="A96" s="886">
        <v>651</v>
      </c>
      <c r="B96" s="909" t="s">
        <v>473</v>
      </c>
      <c r="C96" s="928">
        <v>971</v>
      </c>
      <c r="D96" s="931">
        <v>414.7</v>
      </c>
      <c r="E96" s="914">
        <f t="shared" si="2"/>
        <v>1385.7</v>
      </c>
      <c r="F96" s="931"/>
      <c r="G96" s="933"/>
      <c r="H96" s="914"/>
      <c r="I96" s="928"/>
      <c r="J96" s="931"/>
      <c r="K96" s="915"/>
      <c r="L96" s="894">
        <v>1</v>
      </c>
    </row>
    <row r="97" spans="1:12" s="895" customFormat="1" ht="15" thickBot="1">
      <c r="A97" s="886">
        <v>652</v>
      </c>
      <c r="B97" s="909" t="s">
        <v>474</v>
      </c>
      <c r="C97" s="928">
        <v>1250</v>
      </c>
      <c r="D97" s="931">
        <v>134</v>
      </c>
      <c r="E97" s="914">
        <f t="shared" si="2"/>
        <v>1384</v>
      </c>
      <c r="F97" s="931"/>
      <c r="G97" s="933"/>
      <c r="H97" s="914"/>
      <c r="I97" s="928">
        <v>496</v>
      </c>
      <c r="J97" s="931"/>
      <c r="K97" s="915"/>
      <c r="L97" s="894">
        <v>1</v>
      </c>
    </row>
    <row r="98" spans="1:12" s="895" customFormat="1" ht="14.45" customHeight="1" thickBot="1">
      <c r="A98" s="886">
        <v>653</v>
      </c>
      <c r="B98" s="909" t="s">
        <v>475</v>
      </c>
      <c r="C98" s="928">
        <v>1400</v>
      </c>
      <c r="D98" s="931">
        <v>114</v>
      </c>
      <c r="E98" s="914">
        <f t="shared" si="2"/>
        <v>1514</v>
      </c>
      <c r="F98" s="931">
        <v>388</v>
      </c>
      <c r="G98" s="933" t="s">
        <v>245</v>
      </c>
      <c r="H98" s="914"/>
      <c r="I98" s="928">
        <v>100</v>
      </c>
      <c r="J98" s="931"/>
      <c r="K98" s="915"/>
      <c r="L98" s="894">
        <v>1</v>
      </c>
    </row>
    <row r="99" spans="1:12" s="895" customFormat="1" ht="15" thickBot="1">
      <c r="A99" s="886">
        <v>654</v>
      </c>
      <c r="B99" s="909" t="s">
        <v>476</v>
      </c>
      <c r="C99" s="928">
        <v>1690</v>
      </c>
      <c r="D99" s="931">
        <v>76</v>
      </c>
      <c r="E99" s="914">
        <f t="shared" si="2"/>
        <v>1766</v>
      </c>
      <c r="F99" s="931">
        <v>453</v>
      </c>
      <c r="G99" s="933" t="s">
        <v>248</v>
      </c>
      <c r="H99" s="914"/>
      <c r="I99" s="928">
        <v>300</v>
      </c>
      <c r="J99" s="931"/>
      <c r="K99" s="915"/>
      <c r="L99" s="894">
        <v>1</v>
      </c>
    </row>
    <row r="100" spans="1:12" s="895" customFormat="1" ht="15" thickBot="1">
      <c r="A100" s="886">
        <v>655</v>
      </c>
      <c r="B100" s="909" t="s">
        <v>477</v>
      </c>
      <c r="C100" s="928">
        <v>1550</v>
      </c>
      <c r="D100" s="931">
        <v>94</v>
      </c>
      <c r="E100" s="914">
        <f t="shared" si="2"/>
        <v>1644</v>
      </c>
      <c r="F100" s="931">
        <v>388</v>
      </c>
      <c r="G100" s="933" t="s">
        <v>245</v>
      </c>
      <c r="H100" s="914"/>
      <c r="I100" s="928">
        <v>200</v>
      </c>
      <c r="J100" s="931"/>
      <c r="K100" s="915"/>
      <c r="L100" s="894">
        <v>1</v>
      </c>
    </row>
    <row r="101" spans="1:12" s="895" customFormat="1" ht="14.45" customHeight="1" thickBot="1">
      <c r="A101" s="886">
        <v>656</v>
      </c>
      <c r="B101" s="909" t="s">
        <v>478</v>
      </c>
      <c r="C101" s="928">
        <v>971</v>
      </c>
      <c r="D101" s="931">
        <v>414.7</v>
      </c>
      <c r="E101" s="914">
        <f t="shared" ref="E101:E122" si="3">C101+D101</f>
        <v>1385.7</v>
      </c>
      <c r="F101" s="931"/>
      <c r="G101" s="933"/>
      <c r="H101" s="914"/>
      <c r="I101" s="928"/>
      <c r="J101" s="931"/>
      <c r="K101" s="915"/>
      <c r="L101" s="894">
        <v>1</v>
      </c>
    </row>
    <row r="102" spans="1:12" s="895" customFormat="1" ht="15" thickBot="1">
      <c r="A102" s="886">
        <v>658</v>
      </c>
      <c r="B102" s="909" t="s">
        <v>479</v>
      </c>
      <c r="C102" s="928">
        <v>1300</v>
      </c>
      <c r="D102" s="931">
        <v>127</v>
      </c>
      <c r="E102" s="914">
        <f t="shared" si="3"/>
        <v>1427</v>
      </c>
      <c r="F102" s="931">
        <v>388</v>
      </c>
      <c r="G102" s="933" t="s">
        <v>245</v>
      </c>
      <c r="H102" s="914"/>
      <c r="I102" s="928"/>
      <c r="J102" s="931"/>
      <c r="K102" s="915"/>
      <c r="L102" s="894">
        <v>1</v>
      </c>
    </row>
    <row r="103" spans="1:12" s="895" customFormat="1" ht="15" thickBot="1">
      <c r="A103" s="886">
        <v>659</v>
      </c>
      <c r="B103" s="909" t="s">
        <v>480</v>
      </c>
      <c r="C103" s="928">
        <v>1340</v>
      </c>
      <c r="D103" s="931">
        <v>122</v>
      </c>
      <c r="E103" s="914">
        <f t="shared" si="3"/>
        <v>1462</v>
      </c>
      <c r="F103" s="931"/>
      <c r="G103" s="933"/>
      <c r="H103" s="914"/>
      <c r="I103" s="928"/>
      <c r="J103" s="931"/>
      <c r="K103" s="915"/>
      <c r="L103" s="894">
        <v>1</v>
      </c>
    </row>
    <row r="104" spans="1:12" s="895" customFormat="1" ht="15" thickBot="1">
      <c r="A104" s="886">
        <v>667</v>
      </c>
      <c r="B104" s="909" t="s">
        <v>481</v>
      </c>
      <c r="C104" s="928">
        <v>2000</v>
      </c>
      <c r="D104" s="931">
        <v>36</v>
      </c>
      <c r="E104" s="914">
        <f t="shared" si="3"/>
        <v>2036</v>
      </c>
      <c r="F104" s="931">
        <v>647</v>
      </c>
      <c r="G104" s="933" t="s">
        <v>246</v>
      </c>
      <c r="H104" s="914"/>
      <c r="I104" s="928">
        <v>830</v>
      </c>
      <c r="J104" s="931"/>
      <c r="K104" s="915"/>
      <c r="L104" s="894">
        <v>1</v>
      </c>
    </row>
    <row r="105" spans="1:12" s="895" customFormat="1" ht="15" thickBot="1">
      <c r="A105" s="886">
        <v>668</v>
      </c>
      <c r="B105" s="909" t="s">
        <v>482</v>
      </c>
      <c r="C105" s="928">
        <v>1840</v>
      </c>
      <c r="D105" s="931">
        <v>57</v>
      </c>
      <c r="E105" s="914">
        <f t="shared" si="3"/>
        <v>1897</v>
      </c>
      <c r="F105" s="931">
        <v>582</v>
      </c>
      <c r="G105" s="933" t="s">
        <v>247</v>
      </c>
      <c r="H105" s="914"/>
      <c r="I105" s="928">
        <v>830</v>
      </c>
      <c r="J105" s="931"/>
      <c r="K105" s="915"/>
      <c r="L105" s="894">
        <v>1</v>
      </c>
    </row>
    <row r="106" spans="1:12" s="895" customFormat="1" ht="15" thickBot="1">
      <c r="A106" s="886">
        <v>669</v>
      </c>
      <c r="B106" s="909" t="s">
        <v>483</v>
      </c>
      <c r="C106" s="928">
        <v>1680</v>
      </c>
      <c r="D106" s="931">
        <v>77</v>
      </c>
      <c r="E106" s="914">
        <f t="shared" si="3"/>
        <v>1757</v>
      </c>
      <c r="F106" s="931" t="s">
        <v>248</v>
      </c>
      <c r="G106" s="933" t="s">
        <v>248</v>
      </c>
      <c r="H106" s="914"/>
      <c r="I106" s="928">
        <v>830</v>
      </c>
      <c r="J106" s="931"/>
      <c r="K106" s="915"/>
      <c r="L106" s="894">
        <v>1</v>
      </c>
    </row>
    <row r="107" spans="1:12" s="895" customFormat="1" ht="15" thickBot="1">
      <c r="A107" s="886">
        <v>670</v>
      </c>
      <c r="B107" s="909" t="s">
        <v>484</v>
      </c>
      <c r="C107" s="928">
        <v>1740</v>
      </c>
      <c r="D107" s="931">
        <v>75</v>
      </c>
      <c r="E107" s="914">
        <f t="shared" si="3"/>
        <v>1815</v>
      </c>
      <c r="F107" s="931" t="s">
        <v>249</v>
      </c>
      <c r="G107" s="933" t="s">
        <v>249</v>
      </c>
      <c r="H107" s="914"/>
      <c r="I107" s="928">
        <v>750</v>
      </c>
      <c r="J107" s="931"/>
      <c r="K107" s="915"/>
      <c r="L107" s="894">
        <v>1</v>
      </c>
    </row>
    <row r="108" spans="1:12" s="895" customFormat="1" ht="14.45" customHeight="1" thickBot="1">
      <c r="A108" s="886">
        <v>671</v>
      </c>
      <c r="B108" s="909" t="s">
        <v>485</v>
      </c>
      <c r="C108" s="928">
        <v>1610</v>
      </c>
      <c r="D108" s="931">
        <v>87</v>
      </c>
      <c r="E108" s="914">
        <f t="shared" si="3"/>
        <v>1697</v>
      </c>
      <c r="F108" s="931" t="s">
        <v>245</v>
      </c>
      <c r="G108" s="933" t="s">
        <v>245</v>
      </c>
      <c r="H108" s="914"/>
      <c r="I108" s="928">
        <v>750</v>
      </c>
      <c r="J108" s="931"/>
      <c r="K108" s="915"/>
      <c r="L108" s="894">
        <v>1</v>
      </c>
    </row>
    <row r="109" spans="1:12" s="895" customFormat="1" ht="15" thickBot="1">
      <c r="A109" s="886">
        <v>675</v>
      </c>
      <c r="B109" s="909" t="s">
        <v>486</v>
      </c>
      <c r="C109" s="928">
        <v>1740</v>
      </c>
      <c r="D109" s="931">
        <v>75</v>
      </c>
      <c r="E109" s="914">
        <f t="shared" si="3"/>
        <v>1815</v>
      </c>
      <c r="F109" s="931">
        <v>517</v>
      </c>
      <c r="G109" s="933" t="s">
        <v>250</v>
      </c>
      <c r="H109" s="914"/>
      <c r="I109" s="928">
        <v>725</v>
      </c>
      <c r="J109" s="931"/>
      <c r="K109" s="915"/>
      <c r="L109" s="894">
        <v>1</v>
      </c>
    </row>
    <row r="110" spans="1:12" s="895" customFormat="1" ht="15" thickBot="1">
      <c r="A110" s="886">
        <v>676</v>
      </c>
      <c r="B110" s="909" t="s">
        <v>487</v>
      </c>
      <c r="C110" s="928">
        <v>1610</v>
      </c>
      <c r="D110" s="931">
        <v>87</v>
      </c>
      <c r="E110" s="914">
        <f t="shared" si="3"/>
        <v>1697</v>
      </c>
      <c r="F110" s="931">
        <v>388</v>
      </c>
      <c r="G110" s="933" t="s">
        <v>245</v>
      </c>
      <c r="H110" s="914"/>
      <c r="I110" s="928">
        <v>725</v>
      </c>
      <c r="J110" s="931"/>
      <c r="K110" s="915"/>
      <c r="L110" s="894">
        <v>1</v>
      </c>
    </row>
    <row r="111" spans="1:12" s="895" customFormat="1" ht="14.45" customHeight="1" thickBot="1">
      <c r="A111" s="886">
        <v>677</v>
      </c>
      <c r="B111" s="909" t="s">
        <v>488</v>
      </c>
      <c r="C111" s="928">
        <v>1500</v>
      </c>
      <c r="D111" s="931">
        <v>101</v>
      </c>
      <c r="E111" s="914">
        <f t="shared" si="3"/>
        <v>1601</v>
      </c>
      <c r="F111" s="931">
        <v>388</v>
      </c>
      <c r="G111" s="933" t="s">
        <v>245</v>
      </c>
      <c r="H111" s="914"/>
      <c r="I111" s="928">
        <v>725</v>
      </c>
      <c r="J111" s="931"/>
      <c r="K111" s="915"/>
      <c r="L111" s="894">
        <v>1</v>
      </c>
    </row>
    <row r="112" spans="1:12" s="895" customFormat="1" ht="15" thickBot="1">
      <c r="A112" s="886">
        <v>678</v>
      </c>
      <c r="B112" s="909" t="s">
        <v>489</v>
      </c>
      <c r="C112" s="928">
        <v>1320</v>
      </c>
      <c r="D112" s="931">
        <v>124</v>
      </c>
      <c r="E112" s="914">
        <f t="shared" si="3"/>
        <v>1444</v>
      </c>
      <c r="F112" s="931"/>
      <c r="G112" s="933"/>
      <c r="H112" s="914"/>
      <c r="I112" s="928">
        <v>590</v>
      </c>
      <c r="J112" s="931"/>
      <c r="K112" s="915"/>
      <c r="L112" s="894">
        <v>1</v>
      </c>
    </row>
    <row r="113" spans="1:12" s="895" customFormat="1" ht="15" thickBot="1">
      <c r="A113" s="886">
        <v>679</v>
      </c>
      <c r="B113" s="909" t="s">
        <v>490</v>
      </c>
      <c r="C113" s="928">
        <v>1690</v>
      </c>
      <c r="D113" s="931">
        <v>76</v>
      </c>
      <c r="E113" s="914">
        <f t="shared" si="3"/>
        <v>1766</v>
      </c>
      <c r="F113" s="931"/>
      <c r="G113" s="933"/>
      <c r="H113" s="914"/>
      <c r="I113" s="928">
        <v>708</v>
      </c>
      <c r="J113" s="931"/>
      <c r="K113" s="915"/>
      <c r="L113" s="894">
        <v>1</v>
      </c>
    </row>
    <row r="114" spans="1:12" s="895" customFormat="1" ht="15" thickBot="1">
      <c r="A114" s="886">
        <v>684</v>
      </c>
      <c r="B114" s="909" t="s">
        <v>491</v>
      </c>
      <c r="C114" s="928">
        <v>1170</v>
      </c>
      <c r="D114" s="931">
        <v>144</v>
      </c>
      <c r="E114" s="914">
        <f t="shared" si="3"/>
        <v>1314</v>
      </c>
      <c r="F114" s="931"/>
      <c r="G114" s="933"/>
      <c r="H114" s="914"/>
      <c r="I114" s="928">
        <v>580</v>
      </c>
      <c r="J114" s="931"/>
      <c r="K114" s="915"/>
      <c r="L114" s="894">
        <v>1</v>
      </c>
    </row>
    <row r="115" spans="1:12" s="895" customFormat="1" ht="14.45" customHeight="1" thickBot="1">
      <c r="A115" s="886">
        <v>686</v>
      </c>
      <c r="B115" s="909" t="s">
        <v>492</v>
      </c>
      <c r="C115" s="928">
        <v>2000</v>
      </c>
      <c r="D115" s="931">
        <v>36</v>
      </c>
      <c r="E115" s="914">
        <f t="shared" si="3"/>
        <v>2036</v>
      </c>
      <c r="F115" s="931">
        <v>647</v>
      </c>
      <c r="G115" s="933" t="s">
        <v>246</v>
      </c>
      <c r="H115" s="914"/>
      <c r="I115" s="928">
        <v>830</v>
      </c>
      <c r="J115" s="931"/>
      <c r="K115" s="915"/>
      <c r="L115" s="894">
        <v>1</v>
      </c>
    </row>
    <row r="116" spans="1:12" s="895" customFormat="1" ht="15" thickBot="1">
      <c r="A116" s="886">
        <v>687</v>
      </c>
      <c r="B116" s="909" t="s">
        <v>493</v>
      </c>
      <c r="C116" s="928">
        <v>1840</v>
      </c>
      <c r="D116" s="931">
        <v>57</v>
      </c>
      <c r="E116" s="914">
        <f t="shared" si="3"/>
        <v>1897</v>
      </c>
      <c r="F116" s="931">
        <v>582</v>
      </c>
      <c r="G116" s="933" t="s">
        <v>247</v>
      </c>
      <c r="H116" s="914"/>
      <c r="I116" s="928">
        <v>600</v>
      </c>
      <c r="J116" s="931"/>
      <c r="K116" s="915"/>
      <c r="L116" s="894">
        <v>1</v>
      </c>
    </row>
    <row r="117" spans="1:12" s="895" customFormat="1" ht="15" thickBot="1">
      <c r="A117" s="886">
        <v>688</v>
      </c>
      <c r="B117" s="909" t="s">
        <v>494</v>
      </c>
      <c r="C117" s="928">
        <v>1680</v>
      </c>
      <c r="D117" s="931">
        <v>77</v>
      </c>
      <c r="E117" s="914">
        <f t="shared" si="3"/>
        <v>1757</v>
      </c>
      <c r="F117" s="931" t="s">
        <v>248</v>
      </c>
      <c r="G117" s="933" t="s">
        <v>248</v>
      </c>
      <c r="H117" s="914"/>
      <c r="I117" s="928">
        <v>830</v>
      </c>
      <c r="J117" s="931"/>
      <c r="K117" s="915"/>
      <c r="L117" s="894">
        <v>1</v>
      </c>
    </row>
    <row r="118" spans="1:12" s="895" customFormat="1" ht="14.45" customHeight="1" thickBot="1">
      <c r="A118" s="886">
        <v>691</v>
      </c>
      <c r="B118" s="909" t="s">
        <v>495</v>
      </c>
      <c r="C118" s="928">
        <v>1500</v>
      </c>
      <c r="D118" s="931">
        <v>101</v>
      </c>
      <c r="E118" s="914">
        <f t="shared" si="3"/>
        <v>1601</v>
      </c>
      <c r="F118" s="931"/>
      <c r="G118" s="933"/>
      <c r="H118" s="914"/>
      <c r="I118" s="928">
        <v>750</v>
      </c>
      <c r="J118" s="931"/>
      <c r="K118" s="915"/>
      <c r="L118" s="894">
        <v>1</v>
      </c>
    </row>
    <row r="119" spans="1:12" s="895" customFormat="1" ht="15" thickBot="1">
      <c r="A119" s="886">
        <v>692</v>
      </c>
      <c r="B119" s="909" t="s">
        <v>496</v>
      </c>
      <c r="C119" s="928">
        <v>1680</v>
      </c>
      <c r="D119" s="931">
        <v>77</v>
      </c>
      <c r="E119" s="914">
        <f t="shared" si="3"/>
        <v>1757</v>
      </c>
      <c r="F119" s="931" t="s">
        <v>248</v>
      </c>
      <c r="G119" s="933" t="s">
        <v>248</v>
      </c>
      <c r="H119" s="914"/>
      <c r="I119" s="928"/>
      <c r="J119" s="931"/>
      <c r="K119" s="915"/>
      <c r="L119" s="894">
        <v>1</v>
      </c>
    </row>
    <row r="120" spans="1:12" s="895" customFormat="1" ht="15" thickBot="1">
      <c r="A120" s="886">
        <v>693</v>
      </c>
      <c r="B120" s="909" t="s">
        <v>497</v>
      </c>
      <c r="C120" s="928">
        <v>1500</v>
      </c>
      <c r="D120" s="931">
        <v>101</v>
      </c>
      <c r="E120" s="914">
        <f t="shared" si="3"/>
        <v>1601</v>
      </c>
      <c r="F120" s="931" t="s">
        <v>248</v>
      </c>
      <c r="G120" s="933" t="s">
        <v>248</v>
      </c>
      <c r="H120" s="914"/>
      <c r="I120" s="928"/>
      <c r="J120" s="931"/>
      <c r="K120" s="915"/>
      <c r="L120" s="894">
        <v>1</v>
      </c>
    </row>
    <row r="121" spans="1:12" s="895" customFormat="1" ht="14.45" customHeight="1" thickBot="1">
      <c r="A121" s="886">
        <v>694</v>
      </c>
      <c r="B121" s="909" t="s">
        <v>498</v>
      </c>
      <c r="C121" s="928">
        <v>1300</v>
      </c>
      <c r="D121" s="931">
        <v>127</v>
      </c>
      <c r="E121" s="914">
        <f t="shared" si="3"/>
        <v>1427</v>
      </c>
      <c r="F121" s="931" t="s">
        <v>248</v>
      </c>
      <c r="G121" s="933" t="s">
        <v>248</v>
      </c>
      <c r="H121" s="914"/>
      <c r="I121" s="928"/>
      <c r="J121" s="931"/>
      <c r="K121" s="915"/>
      <c r="L121" s="894">
        <v>1</v>
      </c>
    </row>
    <row r="122" spans="1:12" s="895" customFormat="1" ht="15" thickBot="1">
      <c r="A122" s="886">
        <v>696</v>
      </c>
      <c r="B122" s="909" t="s">
        <v>499</v>
      </c>
      <c r="C122" s="928">
        <v>1500</v>
      </c>
      <c r="D122" s="931">
        <v>101</v>
      </c>
      <c r="E122" s="914">
        <f t="shared" si="3"/>
        <v>1601</v>
      </c>
      <c r="F122" s="931" t="s">
        <v>248</v>
      </c>
      <c r="G122" s="933" t="s">
        <v>248</v>
      </c>
      <c r="H122" s="914"/>
      <c r="I122" s="928"/>
      <c r="J122" s="931"/>
      <c r="K122" s="915"/>
      <c r="L122" s="894">
        <v>1</v>
      </c>
    </row>
    <row r="123" spans="1:12" s="895" customFormat="1" ht="15" thickBot="1">
      <c r="A123" s="886">
        <v>702</v>
      </c>
      <c r="B123" s="909" t="s">
        <v>500</v>
      </c>
      <c r="C123" s="928">
        <v>1400</v>
      </c>
      <c r="D123" s="931">
        <v>114</v>
      </c>
      <c r="E123" s="914">
        <f t="shared" ref="E123:E154" si="4">C123+D123</f>
        <v>1514</v>
      </c>
      <c r="F123" s="931">
        <v>310</v>
      </c>
      <c r="G123" s="933" t="s">
        <v>245</v>
      </c>
      <c r="H123" s="914">
        <v>17</v>
      </c>
      <c r="I123" s="928"/>
      <c r="J123" s="931"/>
      <c r="K123" s="915"/>
      <c r="L123" s="894">
        <v>1</v>
      </c>
    </row>
    <row r="124" spans="1:12" s="895" customFormat="1" ht="15" thickBot="1">
      <c r="A124" s="886">
        <v>703</v>
      </c>
      <c r="B124" s="909" t="s">
        <v>501</v>
      </c>
      <c r="C124" s="928">
        <v>1400</v>
      </c>
      <c r="D124" s="931">
        <v>114</v>
      </c>
      <c r="E124" s="914">
        <f t="shared" si="4"/>
        <v>1514</v>
      </c>
      <c r="F124" s="931">
        <v>310</v>
      </c>
      <c r="G124" s="933" t="s">
        <v>245</v>
      </c>
      <c r="H124" s="914">
        <v>17</v>
      </c>
      <c r="I124" s="928">
        <v>211</v>
      </c>
      <c r="J124" s="931"/>
      <c r="K124" s="915"/>
      <c r="L124" s="894">
        <v>1</v>
      </c>
    </row>
    <row r="125" spans="1:12" s="895" customFormat="1" ht="14.45" customHeight="1" thickBot="1">
      <c r="A125" s="886">
        <v>704</v>
      </c>
      <c r="B125" s="909" t="s">
        <v>502</v>
      </c>
      <c r="C125" s="928">
        <v>1300</v>
      </c>
      <c r="D125" s="931">
        <v>127</v>
      </c>
      <c r="E125" s="914">
        <f t="shared" si="4"/>
        <v>1427</v>
      </c>
      <c r="F125" s="931">
        <v>310</v>
      </c>
      <c r="G125" s="933" t="s">
        <v>245</v>
      </c>
      <c r="H125" s="914">
        <v>17</v>
      </c>
      <c r="I125" s="928"/>
      <c r="J125" s="931"/>
      <c r="K125" s="915"/>
      <c r="L125" s="894">
        <v>1</v>
      </c>
    </row>
    <row r="126" spans="1:12" s="895" customFormat="1" ht="15" thickBot="1">
      <c r="A126" s="886">
        <v>705</v>
      </c>
      <c r="B126" s="909" t="s">
        <v>503</v>
      </c>
      <c r="C126" s="928">
        <v>1300</v>
      </c>
      <c r="D126" s="931">
        <v>127</v>
      </c>
      <c r="E126" s="914">
        <f t="shared" si="4"/>
        <v>1427</v>
      </c>
      <c r="F126" s="931">
        <v>310</v>
      </c>
      <c r="G126" s="933" t="s">
        <v>245</v>
      </c>
      <c r="H126" s="914">
        <v>17</v>
      </c>
      <c r="I126" s="928">
        <v>211</v>
      </c>
      <c r="J126" s="931"/>
      <c r="K126" s="915"/>
      <c r="L126" s="894">
        <v>1</v>
      </c>
    </row>
    <row r="127" spans="1:12" s="895" customFormat="1" ht="15" thickBot="1">
      <c r="A127" s="886">
        <v>706</v>
      </c>
      <c r="B127" s="909" t="s">
        <v>504</v>
      </c>
      <c r="C127" s="928">
        <v>1250</v>
      </c>
      <c r="D127" s="931">
        <v>134</v>
      </c>
      <c r="E127" s="914">
        <f t="shared" si="4"/>
        <v>1384</v>
      </c>
      <c r="F127" s="931">
        <v>310</v>
      </c>
      <c r="G127" s="933" t="s">
        <v>245</v>
      </c>
      <c r="H127" s="914">
        <v>17</v>
      </c>
      <c r="I127" s="928"/>
      <c r="J127" s="931"/>
      <c r="K127" s="915"/>
      <c r="L127" s="894">
        <v>1</v>
      </c>
    </row>
    <row r="128" spans="1:12" s="895" customFormat="1" ht="14.45" customHeight="1" thickBot="1">
      <c r="A128" s="886">
        <v>707</v>
      </c>
      <c r="B128" s="909" t="s">
        <v>505</v>
      </c>
      <c r="C128" s="928">
        <v>2913</v>
      </c>
      <c r="D128" s="931">
        <v>0</v>
      </c>
      <c r="E128" s="914">
        <f t="shared" si="4"/>
        <v>2913</v>
      </c>
      <c r="F128" s="931">
        <v>776</v>
      </c>
      <c r="G128" s="933" t="s">
        <v>244</v>
      </c>
      <c r="H128" s="914"/>
      <c r="I128" s="928"/>
      <c r="J128" s="931"/>
      <c r="K128" s="915"/>
      <c r="L128" s="894">
        <v>1</v>
      </c>
    </row>
    <row r="129" spans="1:12" s="895" customFormat="1" ht="15" thickBot="1">
      <c r="A129" s="886">
        <v>708</v>
      </c>
      <c r="B129" s="909" t="s">
        <v>506</v>
      </c>
      <c r="C129" s="928">
        <v>3146</v>
      </c>
      <c r="D129" s="931">
        <v>0</v>
      </c>
      <c r="E129" s="914">
        <f t="shared" si="4"/>
        <v>3146</v>
      </c>
      <c r="F129" s="931">
        <v>776</v>
      </c>
      <c r="G129" s="933" t="s">
        <v>244</v>
      </c>
      <c r="H129" s="914"/>
      <c r="I129" s="928"/>
      <c r="J129" s="931"/>
      <c r="K129" s="915"/>
      <c r="L129" s="894">
        <v>1</v>
      </c>
    </row>
    <row r="130" spans="1:12" s="895" customFormat="1" ht="15" thickBot="1">
      <c r="A130" s="886">
        <v>709</v>
      </c>
      <c r="B130" s="909" t="s">
        <v>507</v>
      </c>
      <c r="C130" s="928">
        <v>2913</v>
      </c>
      <c r="D130" s="931">
        <v>0</v>
      </c>
      <c r="E130" s="914">
        <f t="shared" si="4"/>
        <v>2913</v>
      </c>
      <c r="F130" s="931">
        <v>776</v>
      </c>
      <c r="G130" s="933" t="s">
        <v>244</v>
      </c>
      <c r="H130" s="914"/>
      <c r="I130" s="928"/>
      <c r="J130" s="931"/>
      <c r="K130" s="915"/>
      <c r="L130" s="894">
        <v>1</v>
      </c>
    </row>
    <row r="131" spans="1:12" s="895" customFormat="1" ht="15" thickBot="1">
      <c r="A131" s="886">
        <v>710</v>
      </c>
      <c r="B131" s="909" t="s">
        <v>508</v>
      </c>
      <c r="C131" s="928">
        <v>2913</v>
      </c>
      <c r="D131" s="931">
        <v>0</v>
      </c>
      <c r="E131" s="914">
        <f t="shared" si="4"/>
        <v>2913</v>
      </c>
      <c r="F131" s="931">
        <v>776</v>
      </c>
      <c r="G131" s="933" t="s">
        <v>244</v>
      </c>
      <c r="H131" s="914">
        <v>20</v>
      </c>
      <c r="I131" s="928"/>
      <c r="J131" s="931"/>
      <c r="K131" s="915"/>
      <c r="L131" s="894">
        <v>1</v>
      </c>
    </row>
    <row r="132" spans="1:12" s="895" customFormat="1" ht="15" thickBot="1">
      <c r="A132" s="886">
        <v>711</v>
      </c>
      <c r="B132" s="909" t="s">
        <v>509</v>
      </c>
      <c r="C132" s="928">
        <v>2913</v>
      </c>
      <c r="D132" s="931">
        <v>0</v>
      </c>
      <c r="E132" s="914">
        <f t="shared" si="4"/>
        <v>2913</v>
      </c>
      <c r="F132" s="931">
        <v>776</v>
      </c>
      <c r="G132" s="933" t="s">
        <v>244</v>
      </c>
      <c r="H132" s="914"/>
      <c r="I132" s="928"/>
      <c r="J132" s="931"/>
      <c r="K132" s="915"/>
      <c r="L132" s="894">
        <v>1</v>
      </c>
    </row>
    <row r="133" spans="1:12" s="895" customFormat="1" ht="15" thickBot="1">
      <c r="A133" s="886">
        <v>712</v>
      </c>
      <c r="B133" s="909" t="s">
        <v>510</v>
      </c>
      <c r="C133" s="928">
        <v>2913</v>
      </c>
      <c r="D133" s="931">
        <v>0</v>
      </c>
      <c r="E133" s="914">
        <f t="shared" si="4"/>
        <v>2913</v>
      </c>
      <c r="F133" s="931">
        <v>776</v>
      </c>
      <c r="G133" s="933" t="s">
        <v>244</v>
      </c>
      <c r="H133" s="914"/>
      <c r="I133" s="928"/>
      <c r="J133" s="931"/>
      <c r="K133" s="915"/>
      <c r="L133" s="894">
        <v>1</v>
      </c>
    </row>
    <row r="134" spans="1:12" s="895" customFormat="1" ht="15" thickBot="1">
      <c r="A134" s="886">
        <v>713</v>
      </c>
      <c r="B134" s="909" t="s">
        <v>511</v>
      </c>
      <c r="C134" s="928">
        <v>2913</v>
      </c>
      <c r="D134" s="931">
        <v>0</v>
      </c>
      <c r="E134" s="914">
        <f t="shared" si="4"/>
        <v>2913</v>
      </c>
      <c r="F134" s="931">
        <v>776</v>
      </c>
      <c r="G134" s="933" t="s">
        <v>244</v>
      </c>
      <c r="H134" s="914"/>
      <c r="I134" s="928"/>
      <c r="J134" s="931"/>
      <c r="K134" s="915"/>
      <c r="L134" s="894">
        <v>1</v>
      </c>
    </row>
    <row r="135" spans="1:12" s="895" customFormat="1" ht="15" thickBot="1">
      <c r="A135" s="886">
        <v>714</v>
      </c>
      <c r="B135" s="909" t="s">
        <v>512</v>
      </c>
      <c r="C135" s="928">
        <v>2913</v>
      </c>
      <c r="D135" s="931">
        <v>0</v>
      </c>
      <c r="E135" s="914">
        <f t="shared" si="4"/>
        <v>2913</v>
      </c>
      <c r="F135" s="931"/>
      <c r="G135" s="933"/>
      <c r="H135" s="914"/>
      <c r="I135" s="928"/>
      <c r="J135" s="931"/>
      <c r="K135" s="915"/>
      <c r="L135" s="894">
        <v>1</v>
      </c>
    </row>
    <row r="136" spans="1:12" s="895" customFormat="1" ht="14.45" customHeight="1" thickBot="1">
      <c r="A136" s="886">
        <v>716</v>
      </c>
      <c r="B136" s="909" t="s">
        <v>513</v>
      </c>
      <c r="C136" s="928">
        <v>1942</v>
      </c>
      <c r="D136" s="931">
        <v>43</v>
      </c>
      <c r="E136" s="914">
        <f t="shared" si="4"/>
        <v>1985</v>
      </c>
      <c r="F136" s="931">
        <v>517.29999999999995</v>
      </c>
      <c r="G136" s="933" t="s">
        <v>246</v>
      </c>
      <c r="H136" s="914"/>
      <c r="I136" s="928"/>
      <c r="J136" s="936">
        <v>782</v>
      </c>
      <c r="K136" s="892">
        <v>744</v>
      </c>
      <c r="L136" s="894">
        <v>1</v>
      </c>
    </row>
    <row r="137" spans="1:12" s="895" customFormat="1" ht="15" thickBot="1">
      <c r="A137" s="886">
        <v>717</v>
      </c>
      <c r="B137" s="909" t="s">
        <v>514</v>
      </c>
      <c r="C137" s="928">
        <v>2100</v>
      </c>
      <c r="D137" s="931">
        <v>23</v>
      </c>
      <c r="E137" s="914">
        <f t="shared" si="4"/>
        <v>2123</v>
      </c>
      <c r="F137" s="931">
        <v>517.29999999999995</v>
      </c>
      <c r="G137" s="933" t="s">
        <v>246</v>
      </c>
      <c r="H137" s="914">
        <v>150</v>
      </c>
      <c r="I137" s="928"/>
      <c r="J137" s="931"/>
      <c r="K137" s="915"/>
      <c r="L137" s="894">
        <v>1</v>
      </c>
    </row>
    <row r="138" spans="1:12" s="895" customFormat="1" ht="15" thickBot="1">
      <c r="A138" s="886">
        <v>718</v>
      </c>
      <c r="B138" s="909" t="s">
        <v>515</v>
      </c>
      <c r="C138" s="928">
        <v>1942</v>
      </c>
      <c r="D138" s="931">
        <v>43</v>
      </c>
      <c r="E138" s="914">
        <f t="shared" si="4"/>
        <v>1985</v>
      </c>
      <c r="F138" s="931">
        <v>517.29999999999995</v>
      </c>
      <c r="G138" s="933" t="s">
        <v>246</v>
      </c>
      <c r="H138" s="914">
        <v>17</v>
      </c>
      <c r="I138" s="928"/>
      <c r="J138" s="931"/>
      <c r="K138" s="915"/>
      <c r="L138" s="894">
        <v>1</v>
      </c>
    </row>
    <row r="139" spans="1:12" s="895" customFormat="1" ht="14.45" customHeight="1" thickBot="1">
      <c r="A139" s="886">
        <v>719</v>
      </c>
      <c r="B139" s="909" t="s">
        <v>516</v>
      </c>
      <c r="C139" s="928">
        <v>1782</v>
      </c>
      <c r="D139" s="931">
        <v>64</v>
      </c>
      <c r="E139" s="914">
        <f t="shared" si="4"/>
        <v>1846</v>
      </c>
      <c r="F139" s="931">
        <v>465.3</v>
      </c>
      <c r="G139" s="933" t="s">
        <v>247</v>
      </c>
      <c r="H139" s="914"/>
      <c r="I139" s="928"/>
      <c r="J139" s="936">
        <v>782</v>
      </c>
      <c r="K139" s="892">
        <v>744</v>
      </c>
      <c r="L139" s="894">
        <v>1</v>
      </c>
    </row>
    <row r="140" spans="1:12" s="895" customFormat="1" ht="15" thickBot="1">
      <c r="A140" s="886">
        <v>720</v>
      </c>
      <c r="B140" s="909" t="s">
        <v>517</v>
      </c>
      <c r="C140" s="928">
        <v>1782</v>
      </c>
      <c r="D140" s="931">
        <v>64</v>
      </c>
      <c r="E140" s="914">
        <f t="shared" si="4"/>
        <v>1846</v>
      </c>
      <c r="F140" s="931">
        <v>465.3</v>
      </c>
      <c r="G140" s="933" t="s">
        <v>247</v>
      </c>
      <c r="H140" s="914">
        <v>17</v>
      </c>
      <c r="I140" s="928"/>
      <c r="J140" s="931"/>
      <c r="K140" s="915"/>
      <c r="L140" s="894">
        <v>1</v>
      </c>
    </row>
    <row r="141" spans="1:12" s="895" customFormat="1" ht="15" thickBot="1">
      <c r="A141" s="886">
        <v>721</v>
      </c>
      <c r="B141" s="909" t="s">
        <v>518</v>
      </c>
      <c r="C141" s="928">
        <v>1942</v>
      </c>
      <c r="D141" s="931">
        <v>43</v>
      </c>
      <c r="E141" s="914">
        <f t="shared" si="4"/>
        <v>1985</v>
      </c>
      <c r="F141" s="931">
        <v>517.29999999999995</v>
      </c>
      <c r="G141" s="933" t="s">
        <v>246</v>
      </c>
      <c r="H141" s="914">
        <v>150</v>
      </c>
      <c r="I141" s="928"/>
      <c r="J141" s="931"/>
      <c r="K141" s="915"/>
      <c r="L141" s="894">
        <v>1</v>
      </c>
    </row>
    <row r="142" spans="1:12" s="895" customFormat="1" ht="15" thickBot="1">
      <c r="A142" s="886">
        <v>722</v>
      </c>
      <c r="B142" s="909" t="s">
        <v>519</v>
      </c>
      <c r="C142" s="928">
        <v>1692</v>
      </c>
      <c r="D142" s="931">
        <v>76</v>
      </c>
      <c r="E142" s="914">
        <f t="shared" si="4"/>
        <v>1768</v>
      </c>
      <c r="F142" s="931">
        <v>362.7</v>
      </c>
      <c r="G142" s="933" t="s">
        <v>248</v>
      </c>
      <c r="H142" s="914"/>
      <c r="I142" s="928"/>
      <c r="J142" s="936">
        <v>744</v>
      </c>
      <c r="K142" s="892">
        <v>744</v>
      </c>
      <c r="L142" s="894">
        <v>1</v>
      </c>
    </row>
    <row r="143" spans="1:12" s="895" customFormat="1" ht="15" thickBot="1">
      <c r="A143" s="886">
        <v>723</v>
      </c>
      <c r="B143" s="909" t="s">
        <v>520</v>
      </c>
      <c r="C143" s="928">
        <v>1700</v>
      </c>
      <c r="D143" s="931">
        <v>75</v>
      </c>
      <c r="E143" s="914">
        <f t="shared" si="4"/>
        <v>1775</v>
      </c>
      <c r="F143" s="931">
        <v>310.7</v>
      </c>
      <c r="G143" s="933" t="s">
        <v>245</v>
      </c>
      <c r="H143" s="914"/>
      <c r="I143" s="928"/>
      <c r="J143" s="936">
        <v>769</v>
      </c>
      <c r="K143" s="892">
        <v>650</v>
      </c>
      <c r="L143" s="894">
        <v>1</v>
      </c>
    </row>
    <row r="144" spans="1:12" s="895" customFormat="1" ht="15" thickBot="1">
      <c r="A144" s="886">
        <v>724</v>
      </c>
      <c r="B144" s="909" t="s">
        <v>521</v>
      </c>
      <c r="C144" s="928">
        <v>971</v>
      </c>
      <c r="D144" s="931">
        <v>414.7</v>
      </c>
      <c r="E144" s="914">
        <f t="shared" si="4"/>
        <v>1385.7</v>
      </c>
      <c r="F144" s="931"/>
      <c r="G144" s="933"/>
      <c r="H144" s="914"/>
      <c r="I144" s="928">
        <v>620</v>
      </c>
      <c r="J144" s="931"/>
      <c r="K144" s="915"/>
      <c r="L144" s="894">
        <v>1</v>
      </c>
    </row>
    <row r="145" spans="1:12" s="895" customFormat="1" ht="14.45" customHeight="1" thickBot="1">
      <c r="A145" s="886">
        <v>725</v>
      </c>
      <c r="B145" s="909" t="s">
        <v>522</v>
      </c>
      <c r="C145" s="928">
        <v>1592</v>
      </c>
      <c r="D145" s="931">
        <v>89</v>
      </c>
      <c r="E145" s="914">
        <f t="shared" si="4"/>
        <v>1681</v>
      </c>
      <c r="F145" s="931">
        <v>310.7</v>
      </c>
      <c r="G145" s="933" t="s">
        <v>245</v>
      </c>
      <c r="H145" s="914"/>
      <c r="I145" s="928"/>
      <c r="J145" s="936">
        <v>738</v>
      </c>
      <c r="K145" s="892">
        <v>744</v>
      </c>
      <c r="L145" s="894">
        <v>1</v>
      </c>
    </row>
    <row r="146" spans="1:12" s="895" customFormat="1" ht="15" thickBot="1">
      <c r="A146" s="886">
        <v>726</v>
      </c>
      <c r="B146" s="909" t="s">
        <v>523</v>
      </c>
      <c r="C146" s="928">
        <v>1500</v>
      </c>
      <c r="D146" s="931">
        <v>101</v>
      </c>
      <c r="E146" s="914">
        <f t="shared" si="4"/>
        <v>1601</v>
      </c>
      <c r="F146" s="931"/>
      <c r="G146" s="933"/>
      <c r="H146" s="914">
        <v>150</v>
      </c>
      <c r="I146" s="928"/>
      <c r="J146" s="931"/>
      <c r="K146" s="915"/>
      <c r="L146" s="894">
        <v>1</v>
      </c>
    </row>
    <row r="147" spans="1:12" s="895" customFormat="1" ht="15" thickBot="1">
      <c r="A147" s="886">
        <v>727</v>
      </c>
      <c r="B147" s="909" t="s">
        <v>524</v>
      </c>
      <c r="C147" s="928">
        <v>1600</v>
      </c>
      <c r="D147" s="931">
        <v>88</v>
      </c>
      <c r="E147" s="914">
        <f t="shared" si="4"/>
        <v>1688</v>
      </c>
      <c r="F147" s="931">
        <v>310.7</v>
      </c>
      <c r="G147" s="933" t="s">
        <v>245</v>
      </c>
      <c r="H147" s="914"/>
      <c r="I147" s="928"/>
      <c r="J147" s="936">
        <v>738</v>
      </c>
      <c r="K147" s="893">
        <v>650</v>
      </c>
      <c r="L147" s="894">
        <v>1</v>
      </c>
    </row>
    <row r="148" spans="1:12" s="895" customFormat="1" ht="14.45" customHeight="1" thickBot="1">
      <c r="A148" s="886">
        <v>728</v>
      </c>
      <c r="B148" s="909" t="s">
        <v>525</v>
      </c>
      <c r="C148" s="928">
        <v>1942</v>
      </c>
      <c r="D148" s="931">
        <v>43</v>
      </c>
      <c r="E148" s="914">
        <f t="shared" si="4"/>
        <v>1985</v>
      </c>
      <c r="F148" s="931">
        <v>517.29999999999995</v>
      </c>
      <c r="G148" s="933" t="s">
        <v>246</v>
      </c>
      <c r="H148" s="914">
        <v>17</v>
      </c>
      <c r="I148" s="928"/>
      <c r="J148" s="931"/>
      <c r="K148" s="915"/>
      <c r="L148" s="894">
        <v>1</v>
      </c>
    </row>
    <row r="149" spans="1:12" s="895" customFormat="1" ht="15" thickBot="1">
      <c r="A149" s="886">
        <v>729</v>
      </c>
      <c r="B149" s="909" t="s">
        <v>526</v>
      </c>
      <c r="C149" s="928">
        <v>1692</v>
      </c>
      <c r="D149" s="931">
        <v>76</v>
      </c>
      <c r="E149" s="914">
        <f t="shared" si="4"/>
        <v>1768</v>
      </c>
      <c r="F149" s="931">
        <v>517.29999999999995</v>
      </c>
      <c r="G149" s="933" t="s">
        <v>246</v>
      </c>
      <c r="H149" s="914"/>
      <c r="I149" s="928"/>
      <c r="J149" s="931"/>
      <c r="K149" s="915"/>
      <c r="L149" s="894">
        <v>1</v>
      </c>
    </row>
    <row r="150" spans="1:12" s="895" customFormat="1" ht="15" thickBot="1">
      <c r="A150" s="886">
        <v>730</v>
      </c>
      <c r="B150" s="909" t="s">
        <v>527</v>
      </c>
      <c r="C150" s="928">
        <v>1700</v>
      </c>
      <c r="D150" s="931">
        <v>75</v>
      </c>
      <c r="E150" s="914">
        <f t="shared" si="4"/>
        <v>1775</v>
      </c>
      <c r="F150" s="931">
        <v>517.29999999999995</v>
      </c>
      <c r="G150" s="933" t="s">
        <v>246</v>
      </c>
      <c r="H150" s="914"/>
      <c r="I150" s="928"/>
      <c r="J150" s="931"/>
      <c r="K150" s="915"/>
      <c r="L150" s="894">
        <v>1</v>
      </c>
    </row>
    <row r="151" spans="1:12" s="895" customFormat="1" ht="14.45" customHeight="1" thickBot="1">
      <c r="A151" s="886">
        <v>731</v>
      </c>
      <c r="B151" s="909" t="s">
        <v>528</v>
      </c>
      <c r="C151" s="928">
        <v>1592</v>
      </c>
      <c r="D151" s="931">
        <v>89</v>
      </c>
      <c r="E151" s="914">
        <f t="shared" si="4"/>
        <v>1681</v>
      </c>
      <c r="F151" s="931">
        <v>465.3</v>
      </c>
      <c r="G151" s="933" t="s">
        <v>247</v>
      </c>
      <c r="H151" s="914"/>
      <c r="I151" s="928"/>
      <c r="J151" s="931"/>
      <c r="K151" s="915"/>
      <c r="L151" s="894">
        <v>1</v>
      </c>
    </row>
    <row r="152" spans="1:12" s="895" customFormat="1" ht="15" thickBot="1">
      <c r="A152" s="886">
        <v>735</v>
      </c>
      <c r="B152" s="909" t="s">
        <v>529</v>
      </c>
      <c r="C152" s="928">
        <v>971</v>
      </c>
      <c r="D152" s="931">
        <v>414.7</v>
      </c>
      <c r="E152" s="914">
        <f t="shared" si="4"/>
        <v>1385.7</v>
      </c>
      <c r="F152" s="931"/>
      <c r="G152" s="933"/>
      <c r="H152" s="914">
        <v>150</v>
      </c>
      <c r="I152" s="928"/>
      <c r="J152" s="931"/>
      <c r="K152" s="915"/>
      <c r="L152" s="894">
        <v>1</v>
      </c>
    </row>
    <row r="153" spans="1:12" s="895" customFormat="1" ht="15" thickBot="1">
      <c r="A153" s="886">
        <v>736</v>
      </c>
      <c r="B153" s="909" t="s">
        <v>530</v>
      </c>
      <c r="C153" s="928">
        <v>1600</v>
      </c>
      <c r="D153" s="931">
        <v>88</v>
      </c>
      <c r="E153" s="914">
        <f t="shared" si="4"/>
        <v>1688</v>
      </c>
      <c r="F153" s="931">
        <v>517.29999999999995</v>
      </c>
      <c r="G153" s="933" t="s">
        <v>246</v>
      </c>
      <c r="H153" s="914"/>
      <c r="I153" s="928"/>
      <c r="J153" s="931"/>
      <c r="K153" s="915"/>
      <c r="L153" s="894">
        <v>1</v>
      </c>
    </row>
    <row r="154" spans="1:12" s="895" customFormat="1" ht="15" thickBot="1">
      <c r="A154" s="886">
        <v>738</v>
      </c>
      <c r="B154" s="909" t="s">
        <v>531</v>
      </c>
      <c r="C154" s="928">
        <v>971</v>
      </c>
      <c r="D154" s="931">
        <v>414.7</v>
      </c>
      <c r="E154" s="914">
        <f t="shared" si="4"/>
        <v>1385.7</v>
      </c>
      <c r="F154" s="931"/>
      <c r="G154" s="933"/>
      <c r="H154" s="914">
        <v>17</v>
      </c>
      <c r="I154" s="928"/>
      <c r="J154" s="931"/>
      <c r="K154" s="915"/>
      <c r="L154" s="894">
        <v>1</v>
      </c>
    </row>
    <row r="155" spans="1:12" s="895" customFormat="1" ht="15" thickBot="1">
      <c r="A155" s="886">
        <v>739</v>
      </c>
      <c r="B155" s="909" t="s">
        <v>532</v>
      </c>
      <c r="C155" s="928">
        <v>971</v>
      </c>
      <c r="D155" s="931">
        <v>414.7</v>
      </c>
      <c r="E155" s="914">
        <f t="shared" ref="E155:E171" si="5">C155+D155</f>
        <v>1385.7</v>
      </c>
      <c r="F155" s="931"/>
      <c r="G155" s="933"/>
      <c r="H155" s="914">
        <v>150</v>
      </c>
      <c r="I155" s="928"/>
      <c r="J155" s="931"/>
      <c r="K155" s="915"/>
      <c r="L155" s="894">
        <v>1</v>
      </c>
    </row>
    <row r="156" spans="1:12" s="895" customFormat="1" ht="15" thickBot="1">
      <c r="A156" s="886">
        <v>741</v>
      </c>
      <c r="B156" s="909" t="s">
        <v>533</v>
      </c>
      <c r="C156" s="928">
        <v>1300</v>
      </c>
      <c r="D156" s="931">
        <v>127</v>
      </c>
      <c r="E156" s="914">
        <f t="shared" si="5"/>
        <v>1427</v>
      </c>
      <c r="F156" s="931">
        <v>310.7</v>
      </c>
      <c r="G156" s="933" t="s">
        <v>245</v>
      </c>
      <c r="H156" s="914"/>
      <c r="I156" s="928"/>
      <c r="J156" s="931"/>
      <c r="K156" s="892">
        <v>580</v>
      </c>
      <c r="L156" s="894">
        <v>1</v>
      </c>
    </row>
    <row r="157" spans="1:12" s="895" customFormat="1" ht="15" thickBot="1">
      <c r="A157" s="886">
        <v>742</v>
      </c>
      <c r="B157" s="909" t="s">
        <v>534</v>
      </c>
      <c r="C157" s="928">
        <v>971</v>
      </c>
      <c r="D157" s="931">
        <v>414.7</v>
      </c>
      <c r="E157" s="914">
        <f t="shared" si="5"/>
        <v>1385.7</v>
      </c>
      <c r="F157" s="931"/>
      <c r="G157" s="933"/>
      <c r="H157" s="914">
        <v>150</v>
      </c>
      <c r="I157" s="928"/>
      <c r="J157" s="931"/>
      <c r="K157" s="915"/>
      <c r="L157" s="894">
        <v>1</v>
      </c>
    </row>
    <row r="158" spans="1:12" s="895" customFormat="1" ht="15" thickBot="1">
      <c r="A158" s="886">
        <v>744</v>
      </c>
      <c r="B158" s="909" t="s">
        <v>535</v>
      </c>
      <c r="C158" s="928">
        <v>1400</v>
      </c>
      <c r="D158" s="931">
        <v>114</v>
      </c>
      <c r="E158" s="914">
        <f t="shared" si="5"/>
        <v>1514</v>
      </c>
      <c r="F158" s="931">
        <v>310.7</v>
      </c>
      <c r="G158" s="933" t="s">
        <v>245</v>
      </c>
      <c r="H158" s="914"/>
      <c r="I158" s="928"/>
      <c r="J158" s="931"/>
      <c r="K158" s="892">
        <v>580</v>
      </c>
      <c r="L158" s="894">
        <v>1</v>
      </c>
    </row>
    <row r="159" spans="1:12" s="895" customFormat="1" ht="15" thickBot="1">
      <c r="A159" s="886">
        <v>745</v>
      </c>
      <c r="B159" s="909" t="s">
        <v>536</v>
      </c>
      <c r="C159" s="928">
        <v>1450</v>
      </c>
      <c r="D159" s="931">
        <v>107</v>
      </c>
      <c r="E159" s="914">
        <f t="shared" si="5"/>
        <v>1557</v>
      </c>
      <c r="F159" s="931"/>
      <c r="G159" s="933"/>
      <c r="H159" s="914"/>
      <c r="I159" s="928"/>
      <c r="J159" s="931"/>
      <c r="K159" s="915"/>
      <c r="L159" s="894">
        <v>1</v>
      </c>
    </row>
    <row r="160" spans="1:12" s="895" customFormat="1" ht="14.45" customHeight="1" thickBot="1">
      <c r="A160" s="886">
        <v>746</v>
      </c>
      <c r="B160" s="909" t="s">
        <v>537</v>
      </c>
      <c r="C160" s="928">
        <v>971</v>
      </c>
      <c r="D160" s="931">
        <v>414.7</v>
      </c>
      <c r="E160" s="914">
        <f t="shared" si="5"/>
        <v>1385.7</v>
      </c>
      <c r="F160" s="931"/>
      <c r="G160" s="933"/>
      <c r="H160" s="914"/>
      <c r="I160" s="928"/>
      <c r="J160" s="931"/>
      <c r="K160" s="915"/>
      <c r="L160" s="894">
        <v>1</v>
      </c>
    </row>
    <row r="161" spans="1:12" s="895" customFormat="1" ht="15" thickBot="1">
      <c r="A161" s="886">
        <v>747</v>
      </c>
      <c r="B161" s="909" t="s">
        <v>538</v>
      </c>
      <c r="C161" s="928">
        <v>971</v>
      </c>
      <c r="D161" s="931">
        <v>414.7</v>
      </c>
      <c r="E161" s="914">
        <f t="shared" si="5"/>
        <v>1385.7</v>
      </c>
      <c r="F161" s="931"/>
      <c r="G161" s="933"/>
      <c r="H161" s="914"/>
      <c r="I161" s="928"/>
      <c r="J161" s="931"/>
      <c r="K161" s="915"/>
      <c r="L161" s="894">
        <v>1</v>
      </c>
    </row>
    <row r="162" spans="1:12" s="895" customFormat="1" ht="15" thickBot="1">
      <c r="A162" s="886">
        <v>748</v>
      </c>
      <c r="B162" s="909" t="s">
        <v>539</v>
      </c>
      <c r="C162" s="928">
        <v>1250</v>
      </c>
      <c r="D162" s="931">
        <v>134</v>
      </c>
      <c r="E162" s="914">
        <f t="shared" si="5"/>
        <v>1384</v>
      </c>
      <c r="F162" s="931">
        <v>310.7</v>
      </c>
      <c r="G162" s="933" t="s">
        <v>245</v>
      </c>
      <c r="H162" s="914"/>
      <c r="I162" s="928"/>
      <c r="J162" s="931"/>
      <c r="K162" s="915"/>
      <c r="L162" s="894">
        <v>1</v>
      </c>
    </row>
    <row r="163" spans="1:12" s="895" customFormat="1" ht="14.45" customHeight="1" thickBot="1">
      <c r="A163" s="886">
        <v>749</v>
      </c>
      <c r="B163" s="909" t="s">
        <v>340</v>
      </c>
      <c r="C163" s="928">
        <v>971</v>
      </c>
      <c r="D163" s="931">
        <v>414.7</v>
      </c>
      <c r="E163" s="914">
        <f t="shared" si="5"/>
        <v>1385.7</v>
      </c>
      <c r="F163" s="931"/>
      <c r="G163" s="933"/>
      <c r="H163" s="914"/>
      <c r="I163" s="928"/>
      <c r="J163" s="931"/>
      <c r="K163" s="892">
        <v>510</v>
      </c>
      <c r="L163" s="894">
        <v>1</v>
      </c>
    </row>
    <row r="164" spans="1:12" s="895" customFormat="1" ht="15" thickBot="1">
      <c r="A164" s="886">
        <v>750</v>
      </c>
      <c r="B164" s="909" t="s">
        <v>348</v>
      </c>
      <c r="C164" s="928">
        <v>971</v>
      </c>
      <c r="D164" s="931">
        <v>414.7</v>
      </c>
      <c r="E164" s="914">
        <f t="shared" si="5"/>
        <v>1385.7</v>
      </c>
      <c r="F164" s="931"/>
      <c r="G164" s="933"/>
      <c r="H164" s="914"/>
      <c r="I164" s="928"/>
      <c r="J164" s="931"/>
      <c r="K164" s="915"/>
      <c r="L164" s="894">
        <v>1</v>
      </c>
    </row>
    <row r="165" spans="1:12" s="895" customFormat="1" ht="15" thickBot="1">
      <c r="A165" s="886">
        <v>751</v>
      </c>
      <c r="B165" s="909" t="s">
        <v>540</v>
      </c>
      <c r="C165" s="928">
        <v>1400</v>
      </c>
      <c r="D165" s="931">
        <v>114</v>
      </c>
      <c r="E165" s="914">
        <f t="shared" si="5"/>
        <v>1514</v>
      </c>
      <c r="F165" s="931">
        <v>310.7</v>
      </c>
      <c r="G165" s="933">
        <v>388</v>
      </c>
      <c r="H165" s="914">
        <v>17</v>
      </c>
      <c r="I165" s="928"/>
      <c r="J165" s="931"/>
      <c r="K165" s="915"/>
      <c r="L165" s="894">
        <v>1</v>
      </c>
    </row>
    <row r="166" spans="1:12" s="895" customFormat="1" ht="14.45" customHeight="1" thickBot="1">
      <c r="A166" s="886">
        <v>752</v>
      </c>
      <c r="B166" s="909" t="s">
        <v>541</v>
      </c>
      <c r="C166" s="928">
        <v>2913</v>
      </c>
      <c r="D166" s="931">
        <v>0</v>
      </c>
      <c r="E166" s="914">
        <f t="shared" si="5"/>
        <v>2913</v>
      </c>
      <c r="F166" s="931"/>
      <c r="G166" s="933"/>
      <c r="H166" s="914">
        <v>20</v>
      </c>
      <c r="I166" s="928"/>
      <c r="J166" s="931"/>
      <c r="K166" s="915"/>
      <c r="L166" s="894">
        <v>1</v>
      </c>
    </row>
    <row r="167" spans="1:12" s="895" customFormat="1" ht="15" thickBot="1">
      <c r="A167" s="886">
        <v>753</v>
      </c>
      <c r="B167" s="909" t="s">
        <v>542</v>
      </c>
      <c r="C167" s="928">
        <v>2913</v>
      </c>
      <c r="D167" s="931">
        <v>0</v>
      </c>
      <c r="E167" s="914">
        <f t="shared" si="5"/>
        <v>2913</v>
      </c>
      <c r="F167" s="931"/>
      <c r="G167" s="933"/>
      <c r="H167" s="914"/>
      <c r="I167" s="928"/>
      <c r="J167" s="931"/>
      <c r="K167" s="915"/>
      <c r="L167" s="894">
        <v>1</v>
      </c>
    </row>
    <row r="168" spans="1:12" s="895" customFormat="1" ht="15" thickBot="1">
      <c r="A168" s="886">
        <v>754</v>
      </c>
      <c r="B168" s="909" t="s">
        <v>543</v>
      </c>
      <c r="C168" s="928">
        <v>971</v>
      </c>
      <c r="D168" s="931">
        <v>414.7</v>
      </c>
      <c r="E168" s="914">
        <f t="shared" si="5"/>
        <v>1385.7</v>
      </c>
      <c r="F168" s="931"/>
      <c r="G168" s="933"/>
      <c r="H168" s="914"/>
      <c r="I168" s="928"/>
      <c r="J168" s="931"/>
      <c r="K168" s="915"/>
      <c r="L168" s="894">
        <v>1</v>
      </c>
    </row>
    <row r="169" spans="1:12" s="895" customFormat="1" ht="15" thickBot="1">
      <c r="A169" s="886">
        <v>755</v>
      </c>
      <c r="B169" s="909" t="s">
        <v>544</v>
      </c>
      <c r="C169" s="928">
        <v>971</v>
      </c>
      <c r="D169" s="931">
        <v>414.7</v>
      </c>
      <c r="E169" s="914">
        <f t="shared" si="5"/>
        <v>1385.7</v>
      </c>
      <c r="F169" s="931"/>
      <c r="G169" s="933"/>
      <c r="H169" s="914"/>
      <c r="I169" s="928"/>
      <c r="J169" s="931"/>
      <c r="K169" s="915"/>
      <c r="L169" s="894">
        <v>1</v>
      </c>
    </row>
    <row r="170" spans="1:12" s="895" customFormat="1" ht="15" thickBot="1">
      <c r="A170" s="886">
        <v>756</v>
      </c>
      <c r="B170" s="909" t="s">
        <v>545</v>
      </c>
      <c r="C170" s="928">
        <v>1290</v>
      </c>
      <c r="D170" s="931">
        <v>128</v>
      </c>
      <c r="E170" s="914">
        <f t="shared" si="5"/>
        <v>1418</v>
      </c>
      <c r="F170" s="931">
        <v>309.3</v>
      </c>
      <c r="G170" s="933">
        <v>388</v>
      </c>
      <c r="H170" s="914"/>
      <c r="I170" s="928"/>
      <c r="J170" s="931"/>
      <c r="K170" s="915"/>
      <c r="L170" s="894">
        <v>1</v>
      </c>
    </row>
    <row r="171" spans="1:12" s="895" customFormat="1" ht="15" thickBot="1">
      <c r="A171" s="886">
        <v>758</v>
      </c>
      <c r="B171" s="909" t="s">
        <v>546</v>
      </c>
      <c r="C171" s="928">
        <v>971</v>
      </c>
      <c r="D171" s="931">
        <v>414.7</v>
      </c>
      <c r="E171" s="914">
        <f t="shared" si="5"/>
        <v>1385.7</v>
      </c>
      <c r="F171" s="931"/>
      <c r="G171" s="933"/>
      <c r="H171" s="914"/>
      <c r="I171" s="928"/>
      <c r="J171" s="931"/>
      <c r="K171" s="915"/>
      <c r="L171" s="894">
        <v>1</v>
      </c>
    </row>
    <row r="172" spans="1:12" s="895" customFormat="1" ht="15" thickBot="1">
      <c r="A172" s="886">
        <v>759</v>
      </c>
      <c r="B172" s="909" t="s">
        <v>547</v>
      </c>
      <c r="C172" s="928"/>
      <c r="D172" s="931"/>
      <c r="E172" s="914"/>
      <c r="F172" s="931"/>
      <c r="G172" s="933"/>
      <c r="H172" s="914"/>
      <c r="I172" s="928"/>
      <c r="J172" s="931"/>
      <c r="K172" s="915"/>
      <c r="L172" s="894">
        <v>1</v>
      </c>
    </row>
    <row r="173" spans="1:12" s="895" customFormat="1" ht="15" thickBot="1">
      <c r="A173" s="886">
        <v>760</v>
      </c>
      <c r="B173" s="909" t="s">
        <v>548</v>
      </c>
      <c r="C173" s="928">
        <v>1400</v>
      </c>
      <c r="D173" s="931">
        <v>114</v>
      </c>
      <c r="E173" s="914">
        <f t="shared" ref="E173:E192" si="6">C173+D173</f>
        <v>1514</v>
      </c>
      <c r="F173" s="931"/>
      <c r="G173" s="933"/>
      <c r="H173" s="914"/>
      <c r="I173" s="928"/>
      <c r="J173" s="931"/>
      <c r="K173" s="915"/>
      <c r="L173" s="894">
        <v>1</v>
      </c>
    </row>
    <row r="174" spans="1:12" s="895" customFormat="1" ht="15" thickBot="1">
      <c r="A174" s="886">
        <v>761</v>
      </c>
      <c r="B174" s="909" t="s">
        <v>549</v>
      </c>
      <c r="C174" s="928">
        <v>1942</v>
      </c>
      <c r="D174" s="931">
        <v>43</v>
      </c>
      <c r="E174" s="914">
        <f t="shared" si="6"/>
        <v>1985</v>
      </c>
      <c r="F174" s="931">
        <v>362.7</v>
      </c>
      <c r="G174" s="933">
        <v>647</v>
      </c>
      <c r="H174" s="914">
        <v>150</v>
      </c>
      <c r="I174" s="928"/>
      <c r="J174" s="931"/>
      <c r="K174" s="915"/>
      <c r="L174" s="894">
        <v>1</v>
      </c>
    </row>
    <row r="175" spans="1:12" s="895" customFormat="1" ht="15" thickBot="1">
      <c r="A175" s="886">
        <v>763</v>
      </c>
      <c r="B175" s="909" t="s">
        <v>396</v>
      </c>
      <c r="C175" s="928">
        <v>971</v>
      </c>
      <c r="D175" s="931">
        <v>414.7</v>
      </c>
      <c r="E175" s="914">
        <f t="shared" si="6"/>
        <v>1385.7</v>
      </c>
      <c r="F175" s="931"/>
      <c r="G175" s="933"/>
      <c r="H175" s="914"/>
      <c r="I175" s="928"/>
      <c r="J175" s="931"/>
      <c r="K175" s="915"/>
      <c r="L175" s="894">
        <v>1</v>
      </c>
    </row>
    <row r="176" spans="1:12" s="895" customFormat="1" ht="15" thickBot="1">
      <c r="A176" s="886">
        <v>764</v>
      </c>
      <c r="B176" s="909" t="s">
        <v>251</v>
      </c>
      <c r="C176" s="928">
        <v>971</v>
      </c>
      <c r="D176" s="931">
        <v>414.7</v>
      </c>
      <c r="E176" s="914">
        <f t="shared" si="6"/>
        <v>1385.7</v>
      </c>
      <c r="F176" s="931"/>
      <c r="G176" s="933"/>
      <c r="H176" s="914"/>
      <c r="I176" s="928"/>
      <c r="J176" s="931"/>
      <c r="K176" s="915"/>
      <c r="L176" s="894">
        <v>1</v>
      </c>
    </row>
    <row r="177" spans="1:12" s="895" customFormat="1" ht="15" thickBot="1">
      <c r="A177" s="886">
        <v>765</v>
      </c>
      <c r="B177" s="909" t="s">
        <v>550</v>
      </c>
      <c r="C177" s="928">
        <v>971</v>
      </c>
      <c r="D177" s="931">
        <v>214</v>
      </c>
      <c r="E177" s="914">
        <f t="shared" si="6"/>
        <v>1185</v>
      </c>
      <c r="F177" s="931"/>
      <c r="G177" s="933"/>
      <c r="H177" s="914"/>
      <c r="I177" s="928">
        <v>155</v>
      </c>
      <c r="J177" s="931"/>
      <c r="K177" s="915"/>
      <c r="L177" s="894">
        <v>1</v>
      </c>
    </row>
    <row r="178" spans="1:12" s="895" customFormat="1" ht="14.45" customHeight="1" thickBot="1">
      <c r="A178" s="886">
        <v>767</v>
      </c>
      <c r="B178" s="909" t="s">
        <v>551</v>
      </c>
      <c r="C178" s="928">
        <v>1700</v>
      </c>
      <c r="D178" s="931">
        <v>75</v>
      </c>
      <c r="E178" s="914">
        <f t="shared" si="6"/>
        <v>1775</v>
      </c>
      <c r="F178" s="931">
        <v>309.3</v>
      </c>
      <c r="G178" s="933">
        <v>388</v>
      </c>
      <c r="H178" s="914">
        <v>150</v>
      </c>
      <c r="I178" s="928"/>
      <c r="J178" s="931"/>
      <c r="K178" s="915"/>
      <c r="L178" s="894">
        <v>1</v>
      </c>
    </row>
    <row r="179" spans="1:12" s="895" customFormat="1" ht="15" thickBot="1">
      <c r="A179" s="886">
        <v>768</v>
      </c>
      <c r="B179" s="909" t="s">
        <v>552</v>
      </c>
      <c r="C179" s="928">
        <v>971</v>
      </c>
      <c r="D179" s="931">
        <v>414.7</v>
      </c>
      <c r="E179" s="914">
        <f t="shared" si="6"/>
        <v>1385.7</v>
      </c>
      <c r="F179" s="931"/>
      <c r="G179" s="933"/>
      <c r="H179" s="914">
        <v>150</v>
      </c>
      <c r="I179" s="928"/>
      <c r="J179" s="931"/>
      <c r="K179" s="915"/>
      <c r="L179" s="894">
        <v>1</v>
      </c>
    </row>
    <row r="180" spans="1:12" s="895" customFormat="1" ht="15" thickBot="1">
      <c r="A180" s="886">
        <v>769</v>
      </c>
      <c r="B180" s="909" t="s">
        <v>553</v>
      </c>
      <c r="C180" s="928">
        <v>2913</v>
      </c>
      <c r="D180" s="931">
        <v>0</v>
      </c>
      <c r="E180" s="914">
        <f t="shared" si="6"/>
        <v>2913</v>
      </c>
      <c r="F180" s="931"/>
      <c r="G180" s="933"/>
      <c r="H180" s="914"/>
      <c r="I180" s="928"/>
      <c r="J180" s="931"/>
      <c r="K180" s="915"/>
      <c r="L180" s="894">
        <v>1</v>
      </c>
    </row>
    <row r="181" spans="1:12" s="895" customFormat="1" ht="14.45" customHeight="1" thickBot="1">
      <c r="A181" s="886">
        <v>770</v>
      </c>
      <c r="B181" s="909" t="s">
        <v>554</v>
      </c>
      <c r="C181" s="928">
        <v>2913</v>
      </c>
      <c r="D181" s="931">
        <v>0</v>
      </c>
      <c r="E181" s="914">
        <f t="shared" si="6"/>
        <v>2913</v>
      </c>
      <c r="F181" s="931">
        <v>776</v>
      </c>
      <c r="G181" s="933">
        <v>776</v>
      </c>
      <c r="H181" s="914"/>
      <c r="I181" s="928"/>
      <c r="J181" s="931"/>
      <c r="K181" s="915"/>
      <c r="L181" s="894">
        <v>1</v>
      </c>
    </row>
    <row r="182" spans="1:12" s="895" customFormat="1" ht="15" thickBot="1">
      <c r="A182" s="886">
        <v>771</v>
      </c>
      <c r="B182" s="909" t="s">
        <v>555</v>
      </c>
      <c r="C182" s="928">
        <v>3146</v>
      </c>
      <c r="D182" s="931">
        <v>0</v>
      </c>
      <c r="E182" s="914">
        <f t="shared" si="6"/>
        <v>3146</v>
      </c>
      <c r="F182" s="931"/>
      <c r="G182" s="933">
        <v>776</v>
      </c>
      <c r="H182" s="914"/>
      <c r="I182" s="928"/>
      <c r="J182" s="931"/>
      <c r="K182" s="915"/>
      <c r="L182" s="894">
        <v>1</v>
      </c>
    </row>
    <row r="183" spans="1:12" s="895" customFormat="1" ht="26.25" thickBot="1">
      <c r="A183" s="886">
        <v>773</v>
      </c>
      <c r="B183" s="909" t="s">
        <v>556</v>
      </c>
      <c r="C183" s="928">
        <v>971</v>
      </c>
      <c r="D183" s="931">
        <v>414.7</v>
      </c>
      <c r="E183" s="914">
        <f t="shared" si="6"/>
        <v>1385.7</v>
      </c>
      <c r="F183" s="931"/>
      <c r="G183" s="933"/>
      <c r="H183" s="914">
        <v>150</v>
      </c>
      <c r="I183" s="928"/>
      <c r="J183" s="931"/>
      <c r="K183" s="915"/>
      <c r="L183" s="894">
        <v>1</v>
      </c>
    </row>
    <row r="184" spans="1:12" s="895" customFormat="1" ht="26.25" thickBot="1">
      <c r="A184" s="886">
        <v>774</v>
      </c>
      <c r="B184" s="909" t="s">
        <v>557</v>
      </c>
      <c r="C184" s="928">
        <v>971</v>
      </c>
      <c r="D184" s="931">
        <v>414.7</v>
      </c>
      <c r="E184" s="914">
        <f t="shared" si="6"/>
        <v>1385.7</v>
      </c>
      <c r="F184" s="931"/>
      <c r="G184" s="933"/>
      <c r="H184" s="914">
        <v>150</v>
      </c>
      <c r="I184" s="928"/>
      <c r="J184" s="931"/>
      <c r="K184" s="915"/>
      <c r="L184" s="894">
        <v>1</v>
      </c>
    </row>
    <row r="185" spans="1:12" s="895" customFormat="1" ht="15" thickBot="1">
      <c r="A185" s="886">
        <v>775</v>
      </c>
      <c r="B185" s="909" t="s">
        <v>558</v>
      </c>
      <c r="C185" s="928">
        <v>1400</v>
      </c>
      <c r="D185" s="931">
        <v>114</v>
      </c>
      <c r="E185" s="914">
        <f t="shared" si="6"/>
        <v>1514</v>
      </c>
      <c r="F185" s="931">
        <v>310.7</v>
      </c>
      <c r="G185" s="933">
        <v>388</v>
      </c>
      <c r="H185" s="914">
        <v>150</v>
      </c>
      <c r="I185" s="928"/>
      <c r="J185" s="931"/>
      <c r="K185" s="915"/>
      <c r="L185" s="894">
        <v>1</v>
      </c>
    </row>
    <row r="186" spans="1:12" s="895" customFormat="1" ht="15" thickBot="1">
      <c r="A186" s="886">
        <v>776</v>
      </c>
      <c r="B186" s="909" t="s">
        <v>559</v>
      </c>
      <c r="C186" s="928">
        <v>971</v>
      </c>
      <c r="D186" s="931">
        <v>414.7</v>
      </c>
      <c r="E186" s="914">
        <f t="shared" si="6"/>
        <v>1385.7</v>
      </c>
      <c r="F186" s="931"/>
      <c r="G186" s="933"/>
      <c r="H186" s="914"/>
      <c r="I186" s="928"/>
      <c r="J186" s="931"/>
      <c r="K186" s="915"/>
      <c r="L186" s="894">
        <v>1</v>
      </c>
    </row>
    <row r="187" spans="1:12" s="895" customFormat="1" ht="15" thickBot="1">
      <c r="A187" s="886">
        <v>777</v>
      </c>
      <c r="B187" s="909" t="s">
        <v>560</v>
      </c>
      <c r="C187" s="928">
        <v>2913</v>
      </c>
      <c r="D187" s="931">
        <v>0</v>
      </c>
      <c r="E187" s="914">
        <f t="shared" si="6"/>
        <v>2913</v>
      </c>
      <c r="F187" s="931"/>
      <c r="G187" s="933"/>
      <c r="H187" s="914"/>
      <c r="I187" s="928"/>
      <c r="J187" s="931"/>
      <c r="K187" s="915"/>
      <c r="L187" s="894">
        <v>1</v>
      </c>
    </row>
    <row r="188" spans="1:12" s="895" customFormat="1" ht="15" thickBot="1">
      <c r="A188" s="886">
        <v>778</v>
      </c>
      <c r="B188" s="909" t="s">
        <v>561</v>
      </c>
      <c r="C188" s="928">
        <v>1692</v>
      </c>
      <c r="D188" s="931">
        <v>76</v>
      </c>
      <c r="E188" s="914">
        <f t="shared" si="6"/>
        <v>1768</v>
      </c>
      <c r="F188" s="931">
        <v>362.7</v>
      </c>
      <c r="G188" s="933">
        <v>453</v>
      </c>
      <c r="H188" s="914">
        <v>17</v>
      </c>
      <c r="I188" s="928"/>
      <c r="J188" s="931"/>
      <c r="K188" s="915"/>
      <c r="L188" s="894">
        <v>1</v>
      </c>
    </row>
    <row r="189" spans="1:12" s="895" customFormat="1" ht="14.45" customHeight="1" thickBot="1">
      <c r="A189" s="886">
        <v>779</v>
      </c>
      <c r="B189" s="909" t="s">
        <v>562</v>
      </c>
      <c r="C189" s="928">
        <v>853</v>
      </c>
      <c r="D189" s="931">
        <v>414.7</v>
      </c>
      <c r="E189" s="914">
        <f t="shared" si="6"/>
        <v>1267.7</v>
      </c>
      <c r="F189" s="931"/>
      <c r="G189" s="933"/>
      <c r="H189" s="914"/>
      <c r="I189" s="928"/>
      <c r="J189" s="931"/>
      <c r="K189" s="915"/>
      <c r="L189" s="894">
        <v>1</v>
      </c>
    </row>
    <row r="190" spans="1:12" s="895" customFormat="1" ht="15" thickBot="1">
      <c r="A190" s="886">
        <v>780</v>
      </c>
      <c r="B190" s="909" t="s">
        <v>563</v>
      </c>
      <c r="C190" s="928">
        <v>3146</v>
      </c>
      <c r="D190" s="931">
        <v>0</v>
      </c>
      <c r="E190" s="914">
        <f t="shared" si="6"/>
        <v>3146</v>
      </c>
      <c r="F190" s="931"/>
      <c r="G190" s="933"/>
      <c r="H190" s="914"/>
      <c r="I190" s="928"/>
      <c r="J190" s="931"/>
      <c r="K190" s="915"/>
      <c r="L190" s="894">
        <v>1</v>
      </c>
    </row>
    <row r="191" spans="1:12" s="895" customFormat="1" ht="15" thickBot="1">
      <c r="A191" s="886">
        <v>781</v>
      </c>
      <c r="B191" s="909" t="s">
        <v>564</v>
      </c>
      <c r="C191" s="928">
        <v>2288</v>
      </c>
      <c r="D191" s="931">
        <v>0</v>
      </c>
      <c r="E191" s="914">
        <f t="shared" si="6"/>
        <v>2288</v>
      </c>
      <c r="F191" s="931"/>
      <c r="G191" s="933"/>
      <c r="H191" s="914"/>
      <c r="I191" s="928"/>
      <c r="J191" s="931"/>
      <c r="K191" s="915"/>
      <c r="L191" s="894">
        <v>1</v>
      </c>
    </row>
    <row r="192" spans="1:12" s="895" customFormat="1" ht="15" thickBot="1">
      <c r="A192" s="886">
        <v>783</v>
      </c>
      <c r="B192" s="909" t="s">
        <v>565</v>
      </c>
      <c r="C192" s="928">
        <v>690</v>
      </c>
      <c r="D192" s="931">
        <v>414.7</v>
      </c>
      <c r="E192" s="914">
        <f t="shared" si="6"/>
        <v>1104.7</v>
      </c>
      <c r="F192" s="931"/>
      <c r="G192" s="933"/>
      <c r="H192" s="914"/>
      <c r="I192" s="928"/>
      <c r="J192" s="931"/>
      <c r="K192" s="915"/>
      <c r="L192" s="894">
        <v>1</v>
      </c>
    </row>
    <row r="193" spans="1:12" s="895" customFormat="1" ht="15" thickBot="1">
      <c r="A193" s="886">
        <v>787</v>
      </c>
      <c r="B193" s="909" t="s">
        <v>566</v>
      </c>
      <c r="C193" s="928">
        <v>1700</v>
      </c>
      <c r="D193" s="931">
        <v>75</v>
      </c>
      <c r="E193" s="914">
        <f t="shared" ref="E193:E224" si="7">C193+D193</f>
        <v>1775</v>
      </c>
      <c r="F193" s="931">
        <v>310.7</v>
      </c>
      <c r="G193" s="933">
        <v>388</v>
      </c>
      <c r="H193" s="914">
        <v>17</v>
      </c>
      <c r="I193" s="928"/>
      <c r="J193" s="931"/>
      <c r="K193" s="915"/>
      <c r="L193" s="894">
        <v>1</v>
      </c>
    </row>
    <row r="194" spans="1:12" s="895" customFormat="1" ht="15" thickBot="1">
      <c r="A194" s="886">
        <v>788</v>
      </c>
      <c r="B194" s="909" t="s">
        <v>567</v>
      </c>
      <c r="C194" s="928">
        <v>644</v>
      </c>
      <c r="D194" s="931">
        <v>414.7</v>
      </c>
      <c r="E194" s="914">
        <f t="shared" si="7"/>
        <v>1058.7</v>
      </c>
      <c r="F194" s="931"/>
      <c r="G194" s="933"/>
      <c r="H194" s="914"/>
      <c r="I194" s="928"/>
      <c r="J194" s="931"/>
      <c r="K194" s="915"/>
      <c r="L194" s="894">
        <v>1</v>
      </c>
    </row>
    <row r="195" spans="1:12" s="895" customFormat="1" ht="15" thickBot="1">
      <c r="A195" s="886">
        <v>790</v>
      </c>
      <c r="B195" s="909" t="s">
        <v>568</v>
      </c>
      <c r="C195" s="928">
        <v>971</v>
      </c>
      <c r="D195" s="931">
        <v>414.7</v>
      </c>
      <c r="E195" s="914">
        <f t="shared" si="7"/>
        <v>1385.7</v>
      </c>
      <c r="F195" s="931"/>
      <c r="G195" s="933"/>
      <c r="H195" s="914">
        <v>17</v>
      </c>
      <c r="I195" s="928"/>
      <c r="J195" s="931"/>
      <c r="K195" s="915"/>
      <c r="L195" s="894">
        <v>1</v>
      </c>
    </row>
    <row r="196" spans="1:12" s="895" customFormat="1" ht="15" thickBot="1">
      <c r="A196" s="886">
        <v>791</v>
      </c>
      <c r="B196" s="909" t="s">
        <v>569</v>
      </c>
      <c r="C196" s="928">
        <v>2913</v>
      </c>
      <c r="D196" s="931">
        <v>0</v>
      </c>
      <c r="E196" s="914">
        <f t="shared" si="7"/>
        <v>2913</v>
      </c>
      <c r="F196" s="931">
        <v>776</v>
      </c>
      <c r="G196" s="933">
        <v>776</v>
      </c>
      <c r="H196" s="914">
        <v>17</v>
      </c>
      <c r="I196" s="928"/>
      <c r="J196" s="931"/>
      <c r="K196" s="915"/>
      <c r="L196" s="894">
        <v>1</v>
      </c>
    </row>
    <row r="197" spans="1:12" s="895" customFormat="1" ht="15" thickBot="1">
      <c r="A197" s="886">
        <v>793</v>
      </c>
      <c r="B197" s="909" t="s">
        <v>570</v>
      </c>
      <c r="C197" s="928">
        <v>2913</v>
      </c>
      <c r="D197" s="931">
        <v>0</v>
      </c>
      <c r="E197" s="914">
        <f t="shared" si="7"/>
        <v>2913</v>
      </c>
      <c r="F197" s="931">
        <v>776</v>
      </c>
      <c r="G197" s="933">
        <v>776</v>
      </c>
      <c r="H197" s="914"/>
      <c r="I197" s="928"/>
      <c r="J197" s="931"/>
      <c r="K197" s="915"/>
      <c r="L197" s="894">
        <v>1</v>
      </c>
    </row>
    <row r="198" spans="1:12" s="895" customFormat="1" ht="15" thickBot="1">
      <c r="A198" s="886">
        <v>794</v>
      </c>
      <c r="B198" s="909" t="s">
        <v>571</v>
      </c>
      <c r="C198" s="928">
        <v>1840</v>
      </c>
      <c r="D198" s="931">
        <v>57</v>
      </c>
      <c r="E198" s="914">
        <f t="shared" si="7"/>
        <v>1897</v>
      </c>
      <c r="F198" s="931">
        <v>465.3</v>
      </c>
      <c r="G198" s="933">
        <v>647</v>
      </c>
      <c r="H198" s="914"/>
      <c r="I198" s="928"/>
      <c r="J198" s="931"/>
      <c r="K198" s="892">
        <v>744</v>
      </c>
      <c r="L198" s="894">
        <v>1</v>
      </c>
    </row>
    <row r="199" spans="1:12" s="895" customFormat="1" ht="15" thickBot="1">
      <c r="A199" s="886">
        <v>795</v>
      </c>
      <c r="B199" s="909" t="s">
        <v>572</v>
      </c>
      <c r="C199" s="928">
        <v>1610</v>
      </c>
      <c r="D199" s="931">
        <v>87</v>
      </c>
      <c r="E199" s="914">
        <f t="shared" si="7"/>
        <v>1697</v>
      </c>
      <c r="F199" s="931">
        <v>310</v>
      </c>
      <c r="G199" s="933">
        <v>388</v>
      </c>
      <c r="H199" s="914"/>
      <c r="I199" s="928"/>
      <c r="J199" s="931"/>
      <c r="K199" s="893">
        <v>650</v>
      </c>
      <c r="L199" s="894">
        <v>1</v>
      </c>
    </row>
    <row r="200" spans="1:12" s="895" customFormat="1" ht="15" thickBot="1">
      <c r="A200" s="886">
        <v>796</v>
      </c>
      <c r="B200" s="909" t="s">
        <v>573</v>
      </c>
      <c r="C200" s="928">
        <v>1340</v>
      </c>
      <c r="D200" s="931">
        <v>122</v>
      </c>
      <c r="E200" s="914">
        <f t="shared" si="7"/>
        <v>1462</v>
      </c>
      <c r="F200" s="931">
        <v>310</v>
      </c>
      <c r="G200" s="933">
        <v>388</v>
      </c>
      <c r="H200" s="914"/>
      <c r="I200" s="928"/>
      <c r="J200" s="931"/>
      <c r="K200" s="915"/>
      <c r="L200" s="894">
        <v>1</v>
      </c>
    </row>
    <row r="201" spans="1:12" s="895" customFormat="1" ht="14.45" customHeight="1" thickBot="1">
      <c r="A201" s="886">
        <v>797</v>
      </c>
      <c r="B201" s="909" t="s">
        <v>574</v>
      </c>
      <c r="C201" s="928">
        <v>1170</v>
      </c>
      <c r="D201" s="931">
        <v>144</v>
      </c>
      <c r="E201" s="914">
        <f t="shared" si="7"/>
        <v>1314</v>
      </c>
      <c r="F201" s="931"/>
      <c r="G201" s="933"/>
      <c r="H201" s="914"/>
      <c r="I201" s="928"/>
      <c r="J201" s="931"/>
      <c r="K201" s="915"/>
      <c r="L201" s="894">
        <v>1</v>
      </c>
    </row>
    <row r="202" spans="1:12" s="895" customFormat="1" ht="15" thickBot="1">
      <c r="A202" s="886">
        <v>799</v>
      </c>
      <c r="B202" s="909" t="s">
        <v>575</v>
      </c>
      <c r="C202" s="928">
        <v>1480</v>
      </c>
      <c r="D202" s="931">
        <v>104</v>
      </c>
      <c r="E202" s="914">
        <f t="shared" si="7"/>
        <v>1584</v>
      </c>
      <c r="F202" s="931"/>
      <c r="G202" s="933"/>
      <c r="H202" s="914"/>
      <c r="I202" s="928"/>
      <c r="J202" s="931"/>
      <c r="K202" s="915"/>
      <c r="L202" s="894">
        <v>1</v>
      </c>
    </row>
    <row r="203" spans="1:12" s="895" customFormat="1" ht="15" thickBot="1">
      <c r="A203" s="886">
        <v>800</v>
      </c>
      <c r="B203" s="909" t="s">
        <v>576</v>
      </c>
      <c r="C203" s="928">
        <v>1942</v>
      </c>
      <c r="D203" s="931">
        <v>43</v>
      </c>
      <c r="E203" s="914">
        <f t="shared" si="7"/>
        <v>1985</v>
      </c>
      <c r="F203" s="931">
        <v>310</v>
      </c>
      <c r="G203" s="933">
        <v>388</v>
      </c>
      <c r="H203" s="914">
        <v>17</v>
      </c>
      <c r="I203" s="928">
        <v>223</v>
      </c>
      <c r="J203" s="931"/>
      <c r="K203" s="915"/>
      <c r="L203" s="894">
        <v>1</v>
      </c>
    </row>
    <row r="204" spans="1:12" s="895" customFormat="1" ht="15" thickBot="1">
      <c r="A204" s="886">
        <v>802</v>
      </c>
      <c r="B204" s="909" t="s">
        <v>577</v>
      </c>
      <c r="C204" s="928">
        <v>1700</v>
      </c>
      <c r="D204" s="931">
        <v>75</v>
      </c>
      <c r="E204" s="914">
        <f t="shared" si="7"/>
        <v>1775</v>
      </c>
      <c r="F204" s="931">
        <v>310</v>
      </c>
      <c r="G204" s="933">
        <v>388</v>
      </c>
      <c r="H204" s="914">
        <v>17</v>
      </c>
      <c r="I204" s="928">
        <v>211</v>
      </c>
      <c r="J204" s="931"/>
      <c r="K204" s="915"/>
      <c r="L204" s="894">
        <v>1</v>
      </c>
    </row>
    <row r="205" spans="1:12" s="895" customFormat="1" ht="15" thickBot="1">
      <c r="A205" s="886">
        <v>803</v>
      </c>
      <c r="B205" s="909" t="s">
        <v>578</v>
      </c>
      <c r="C205" s="928">
        <v>971</v>
      </c>
      <c r="D205" s="931">
        <v>214</v>
      </c>
      <c r="E205" s="914">
        <f t="shared" si="7"/>
        <v>1185</v>
      </c>
      <c r="F205" s="931"/>
      <c r="G205" s="933"/>
      <c r="H205" s="914">
        <v>17</v>
      </c>
      <c r="I205" s="928">
        <v>413</v>
      </c>
      <c r="J205" s="931"/>
      <c r="K205" s="915"/>
      <c r="L205" s="894">
        <v>1</v>
      </c>
    </row>
    <row r="206" spans="1:12" s="895" customFormat="1" ht="15" thickBot="1">
      <c r="A206" s="886">
        <v>804</v>
      </c>
      <c r="B206" s="909" t="s">
        <v>579</v>
      </c>
      <c r="C206" s="928">
        <v>971</v>
      </c>
      <c r="D206" s="931">
        <v>414.7</v>
      </c>
      <c r="E206" s="914">
        <f t="shared" si="7"/>
        <v>1385.7</v>
      </c>
      <c r="F206" s="931"/>
      <c r="G206" s="933"/>
      <c r="H206" s="914"/>
      <c r="I206" s="928"/>
      <c r="J206" s="931"/>
      <c r="K206" s="915"/>
      <c r="L206" s="894">
        <v>1</v>
      </c>
    </row>
    <row r="207" spans="1:12" s="895" customFormat="1" ht="15" thickBot="1">
      <c r="A207" s="886">
        <v>805</v>
      </c>
      <c r="B207" s="909" t="s">
        <v>580</v>
      </c>
      <c r="C207" s="928">
        <v>1150</v>
      </c>
      <c r="D207" s="931">
        <v>147</v>
      </c>
      <c r="E207" s="914">
        <f t="shared" si="7"/>
        <v>1297</v>
      </c>
      <c r="F207" s="931"/>
      <c r="G207" s="933"/>
      <c r="H207" s="914"/>
      <c r="I207" s="928"/>
      <c r="J207" s="931"/>
      <c r="K207" s="915"/>
      <c r="L207" s="894">
        <v>1</v>
      </c>
    </row>
    <row r="208" spans="1:12" s="895" customFormat="1" ht="14.45" customHeight="1" thickBot="1">
      <c r="A208" s="886">
        <v>806</v>
      </c>
      <c r="B208" s="909" t="s">
        <v>581</v>
      </c>
      <c r="C208" s="928">
        <v>971</v>
      </c>
      <c r="D208" s="931">
        <v>414.7</v>
      </c>
      <c r="E208" s="914">
        <f t="shared" si="7"/>
        <v>1385.7</v>
      </c>
      <c r="F208" s="931"/>
      <c r="G208" s="933"/>
      <c r="H208" s="914"/>
      <c r="I208" s="928"/>
      <c r="J208" s="931"/>
      <c r="K208" s="915"/>
      <c r="L208" s="894">
        <v>1</v>
      </c>
    </row>
    <row r="209" spans="1:20" s="895" customFormat="1" ht="15" thickBot="1">
      <c r="A209" s="886">
        <v>807</v>
      </c>
      <c r="B209" s="909" t="s">
        <v>582</v>
      </c>
      <c r="C209" s="928">
        <v>1942</v>
      </c>
      <c r="D209" s="931">
        <v>43</v>
      </c>
      <c r="E209" s="914">
        <f t="shared" si="7"/>
        <v>1985</v>
      </c>
      <c r="F209" s="931">
        <v>518</v>
      </c>
      <c r="G209" s="933">
        <v>647</v>
      </c>
      <c r="H209" s="914"/>
      <c r="I209" s="928"/>
      <c r="J209" s="931"/>
      <c r="K209" s="915"/>
      <c r="L209" s="894">
        <v>1</v>
      </c>
    </row>
    <row r="210" spans="1:20" s="895" customFormat="1" ht="14.45" customHeight="1" thickBot="1">
      <c r="A210" s="886">
        <v>808</v>
      </c>
      <c r="B210" s="909" t="s">
        <v>583</v>
      </c>
      <c r="C210" s="928">
        <v>1942</v>
      </c>
      <c r="D210" s="931">
        <v>43</v>
      </c>
      <c r="E210" s="914">
        <f t="shared" si="7"/>
        <v>1985</v>
      </c>
      <c r="F210" s="931">
        <v>310.7</v>
      </c>
      <c r="G210" s="933">
        <v>388</v>
      </c>
      <c r="H210" s="914"/>
      <c r="I210" s="928">
        <v>669</v>
      </c>
      <c r="J210" s="931"/>
      <c r="K210" s="915"/>
      <c r="L210" s="894">
        <v>1</v>
      </c>
    </row>
    <row r="211" spans="1:20" s="895" customFormat="1" ht="15" thickBot="1">
      <c r="A211" s="886">
        <v>809</v>
      </c>
      <c r="B211" s="909" t="s">
        <v>584</v>
      </c>
      <c r="C211" s="928">
        <v>1782</v>
      </c>
      <c r="D211" s="931">
        <v>64</v>
      </c>
      <c r="E211" s="914">
        <f t="shared" si="7"/>
        <v>1846</v>
      </c>
      <c r="F211" s="931">
        <v>310.7</v>
      </c>
      <c r="G211" s="933">
        <v>388</v>
      </c>
      <c r="H211" s="914"/>
      <c r="I211" s="928">
        <v>669</v>
      </c>
      <c r="J211" s="931"/>
      <c r="K211" s="915"/>
      <c r="L211" s="894">
        <v>1</v>
      </c>
    </row>
    <row r="212" spans="1:20" s="895" customFormat="1" ht="15" thickBot="1">
      <c r="A212" s="886">
        <v>810</v>
      </c>
      <c r="B212" s="909" t="s">
        <v>585</v>
      </c>
      <c r="C212" s="928">
        <v>1692</v>
      </c>
      <c r="D212" s="931">
        <v>76</v>
      </c>
      <c r="E212" s="914">
        <f t="shared" si="7"/>
        <v>1768</v>
      </c>
      <c r="F212" s="931">
        <v>310.7</v>
      </c>
      <c r="G212" s="933">
        <v>388</v>
      </c>
      <c r="H212" s="914"/>
      <c r="I212" s="928">
        <v>663</v>
      </c>
      <c r="J212" s="931"/>
      <c r="K212" s="915"/>
      <c r="L212" s="894">
        <v>1</v>
      </c>
    </row>
    <row r="213" spans="1:20" s="895" customFormat="1" ht="15" thickBot="1">
      <c r="A213" s="886">
        <v>811</v>
      </c>
      <c r="B213" s="909" t="s">
        <v>586</v>
      </c>
      <c r="C213" s="928">
        <v>1592</v>
      </c>
      <c r="D213" s="931">
        <v>89</v>
      </c>
      <c r="E213" s="914">
        <f t="shared" si="7"/>
        <v>1681</v>
      </c>
      <c r="F213" s="931">
        <v>310.7</v>
      </c>
      <c r="G213" s="933">
        <v>388</v>
      </c>
      <c r="H213" s="914"/>
      <c r="I213" s="928">
        <v>657</v>
      </c>
      <c r="J213" s="931"/>
      <c r="K213" s="915"/>
      <c r="L213" s="894">
        <v>1</v>
      </c>
    </row>
    <row r="214" spans="1:20" s="895" customFormat="1" ht="15" thickBot="1">
      <c r="A214" s="886">
        <v>812</v>
      </c>
      <c r="B214" s="909" t="s">
        <v>587</v>
      </c>
      <c r="C214" s="928">
        <v>1600</v>
      </c>
      <c r="D214" s="931">
        <v>88</v>
      </c>
      <c r="E214" s="914">
        <f t="shared" si="7"/>
        <v>1688</v>
      </c>
      <c r="F214" s="931">
        <v>310.7</v>
      </c>
      <c r="G214" s="933">
        <v>388</v>
      </c>
      <c r="H214" s="914"/>
      <c r="I214" s="928">
        <v>657</v>
      </c>
      <c r="J214" s="931"/>
      <c r="K214" s="915"/>
      <c r="L214" s="894">
        <v>1</v>
      </c>
    </row>
    <row r="215" spans="1:20" s="895" customFormat="1" ht="15" thickBot="1">
      <c r="A215" s="886">
        <v>813</v>
      </c>
      <c r="B215" s="909" t="s">
        <v>588</v>
      </c>
      <c r="C215" s="928">
        <v>971</v>
      </c>
      <c r="D215" s="931">
        <v>214</v>
      </c>
      <c r="E215" s="914">
        <f t="shared" si="7"/>
        <v>1185</v>
      </c>
      <c r="F215" s="931"/>
      <c r="G215" s="933"/>
      <c r="H215" s="914"/>
      <c r="I215" s="928">
        <v>620</v>
      </c>
      <c r="J215" s="931"/>
      <c r="K215" s="915"/>
      <c r="L215" s="894">
        <v>1</v>
      </c>
    </row>
    <row r="216" spans="1:20" ht="15.75" customHeight="1" thickBot="1">
      <c r="A216" s="888">
        <v>814</v>
      </c>
      <c r="B216" s="908" t="s">
        <v>589</v>
      </c>
      <c r="C216" s="928">
        <v>971</v>
      </c>
      <c r="D216" s="931">
        <v>214</v>
      </c>
      <c r="E216" s="914">
        <f t="shared" si="7"/>
        <v>1185</v>
      </c>
      <c r="F216" s="931"/>
      <c r="G216" s="933"/>
      <c r="H216" s="914"/>
      <c r="I216" s="928">
        <v>155</v>
      </c>
      <c r="J216" s="931"/>
      <c r="K216" s="915"/>
      <c r="L216" s="894">
        <v>1</v>
      </c>
      <c r="M216" s="895"/>
      <c r="N216" s="895"/>
      <c r="O216" s="895"/>
      <c r="P216" s="895"/>
      <c r="Q216" s="895"/>
      <c r="R216" s="895"/>
      <c r="S216" s="895"/>
      <c r="T216" s="895"/>
    </row>
    <row r="217" spans="1:20" ht="15.75" customHeight="1" thickBot="1">
      <c r="A217" s="888">
        <v>816</v>
      </c>
      <c r="B217" s="908" t="s">
        <v>590</v>
      </c>
      <c r="C217" s="928">
        <v>1600</v>
      </c>
      <c r="D217" s="931">
        <v>88</v>
      </c>
      <c r="E217" s="914">
        <f t="shared" si="7"/>
        <v>1688</v>
      </c>
      <c r="F217" s="931">
        <v>310.7</v>
      </c>
      <c r="G217" s="933">
        <v>388</v>
      </c>
      <c r="H217" s="914">
        <v>17</v>
      </c>
      <c r="I217" s="928"/>
      <c r="J217" s="931"/>
      <c r="K217" s="915"/>
      <c r="L217" s="894">
        <v>1</v>
      </c>
      <c r="M217" s="895"/>
      <c r="N217" s="895"/>
      <c r="O217" s="895"/>
      <c r="P217" s="895"/>
      <c r="Q217" s="895"/>
      <c r="R217" s="895"/>
      <c r="S217" s="895"/>
      <c r="T217" s="895"/>
    </row>
    <row r="218" spans="1:20" ht="15.75" customHeight="1" thickBot="1">
      <c r="A218" s="888">
        <v>817</v>
      </c>
      <c r="B218" s="908" t="s">
        <v>591</v>
      </c>
      <c r="C218" s="928">
        <v>971</v>
      </c>
      <c r="D218" s="931">
        <v>214</v>
      </c>
      <c r="E218" s="914">
        <f t="shared" si="7"/>
        <v>1185</v>
      </c>
      <c r="F218" s="931"/>
      <c r="G218" s="933"/>
      <c r="H218" s="914"/>
      <c r="I218" s="928">
        <v>155</v>
      </c>
      <c r="J218" s="931"/>
      <c r="K218" s="915"/>
      <c r="L218" s="894">
        <v>1</v>
      </c>
      <c r="M218" s="895"/>
      <c r="N218" s="895"/>
      <c r="O218" s="895"/>
      <c r="P218" s="895"/>
      <c r="Q218" s="895"/>
      <c r="R218" s="895"/>
      <c r="S218" s="895"/>
      <c r="T218" s="895"/>
    </row>
    <row r="219" spans="1:20" ht="15.75" customHeight="1" thickBot="1">
      <c r="A219" s="888">
        <v>818</v>
      </c>
      <c r="B219" s="908" t="s">
        <v>592</v>
      </c>
      <c r="C219" s="928">
        <v>971</v>
      </c>
      <c r="D219" s="931">
        <v>214</v>
      </c>
      <c r="E219" s="914">
        <f t="shared" si="7"/>
        <v>1185</v>
      </c>
      <c r="F219" s="931"/>
      <c r="G219" s="933"/>
      <c r="H219" s="914"/>
      <c r="I219" s="928">
        <v>659</v>
      </c>
      <c r="J219" s="931"/>
      <c r="K219" s="915"/>
      <c r="L219" s="894">
        <v>1</v>
      </c>
      <c r="M219" s="895"/>
      <c r="N219" s="895"/>
      <c r="O219" s="895"/>
      <c r="P219" s="895"/>
      <c r="Q219" s="895"/>
      <c r="R219" s="895"/>
      <c r="S219" s="895"/>
      <c r="T219" s="895"/>
    </row>
    <row r="220" spans="1:20" ht="15.75" customHeight="1" thickBot="1">
      <c r="A220" s="888">
        <v>819</v>
      </c>
      <c r="B220" s="908" t="s">
        <v>593</v>
      </c>
      <c r="C220" s="928">
        <v>971</v>
      </c>
      <c r="D220" s="931">
        <v>214</v>
      </c>
      <c r="E220" s="914">
        <f t="shared" si="7"/>
        <v>1185</v>
      </c>
      <c r="F220" s="931"/>
      <c r="G220" s="933"/>
      <c r="H220" s="914"/>
      <c r="I220" s="928">
        <v>155</v>
      </c>
      <c r="J220" s="931"/>
      <c r="K220" s="915"/>
      <c r="L220" s="894">
        <v>1</v>
      </c>
      <c r="M220" s="895"/>
      <c r="N220" s="895"/>
      <c r="O220" s="895"/>
      <c r="P220" s="895"/>
      <c r="Q220" s="895"/>
      <c r="R220" s="895"/>
      <c r="S220" s="895"/>
      <c r="T220" s="895"/>
    </row>
    <row r="221" spans="1:20" ht="15.75" customHeight="1" thickBot="1">
      <c r="A221" s="888">
        <v>820</v>
      </c>
      <c r="B221" s="908" t="s">
        <v>594</v>
      </c>
      <c r="C221" s="928">
        <v>1692</v>
      </c>
      <c r="D221" s="931">
        <v>76</v>
      </c>
      <c r="E221" s="914">
        <f t="shared" si="7"/>
        <v>1768</v>
      </c>
      <c r="F221" s="931">
        <v>362.7</v>
      </c>
      <c r="G221" s="933">
        <v>453</v>
      </c>
      <c r="H221" s="914"/>
      <c r="I221" s="928">
        <v>839</v>
      </c>
      <c r="J221" s="931"/>
      <c r="K221" s="915"/>
      <c r="L221" s="894">
        <v>1</v>
      </c>
      <c r="M221" s="895"/>
      <c r="N221" s="895"/>
      <c r="O221" s="895"/>
      <c r="P221" s="895"/>
      <c r="Q221" s="895"/>
      <c r="R221" s="895"/>
      <c r="S221" s="895"/>
      <c r="T221" s="895"/>
    </row>
    <row r="222" spans="1:20" ht="15.75" customHeight="1" thickBot="1">
      <c r="A222" s="888">
        <v>821</v>
      </c>
      <c r="B222" s="908" t="s">
        <v>595</v>
      </c>
      <c r="C222" s="928">
        <v>1592</v>
      </c>
      <c r="D222" s="931">
        <v>89</v>
      </c>
      <c r="E222" s="914">
        <f t="shared" si="7"/>
        <v>1681</v>
      </c>
      <c r="F222" s="931">
        <v>310.7</v>
      </c>
      <c r="G222" s="933">
        <v>388</v>
      </c>
      <c r="H222" s="914"/>
      <c r="I222" s="928">
        <v>839</v>
      </c>
      <c r="J222" s="931"/>
      <c r="K222" s="915"/>
      <c r="L222" s="894">
        <v>1</v>
      </c>
      <c r="M222" s="895"/>
      <c r="N222" s="895"/>
      <c r="O222" s="895"/>
      <c r="P222" s="895"/>
      <c r="Q222" s="895"/>
      <c r="R222" s="895"/>
      <c r="S222" s="895"/>
      <c r="T222" s="895"/>
    </row>
    <row r="223" spans="1:20" ht="15.75" customHeight="1" thickBot="1">
      <c r="A223" s="888">
        <v>822</v>
      </c>
      <c r="B223" s="908" t="s">
        <v>596</v>
      </c>
      <c r="C223" s="928">
        <v>971</v>
      </c>
      <c r="D223" s="931">
        <v>414.7</v>
      </c>
      <c r="E223" s="914">
        <f t="shared" si="7"/>
        <v>1385.7</v>
      </c>
      <c r="F223" s="931"/>
      <c r="G223" s="933"/>
      <c r="H223" s="914"/>
      <c r="I223" s="928"/>
      <c r="J223" s="931"/>
      <c r="K223" s="915"/>
      <c r="L223" s="894">
        <v>1</v>
      </c>
      <c r="M223" s="895"/>
      <c r="N223" s="895"/>
      <c r="O223" s="895"/>
      <c r="P223" s="895"/>
      <c r="Q223" s="895"/>
      <c r="R223" s="895"/>
      <c r="S223" s="895"/>
      <c r="T223" s="895"/>
    </row>
    <row r="224" spans="1:20" ht="15.75" customHeight="1" thickBot="1">
      <c r="A224" s="888">
        <v>823</v>
      </c>
      <c r="B224" s="908" t="s">
        <v>597</v>
      </c>
      <c r="C224" s="928">
        <v>1700</v>
      </c>
      <c r="D224" s="931">
        <v>75</v>
      </c>
      <c r="E224" s="914">
        <f t="shared" si="7"/>
        <v>1775</v>
      </c>
      <c r="F224" s="931">
        <v>310.7</v>
      </c>
      <c r="G224" s="933">
        <v>388</v>
      </c>
      <c r="H224" s="914"/>
      <c r="I224" s="928">
        <v>657</v>
      </c>
      <c r="J224" s="931"/>
      <c r="K224" s="915"/>
      <c r="L224" s="894">
        <v>1</v>
      </c>
      <c r="M224" s="895"/>
      <c r="N224" s="895"/>
      <c r="O224" s="895"/>
      <c r="P224" s="895"/>
      <c r="Q224" s="895"/>
      <c r="R224" s="895"/>
      <c r="S224" s="895"/>
      <c r="T224" s="895"/>
    </row>
    <row r="225" spans="1:20" ht="15.75" customHeight="1" thickBot="1">
      <c r="A225" s="888">
        <v>824</v>
      </c>
      <c r="B225" s="908" t="s">
        <v>598</v>
      </c>
      <c r="C225" s="928">
        <v>1400</v>
      </c>
      <c r="D225" s="931">
        <v>114</v>
      </c>
      <c r="E225" s="914">
        <f t="shared" ref="E225:E256" si="8">C225+D225</f>
        <v>1514</v>
      </c>
      <c r="F225" s="931">
        <v>310.7</v>
      </c>
      <c r="G225" s="933">
        <v>388</v>
      </c>
      <c r="H225" s="914"/>
      <c r="I225" s="928">
        <v>657</v>
      </c>
      <c r="J225" s="931"/>
      <c r="K225" s="915"/>
      <c r="L225" s="894">
        <v>1</v>
      </c>
      <c r="M225" s="895"/>
      <c r="N225" s="895"/>
      <c r="O225" s="895"/>
      <c r="P225" s="895"/>
      <c r="Q225" s="895"/>
      <c r="R225" s="895"/>
      <c r="S225" s="895"/>
      <c r="T225" s="895"/>
    </row>
    <row r="226" spans="1:20" ht="15.75" customHeight="1" thickBot="1">
      <c r="A226" s="888">
        <v>825</v>
      </c>
      <c r="B226" s="908" t="s">
        <v>268</v>
      </c>
      <c r="C226" s="928">
        <v>1300</v>
      </c>
      <c r="D226" s="931">
        <v>127</v>
      </c>
      <c r="E226" s="914">
        <f t="shared" si="8"/>
        <v>1427</v>
      </c>
      <c r="F226" s="931">
        <v>310.7</v>
      </c>
      <c r="G226" s="933">
        <v>388</v>
      </c>
      <c r="H226" s="914"/>
      <c r="I226" s="928">
        <v>657</v>
      </c>
      <c r="J226" s="931"/>
      <c r="K226" s="915"/>
      <c r="L226" s="894">
        <v>1</v>
      </c>
      <c r="M226" s="895"/>
      <c r="N226" s="895"/>
      <c r="O226" s="895"/>
      <c r="P226" s="895"/>
      <c r="Q226" s="895"/>
      <c r="R226" s="895"/>
      <c r="S226" s="895"/>
      <c r="T226" s="895"/>
    </row>
    <row r="227" spans="1:20" ht="15.75" customHeight="1" thickBot="1">
      <c r="A227" s="888">
        <v>826</v>
      </c>
      <c r="B227" s="908" t="s">
        <v>269</v>
      </c>
      <c r="C227" s="928">
        <v>1250</v>
      </c>
      <c r="D227" s="931">
        <v>134</v>
      </c>
      <c r="E227" s="914">
        <f t="shared" si="8"/>
        <v>1384</v>
      </c>
      <c r="F227" s="931">
        <v>310.7</v>
      </c>
      <c r="G227" s="933">
        <v>388</v>
      </c>
      <c r="H227" s="914"/>
      <c r="I227" s="928">
        <v>657</v>
      </c>
      <c r="J227" s="931"/>
      <c r="K227" s="915"/>
      <c r="L227" s="894">
        <v>1</v>
      </c>
      <c r="M227" s="895"/>
      <c r="N227" s="895"/>
      <c r="O227" s="895"/>
      <c r="P227" s="895"/>
      <c r="Q227" s="895"/>
      <c r="R227" s="895"/>
      <c r="S227" s="895"/>
      <c r="T227" s="895"/>
    </row>
    <row r="228" spans="1:20" ht="15.75" customHeight="1" thickBot="1">
      <c r="A228" s="888">
        <v>827</v>
      </c>
      <c r="B228" s="908" t="s">
        <v>270</v>
      </c>
      <c r="C228" s="928">
        <v>1680</v>
      </c>
      <c r="D228" s="931">
        <v>77</v>
      </c>
      <c r="E228" s="914">
        <f t="shared" si="8"/>
        <v>1757</v>
      </c>
      <c r="F228" s="931">
        <v>517.29999999999995</v>
      </c>
      <c r="G228" s="933">
        <v>453</v>
      </c>
      <c r="H228" s="914"/>
      <c r="I228" s="928"/>
      <c r="J228" s="931"/>
      <c r="K228" s="915"/>
      <c r="L228" s="894">
        <v>1</v>
      </c>
      <c r="M228" s="895"/>
      <c r="N228" s="895"/>
      <c r="O228" s="895"/>
      <c r="P228" s="895"/>
      <c r="Q228" s="895"/>
      <c r="R228" s="895"/>
      <c r="S228" s="895"/>
      <c r="T228" s="895"/>
    </row>
    <row r="229" spans="1:20" ht="15.75" customHeight="1" thickBot="1">
      <c r="A229" s="888">
        <v>828</v>
      </c>
      <c r="B229" s="908" t="s">
        <v>271</v>
      </c>
      <c r="C229" s="928">
        <v>2913</v>
      </c>
      <c r="D229" s="931">
        <v>0</v>
      </c>
      <c r="E229" s="914">
        <f t="shared" si="8"/>
        <v>2913</v>
      </c>
      <c r="F229" s="931"/>
      <c r="G229" s="933"/>
      <c r="H229" s="914">
        <v>17</v>
      </c>
      <c r="I229" s="928"/>
      <c r="J229" s="931"/>
      <c r="K229" s="915"/>
      <c r="L229" s="894">
        <v>1</v>
      </c>
      <c r="M229" s="895"/>
      <c r="N229" s="895"/>
      <c r="O229" s="895"/>
      <c r="P229" s="895"/>
      <c r="Q229" s="895"/>
      <c r="R229" s="895"/>
      <c r="S229" s="895"/>
      <c r="T229" s="895"/>
    </row>
    <row r="230" spans="1:20" ht="15.75" customHeight="1" thickBot="1">
      <c r="A230" s="888">
        <v>829</v>
      </c>
      <c r="B230" s="908" t="s">
        <v>272</v>
      </c>
      <c r="C230" s="928">
        <v>971</v>
      </c>
      <c r="D230" s="931">
        <v>414.7</v>
      </c>
      <c r="E230" s="914">
        <f t="shared" si="8"/>
        <v>1385.7</v>
      </c>
      <c r="F230" s="931"/>
      <c r="G230" s="933"/>
      <c r="H230" s="914"/>
      <c r="I230" s="928"/>
      <c r="J230" s="931"/>
      <c r="K230" s="915"/>
      <c r="L230" s="894">
        <v>1</v>
      </c>
      <c r="M230" s="895"/>
      <c r="N230" s="895"/>
      <c r="O230" s="895"/>
      <c r="P230" s="895"/>
      <c r="Q230" s="895"/>
      <c r="R230" s="895"/>
      <c r="S230" s="895"/>
      <c r="T230" s="895"/>
    </row>
    <row r="231" spans="1:20" ht="15.75" customHeight="1" thickBot="1">
      <c r="A231" s="888">
        <v>830</v>
      </c>
      <c r="B231" s="908" t="s">
        <v>273</v>
      </c>
      <c r="C231" s="928">
        <v>971</v>
      </c>
      <c r="D231" s="931">
        <v>414.7</v>
      </c>
      <c r="E231" s="914">
        <f t="shared" si="8"/>
        <v>1385.7</v>
      </c>
      <c r="F231" s="931"/>
      <c r="G231" s="933"/>
      <c r="H231" s="914"/>
      <c r="I231" s="928"/>
      <c r="J231" s="931"/>
      <c r="K231" s="915"/>
      <c r="L231" s="894">
        <v>1</v>
      </c>
      <c r="M231" s="895"/>
      <c r="N231" s="895"/>
      <c r="O231" s="895"/>
      <c r="P231" s="895"/>
      <c r="Q231" s="895"/>
      <c r="R231" s="895"/>
      <c r="S231" s="895"/>
      <c r="T231" s="895"/>
    </row>
    <row r="232" spans="1:20" ht="15.75" customHeight="1" thickBot="1">
      <c r="A232" s="888">
        <v>831</v>
      </c>
      <c r="B232" s="908" t="s">
        <v>274</v>
      </c>
      <c r="C232" s="928">
        <v>971</v>
      </c>
      <c r="D232" s="931">
        <v>414.7</v>
      </c>
      <c r="E232" s="914">
        <f t="shared" si="8"/>
        <v>1385.7</v>
      </c>
      <c r="F232" s="931"/>
      <c r="G232" s="933"/>
      <c r="H232" s="914"/>
      <c r="I232" s="928"/>
      <c r="J232" s="931"/>
      <c r="K232" s="915"/>
      <c r="L232" s="894">
        <v>1</v>
      </c>
      <c r="M232" s="895"/>
      <c r="N232" s="895"/>
      <c r="O232" s="895"/>
      <c r="P232" s="895"/>
      <c r="Q232" s="895"/>
      <c r="R232" s="895"/>
      <c r="S232" s="895"/>
      <c r="T232" s="895"/>
    </row>
    <row r="233" spans="1:20" ht="15.75" customHeight="1" thickBot="1">
      <c r="A233" s="888">
        <v>833</v>
      </c>
      <c r="B233" s="908" t="s">
        <v>275</v>
      </c>
      <c r="C233" s="928">
        <v>971</v>
      </c>
      <c r="D233" s="931">
        <v>214</v>
      </c>
      <c r="E233" s="914">
        <f t="shared" si="8"/>
        <v>1185</v>
      </c>
      <c r="F233" s="931"/>
      <c r="G233" s="933"/>
      <c r="H233" s="914"/>
      <c r="I233" s="928">
        <v>155</v>
      </c>
      <c r="J233" s="931"/>
      <c r="K233" s="915"/>
      <c r="L233" s="894">
        <v>1</v>
      </c>
      <c r="M233" s="895"/>
      <c r="N233" s="895"/>
      <c r="O233" s="895"/>
      <c r="P233" s="895"/>
      <c r="Q233" s="895"/>
      <c r="R233" s="895"/>
      <c r="S233" s="895"/>
      <c r="T233" s="895"/>
    </row>
    <row r="234" spans="1:20" ht="15.75" customHeight="1" thickBot="1">
      <c r="A234" s="888">
        <v>834</v>
      </c>
      <c r="B234" s="908" t="s">
        <v>276</v>
      </c>
      <c r="C234" s="928">
        <v>971</v>
      </c>
      <c r="D234" s="931">
        <v>214</v>
      </c>
      <c r="E234" s="914">
        <f t="shared" si="8"/>
        <v>1185</v>
      </c>
      <c r="F234" s="931"/>
      <c r="G234" s="933"/>
      <c r="H234" s="914"/>
      <c r="I234" s="928">
        <v>155</v>
      </c>
      <c r="J234" s="931"/>
      <c r="K234" s="915"/>
      <c r="L234" s="894">
        <v>1</v>
      </c>
      <c r="M234" s="895"/>
      <c r="N234" s="895"/>
      <c r="O234" s="895"/>
      <c r="P234" s="895"/>
      <c r="Q234" s="895"/>
      <c r="R234" s="895"/>
      <c r="S234" s="895"/>
      <c r="T234" s="895"/>
    </row>
    <row r="235" spans="1:20" ht="15.75" customHeight="1" thickBot="1">
      <c r="A235" s="888">
        <v>835</v>
      </c>
      <c r="B235" s="908" t="s">
        <v>277</v>
      </c>
      <c r="C235" s="928">
        <v>971</v>
      </c>
      <c r="D235" s="931">
        <v>214</v>
      </c>
      <c r="E235" s="914">
        <f t="shared" si="8"/>
        <v>1185</v>
      </c>
      <c r="F235" s="931"/>
      <c r="G235" s="933"/>
      <c r="H235" s="914"/>
      <c r="I235" s="928">
        <v>620</v>
      </c>
      <c r="J235" s="931"/>
      <c r="K235" s="915"/>
      <c r="L235" s="894">
        <v>1</v>
      </c>
      <c r="M235" s="895"/>
      <c r="N235" s="895"/>
      <c r="O235" s="895"/>
      <c r="P235" s="895"/>
      <c r="Q235" s="895"/>
      <c r="R235" s="895"/>
      <c r="S235" s="895"/>
      <c r="T235" s="895"/>
    </row>
    <row r="236" spans="1:20" ht="15.75" customHeight="1" thickBot="1">
      <c r="A236" s="888">
        <v>836</v>
      </c>
      <c r="B236" s="908" t="s">
        <v>278</v>
      </c>
      <c r="C236" s="928">
        <v>971</v>
      </c>
      <c r="D236" s="931">
        <v>214</v>
      </c>
      <c r="E236" s="914">
        <f t="shared" si="8"/>
        <v>1185</v>
      </c>
      <c r="F236" s="931"/>
      <c r="G236" s="933"/>
      <c r="H236" s="914"/>
      <c r="I236" s="928">
        <v>155</v>
      </c>
      <c r="J236" s="931"/>
      <c r="K236" s="915"/>
      <c r="L236" s="894">
        <v>1</v>
      </c>
      <c r="M236" s="895"/>
      <c r="N236" s="895"/>
      <c r="O236" s="895"/>
      <c r="P236" s="895"/>
      <c r="Q236" s="895"/>
      <c r="R236" s="895"/>
      <c r="S236" s="895"/>
      <c r="T236" s="895"/>
    </row>
    <row r="237" spans="1:20" ht="15.75" customHeight="1" thickBot="1">
      <c r="A237" s="888">
        <v>837</v>
      </c>
      <c r="B237" s="908" t="s">
        <v>279</v>
      </c>
      <c r="C237" s="928">
        <v>971</v>
      </c>
      <c r="D237" s="931">
        <v>214</v>
      </c>
      <c r="E237" s="914">
        <f t="shared" si="8"/>
        <v>1185</v>
      </c>
      <c r="F237" s="931"/>
      <c r="G237" s="933"/>
      <c r="H237" s="914"/>
      <c r="I237" s="928">
        <v>155</v>
      </c>
      <c r="J237" s="931"/>
      <c r="K237" s="915"/>
      <c r="L237" s="894">
        <v>1</v>
      </c>
      <c r="M237" s="895"/>
      <c r="N237" s="895"/>
      <c r="O237" s="895"/>
      <c r="P237" s="895"/>
      <c r="Q237" s="895"/>
      <c r="R237" s="895"/>
      <c r="S237" s="895"/>
      <c r="T237" s="895"/>
    </row>
    <row r="238" spans="1:20" ht="15.75" customHeight="1" thickBot="1">
      <c r="A238" s="888">
        <v>838</v>
      </c>
      <c r="B238" s="908" t="s">
        <v>280</v>
      </c>
      <c r="C238" s="928">
        <v>971</v>
      </c>
      <c r="D238" s="931">
        <v>214</v>
      </c>
      <c r="E238" s="914">
        <f t="shared" si="8"/>
        <v>1185</v>
      </c>
      <c r="F238" s="931"/>
      <c r="G238" s="933"/>
      <c r="H238" s="914"/>
      <c r="I238" s="928">
        <v>659</v>
      </c>
      <c r="J238" s="931"/>
      <c r="K238" s="915"/>
      <c r="L238" s="894">
        <v>1</v>
      </c>
      <c r="M238" s="895"/>
      <c r="N238" s="895"/>
      <c r="O238" s="895"/>
      <c r="P238" s="895"/>
      <c r="Q238" s="895"/>
      <c r="R238" s="895"/>
      <c r="S238" s="895"/>
      <c r="T238" s="895"/>
    </row>
    <row r="239" spans="1:20" ht="15.75" customHeight="1" thickBot="1">
      <c r="A239" s="888">
        <v>839</v>
      </c>
      <c r="B239" s="908" t="s">
        <v>281</v>
      </c>
      <c r="C239" s="928">
        <v>971</v>
      </c>
      <c r="D239" s="931">
        <v>214</v>
      </c>
      <c r="E239" s="914">
        <f t="shared" si="8"/>
        <v>1185</v>
      </c>
      <c r="F239" s="931"/>
      <c r="G239" s="933"/>
      <c r="H239" s="914"/>
      <c r="I239" s="928">
        <v>155</v>
      </c>
      <c r="J239" s="931"/>
      <c r="K239" s="915"/>
      <c r="L239" s="894">
        <v>1</v>
      </c>
      <c r="M239" s="895"/>
      <c r="N239" s="895"/>
      <c r="O239" s="895"/>
      <c r="P239" s="895"/>
      <c r="Q239" s="895"/>
      <c r="R239" s="895"/>
      <c r="S239" s="895"/>
      <c r="T239" s="895"/>
    </row>
    <row r="240" spans="1:20" ht="15.75" customHeight="1" thickBot="1">
      <c r="A240" s="888">
        <v>840</v>
      </c>
      <c r="B240" s="908" t="s">
        <v>282</v>
      </c>
      <c r="C240" s="928">
        <v>971</v>
      </c>
      <c r="D240" s="931">
        <v>214</v>
      </c>
      <c r="E240" s="914">
        <f t="shared" si="8"/>
        <v>1185</v>
      </c>
      <c r="F240" s="931"/>
      <c r="G240" s="933"/>
      <c r="H240" s="914"/>
      <c r="I240" s="928">
        <v>155</v>
      </c>
      <c r="J240" s="931"/>
      <c r="K240" s="915"/>
      <c r="L240" s="894">
        <v>1</v>
      </c>
      <c r="M240" s="895"/>
      <c r="N240" s="895"/>
      <c r="O240" s="895"/>
      <c r="P240" s="895"/>
      <c r="Q240" s="895"/>
      <c r="R240" s="895"/>
      <c r="S240" s="895"/>
      <c r="T240" s="895"/>
    </row>
    <row r="241" spans="1:20" ht="15.75" customHeight="1" thickBot="1">
      <c r="A241" s="888">
        <v>841</v>
      </c>
      <c r="B241" s="908" t="s">
        <v>283</v>
      </c>
      <c r="C241" s="928">
        <v>1300</v>
      </c>
      <c r="D241" s="931">
        <v>127</v>
      </c>
      <c r="E241" s="914">
        <f t="shared" si="8"/>
        <v>1427</v>
      </c>
      <c r="F241" s="931">
        <v>388</v>
      </c>
      <c r="G241" s="933">
        <v>388</v>
      </c>
      <c r="H241" s="914"/>
      <c r="I241" s="928"/>
      <c r="J241" s="931"/>
      <c r="K241" s="915"/>
      <c r="L241" s="894">
        <v>1</v>
      </c>
      <c r="M241" s="895"/>
      <c r="N241" s="895"/>
      <c r="O241" s="895"/>
      <c r="P241" s="895"/>
      <c r="Q241" s="895"/>
      <c r="R241" s="895"/>
      <c r="S241" s="895"/>
      <c r="T241" s="895"/>
    </row>
    <row r="242" spans="1:20" ht="15.75" customHeight="1" thickBot="1">
      <c r="A242" s="888">
        <v>842</v>
      </c>
      <c r="B242" s="908" t="s">
        <v>284</v>
      </c>
      <c r="C242" s="928">
        <v>1500</v>
      </c>
      <c r="D242" s="931">
        <v>101</v>
      </c>
      <c r="E242" s="914">
        <f t="shared" si="8"/>
        <v>1601</v>
      </c>
      <c r="F242" s="931">
        <v>518</v>
      </c>
      <c r="G242" s="933">
        <v>647</v>
      </c>
      <c r="H242" s="914"/>
      <c r="I242" s="928"/>
      <c r="J242" s="931"/>
      <c r="K242" s="892">
        <v>744</v>
      </c>
      <c r="L242" s="894">
        <v>1</v>
      </c>
      <c r="M242" s="895"/>
      <c r="N242" s="895"/>
      <c r="O242" s="895"/>
      <c r="P242" s="895"/>
      <c r="Q242" s="895"/>
      <c r="R242" s="895"/>
      <c r="S242" s="895"/>
      <c r="T242" s="895"/>
    </row>
    <row r="243" spans="1:20" ht="15.75" customHeight="1" thickBot="1">
      <c r="A243" s="888">
        <v>843</v>
      </c>
      <c r="B243" s="908" t="s">
        <v>285</v>
      </c>
      <c r="C243" s="928">
        <v>1250</v>
      </c>
      <c r="D243" s="931">
        <v>134</v>
      </c>
      <c r="E243" s="914">
        <f t="shared" si="8"/>
        <v>1384</v>
      </c>
      <c r="F243" s="931">
        <v>310.7</v>
      </c>
      <c r="G243" s="933">
        <v>388</v>
      </c>
      <c r="H243" s="914"/>
      <c r="I243" s="928"/>
      <c r="J243" s="931"/>
      <c r="K243" s="892">
        <v>580</v>
      </c>
      <c r="L243" s="894">
        <v>1</v>
      </c>
      <c r="M243" s="895"/>
      <c r="N243" s="895"/>
      <c r="O243" s="895"/>
      <c r="P243" s="895"/>
      <c r="Q243" s="895"/>
      <c r="R243" s="895"/>
      <c r="S243" s="895"/>
      <c r="T243" s="895"/>
    </row>
    <row r="244" spans="1:20" ht="15.75" customHeight="1" thickBot="1">
      <c r="A244" s="888">
        <v>844</v>
      </c>
      <c r="B244" s="908" t="s">
        <v>286</v>
      </c>
      <c r="C244" s="928">
        <v>1660</v>
      </c>
      <c r="D244" s="931">
        <v>80</v>
      </c>
      <c r="E244" s="914">
        <f t="shared" si="8"/>
        <v>1740</v>
      </c>
      <c r="F244" s="931"/>
      <c r="G244" s="933"/>
      <c r="H244" s="914"/>
      <c r="I244" s="928"/>
      <c r="J244" s="931"/>
      <c r="K244" s="915"/>
      <c r="L244" s="894">
        <v>1</v>
      </c>
      <c r="M244" s="895"/>
      <c r="N244" s="895"/>
      <c r="O244" s="895"/>
      <c r="P244" s="895"/>
      <c r="Q244" s="895"/>
      <c r="R244" s="895"/>
      <c r="S244" s="895"/>
      <c r="T244" s="895"/>
    </row>
    <row r="245" spans="1:20" ht="15.75" customHeight="1" thickBot="1">
      <c r="A245" s="888">
        <v>847</v>
      </c>
      <c r="B245" s="908" t="s">
        <v>287</v>
      </c>
      <c r="C245" s="928">
        <v>971</v>
      </c>
      <c r="D245" s="931">
        <v>414.7</v>
      </c>
      <c r="E245" s="914">
        <f t="shared" si="8"/>
        <v>1385.7</v>
      </c>
      <c r="F245" s="931"/>
      <c r="G245" s="933"/>
      <c r="H245" s="914"/>
      <c r="I245" s="928"/>
      <c r="J245" s="931"/>
      <c r="K245" s="915"/>
      <c r="L245" s="894">
        <v>1</v>
      </c>
      <c r="M245" s="895"/>
      <c r="N245" s="895"/>
      <c r="O245" s="895"/>
      <c r="P245" s="895"/>
      <c r="Q245" s="895"/>
      <c r="R245" s="895"/>
      <c r="S245" s="895"/>
      <c r="T245" s="895"/>
    </row>
    <row r="246" spans="1:20" ht="15.75" customHeight="1" thickBot="1">
      <c r="A246" s="888">
        <v>848</v>
      </c>
      <c r="B246" s="908" t="s">
        <v>288</v>
      </c>
      <c r="C246" s="928">
        <v>971</v>
      </c>
      <c r="D246" s="931">
        <v>214</v>
      </c>
      <c r="E246" s="914">
        <f t="shared" si="8"/>
        <v>1185</v>
      </c>
      <c r="F246" s="931"/>
      <c r="G246" s="933"/>
      <c r="H246" s="914"/>
      <c r="I246" s="928">
        <v>155</v>
      </c>
      <c r="J246" s="931"/>
      <c r="K246" s="915"/>
      <c r="L246" s="894">
        <v>1</v>
      </c>
      <c r="M246" s="895"/>
      <c r="N246" s="895"/>
      <c r="O246" s="895"/>
      <c r="P246" s="895"/>
      <c r="Q246" s="895"/>
      <c r="R246" s="895"/>
      <c r="S246" s="895"/>
      <c r="T246" s="895"/>
    </row>
    <row r="247" spans="1:20" ht="15.75" customHeight="1" thickBot="1">
      <c r="A247" s="888">
        <v>849</v>
      </c>
      <c r="B247" s="908" t="s">
        <v>289</v>
      </c>
      <c r="C247" s="928">
        <v>971</v>
      </c>
      <c r="D247" s="931">
        <v>414.7</v>
      </c>
      <c r="E247" s="914">
        <f t="shared" si="8"/>
        <v>1385.7</v>
      </c>
      <c r="F247" s="931"/>
      <c r="G247" s="933"/>
      <c r="H247" s="914"/>
      <c r="I247" s="928"/>
      <c r="J247" s="931"/>
      <c r="K247" s="915"/>
      <c r="L247" s="894">
        <v>1</v>
      </c>
      <c r="M247" s="895"/>
      <c r="N247" s="895"/>
      <c r="O247" s="895"/>
      <c r="P247" s="895"/>
      <c r="Q247" s="895"/>
      <c r="R247" s="895"/>
      <c r="S247" s="895"/>
      <c r="T247" s="895"/>
    </row>
    <row r="248" spans="1:20" ht="15.75" customHeight="1" thickBot="1">
      <c r="A248" s="888">
        <v>850</v>
      </c>
      <c r="B248" s="908" t="s">
        <v>290</v>
      </c>
      <c r="C248" s="928">
        <v>3146</v>
      </c>
      <c r="D248" s="931">
        <v>0</v>
      </c>
      <c r="E248" s="914">
        <f t="shared" si="8"/>
        <v>3146</v>
      </c>
      <c r="F248" s="931">
        <v>621.29999999999995</v>
      </c>
      <c r="G248" s="933">
        <v>776</v>
      </c>
      <c r="H248" s="914"/>
      <c r="I248" s="928"/>
      <c r="J248" s="931"/>
      <c r="K248" s="915"/>
      <c r="L248" s="894">
        <v>1</v>
      </c>
      <c r="M248" s="895"/>
      <c r="N248" s="895"/>
      <c r="O248" s="895"/>
      <c r="P248" s="895"/>
      <c r="Q248" s="895"/>
      <c r="R248" s="895"/>
      <c r="S248" s="895"/>
      <c r="T248" s="895"/>
    </row>
    <row r="249" spans="1:20" ht="15.75" customHeight="1" thickBot="1">
      <c r="A249" s="888">
        <v>851</v>
      </c>
      <c r="B249" s="908" t="s">
        <v>291</v>
      </c>
      <c r="C249" s="928">
        <v>2913</v>
      </c>
      <c r="D249" s="931">
        <v>0</v>
      </c>
      <c r="E249" s="914">
        <f t="shared" si="8"/>
        <v>2913</v>
      </c>
      <c r="F249" s="931">
        <v>776</v>
      </c>
      <c r="G249" s="933">
        <v>776</v>
      </c>
      <c r="H249" s="914">
        <v>20</v>
      </c>
      <c r="I249" s="928"/>
      <c r="J249" s="931"/>
      <c r="K249" s="915"/>
      <c r="L249" s="894">
        <v>1</v>
      </c>
      <c r="M249" s="895"/>
      <c r="N249" s="895"/>
      <c r="O249" s="895"/>
      <c r="P249" s="895"/>
      <c r="Q249" s="895"/>
      <c r="R249" s="895"/>
      <c r="S249" s="895"/>
      <c r="T249" s="895"/>
    </row>
    <row r="250" spans="1:20" ht="15.75" customHeight="1" thickBot="1">
      <c r="A250" s="888">
        <v>852</v>
      </c>
      <c r="B250" s="908" t="s">
        <v>292</v>
      </c>
      <c r="C250" s="928">
        <v>2913</v>
      </c>
      <c r="D250" s="931">
        <v>0</v>
      </c>
      <c r="E250" s="914">
        <f t="shared" si="8"/>
        <v>2913</v>
      </c>
      <c r="F250" s="931">
        <v>776</v>
      </c>
      <c r="G250" s="933">
        <v>776</v>
      </c>
      <c r="H250" s="914"/>
      <c r="I250" s="928"/>
      <c r="J250" s="931"/>
      <c r="K250" s="915"/>
      <c r="L250" s="894">
        <v>1</v>
      </c>
      <c r="M250" s="895"/>
      <c r="N250" s="895"/>
      <c r="O250" s="895"/>
      <c r="P250" s="895"/>
      <c r="Q250" s="895"/>
      <c r="R250" s="895"/>
      <c r="S250" s="895"/>
      <c r="T250" s="895"/>
    </row>
    <row r="251" spans="1:20" ht="15.75" customHeight="1" thickBot="1">
      <c r="A251" s="888">
        <v>853</v>
      </c>
      <c r="B251" s="908" t="s">
        <v>293</v>
      </c>
      <c r="C251" s="928">
        <v>2913</v>
      </c>
      <c r="D251" s="931">
        <v>0</v>
      </c>
      <c r="E251" s="914">
        <f t="shared" si="8"/>
        <v>2913</v>
      </c>
      <c r="F251" s="931">
        <v>776</v>
      </c>
      <c r="G251" s="933">
        <v>776</v>
      </c>
      <c r="H251" s="914">
        <v>17</v>
      </c>
      <c r="I251" s="928"/>
      <c r="J251" s="931"/>
      <c r="K251" s="915"/>
      <c r="L251" s="894">
        <v>1</v>
      </c>
      <c r="M251" s="895"/>
      <c r="N251" s="895"/>
      <c r="O251" s="895"/>
      <c r="P251" s="895"/>
      <c r="Q251" s="895"/>
      <c r="R251" s="895"/>
      <c r="S251" s="895"/>
      <c r="T251" s="895"/>
    </row>
    <row r="252" spans="1:20" ht="15.75" customHeight="1" thickBot="1">
      <c r="A252" s="888">
        <v>855</v>
      </c>
      <c r="B252" s="908" t="s">
        <v>294</v>
      </c>
      <c r="C252" s="928">
        <v>971</v>
      </c>
      <c r="D252" s="931">
        <v>414.7</v>
      </c>
      <c r="E252" s="914">
        <f t="shared" si="8"/>
        <v>1385.7</v>
      </c>
      <c r="F252" s="931"/>
      <c r="G252" s="933"/>
      <c r="H252" s="914"/>
      <c r="I252" s="928"/>
      <c r="J252" s="931"/>
      <c r="K252" s="915"/>
      <c r="L252" s="894">
        <v>1</v>
      </c>
      <c r="M252" s="895"/>
      <c r="N252" s="895"/>
      <c r="O252" s="895"/>
      <c r="P252" s="895"/>
      <c r="Q252" s="895"/>
      <c r="R252" s="895"/>
      <c r="S252" s="895"/>
      <c r="T252" s="895"/>
    </row>
    <row r="253" spans="1:20" ht="15.75" customHeight="1" thickBot="1">
      <c r="A253" s="888">
        <v>856</v>
      </c>
      <c r="B253" s="908" t="s">
        <v>295</v>
      </c>
      <c r="C253" s="928">
        <v>2913</v>
      </c>
      <c r="D253" s="931">
        <v>0</v>
      </c>
      <c r="E253" s="914">
        <f t="shared" si="8"/>
        <v>2913</v>
      </c>
      <c r="F253" s="931"/>
      <c r="G253" s="933"/>
      <c r="H253" s="914"/>
      <c r="I253" s="928"/>
      <c r="J253" s="931"/>
      <c r="K253" s="915"/>
      <c r="L253" s="894">
        <v>1</v>
      </c>
      <c r="M253" s="895"/>
      <c r="N253" s="895"/>
      <c r="O253" s="895"/>
      <c r="P253" s="895"/>
      <c r="Q253" s="895"/>
      <c r="R253" s="895"/>
      <c r="S253" s="895"/>
      <c r="T253" s="895"/>
    </row>
    <row r="254" spans="1:20" ht="15.75" customHeight="1" thickBot="1">
      <c r="A254" s="888">
        <v>857</v>
      </c>
      <c r="B254" s="908" t="s">
        <v>296</v>
      </c>
      <c r="C254" s="928">
        <v>2913</v>
      </c>
      <c r="D254" s="931">
        <v>0</v>
      </c>
      <c r="E254" s="914">
        <f t="shared" si="8"/>
        <v>2913</v>
      </c>
      <c r="F254" s="931">
        <v>776</v>
      </c>
      <c r="G254" s="933" t="s">
        <v>244</v>
      </c>
      <c r="H254" s="914"/>
      <c r="I254" s="928"/>
      <c r="J254" s="931"/>
      <c r="K254" s="915"/>
      <c r="L254" s="894">
        <v>1</v>
      </c>
      <c r="M254" s="895"/>
      <c r="N254" s="895"/>
      <c r="O254" s="895"/>
      <c r="P254" s="895"/>
      <c r="Q254" s="895"/>
      <c r="R254" s="895"/>
      <c r="S254" s="895"/>
      <c r="T254" s="895"/>
    </row>
    <row r="255" spans="1:20" ht="15.75" customHeight="1" thickBot="1">
      <c r="A255" s="888">
        <v>858</v>
      </c>
      <c r="B255" s="908" t="s">
        <v>297</v>
      </c>
      <c r="C255" s="928">
        <v>4428</v>
      </c>
      <c r="D255" s="931">
        <v>0</v>
      </c>
      <c r="E255" s="914">
        <f t="shared" si="8"/>
        <v>4428</v>
      </c>
      <c r="F255" s="931"/>
      <c r="G255" s="933"/>
      <c r="H255" s="914"/>
      <c r="I255" s="928"/>
      <c r="J255" s="931"/>
      <c r="K255" s="915"/>
      <c r="L255" s="894">
        <v>1</v>
      </c>
      <c r="M255" s="895"/>
      <c r="N255" s="895"/>
      <c r="O255" s="895"/>
      <c r="P255" s="895"/>
      <c r="Q255" s="895"/>
      <c r="R255" s="895"/>
      <c r="S255" s="895"/>
      <c r="T255" s="895"/>
    </row>
    <row r="256" spans="1:20" ht="15.75" customHeight="1" thickBot="1">
      <c r="A256" s="888">
        <v>859</v>
      </c>
      <c r="B256" s="908" t="s">
        <v>298</v>
      </c>
      <c r="C256" s="928">
        <v>4000</v>
      </c>
      <c r="D256" s="931">
        <v>0</v>
      </c>
      <c r="E256" s="914">
        <f t="shared" si="8"/>
        <v>4000</v>
      </c>
      <c r="F256" s="931"/>
      <c r="G256" s="933"/>
      <c r="H256" s="914"/>
      <c r="I256" s="928"/>
      <c r="J256" s="931"/>
      <c r="K256" s="915"/>
      <c r="L256" s="894">
        <v>1</v>
      </c>
      <c r="M256" s="895"/>
      <c r="N256" s="895"/>
      <c r="O256" s="895"/>
      <c r="P256" s="895"/>
      <c r="Q256" s="895"/>
      <c r="R256" s="895"/>
      <c r="S256" s="895"/>
      <c r="T256" s="895"/>
    </row>
    <row r="257" spans="1:20" ht="15.75" customHeight="1" thickBot="1">
      <c r="A257" s="888">
        <v>860</v>
      </c>
      <c r="B257" s="908" t="s">
        <v>299</v>
      </c>
      <c r="C257" s="928">
        <v>3572</v>
      </c>
      <c r="D257" s="931">
        <v>0</v>
      </c>
      <c r="E257" s="914">
        <f t="shared" ref="E257:E288" si="9">C257+D257</f>
        <v>3572</v>
      </c>
      <c r="F257" s="931"/>
      <c r="G257" s="933"/>
      <c r="H257" s="914"/>
      <c r="I257" s="928"/>
      <c r="J257" s="931"/>
      <c r="K257" s="915"/>
      <c r="L257" s="894">
        <v>1</v>
      </c>
      <c r="M257" s="895"/>
      <c r="N257" s="895"/>
      <c r="O257" s="895"/>
      <c r="P257" s="895"/>
      <c r="Q257" s="895"/>
      <c r="R257" s="895"/>
      <c r="S257" s="895"/>
      <c r="T257" s="895"/>
    </row>
    <row r="258" spans="1:20" ht="15.75" customHeight="1" thickBot="1">
      <c r="A258" s="888">
        <v>861</v>
      </c>
      <c r="B258" s="908" t="s">
        <v>300</v>
      </c>
      <c r="C258" s="928">
        <v>3144</v>
      </c>
      <c r="D258" s="931">
        <v>0</v>
      </c>
      <c r="E258" s="914">
        <f t="shared" si="9"/>
        <v>3144</v>
      </c>
      <c r="F258" s="931"/>
      <c r="G258" s="933"/>
      <c r="H258" s="914"/>
      <c r="I258" s="928"/>
      <c r="J258" s="931"/>
      <c r="K258" s="915"/>
      <c r="L258" s="894">
        <v>1</v>
      </c>
      <c r="M258" s="895"/>
      <c r="N258" s="895"/>
      <c r="O258" s="895"/>
      <c r="P258" s="895"/>
      <c r="Q258" s="895"/>
      <c r="R258" s="895"/>
      <c r="S258" s="895"/>
      <c r="T258" s="895"/>
    </row>
    <row r="259" spans="1:20" ht="15.75" customHeight="1" thickBot="1">
      <c r="A259" s="888">
        <v>862</v>
      </c>
      <c r="B259" s="908" t="s">
        <v>301</v>
      </c>
      <c r="C259" s="928">
        <v>2856</v>
      </c>
      <c r="D259" s="931">
        <v>0</v>
      </c>
      <c r="E259" s="914">
        <f t="shared" si="9"/>
        <v>2856</v>
      </c>
      <c r="F259" s="931"/>
      <c r="G259" s="933"/>
      <c r="H259" s="914"/>
      <c r="I259" s="928"/>
      <c r="J259" s="931"/>
      <c r="K259" s="915"/>
      <c r="L259" s="894">
        <v>1</v>
      </c>
      <c r="M259" s="895"/>
      <c r="N259" s="895"/>
      <c r="O259" s="895"/>
      <c r="P259" s="895"/>
      <c r="Q259" s="895"/>
      <c r="R259" s="895"/>
      <c r="S259" s="895"/>
      <c r="T259" s="895"/>
    </row>
    <row r="260" spans="1:20" ht="15.75" customHeight="1" thickBot="1">
      <c r="A260" s="888">
        <v>863</v>
      </c>
      <c r="B260" s="908" t="s">
        <v>302</v>
      </c>
      <c r="C260" s="928">
        <v>1428</v>
      </c>
      <c r="D260" s="931">
        <v>110</v>
      </c>
      <c r="E260" s="914">
        <f t="shared" si="9"/>
        <v>1538</v>
      </c>
      <c r="F260" s="931"/>
      <c r="G260" s="933"/>
      <c r="H260" s="914"/>
      <c r="I260" s="928"/>
      <c r="J260" s="931"/>
      <c r="K260" s="915"/>
      <c r="L260" s="894">
        <v>1</v>
      </c>
      <c r="M260" s="895"/>
      <c r="N260" s="895"/>
      <c r="O260" s="895"/>
      <c r="P260" s="895"/>
      <c r="Q260" s="895"/>
      <c r="R260" s="895"/>
      <c r="S260" s="895"/>
      <c r="T260" s="895"/>
    </row>
    <row r="261" spans="1:20" ht="15.75" customHeight="1" thickBot="1">
      <c r="A261" s="888">
        <v>864</v>
      </c>
      <c r="B261" s="908" t="s">
        <v>303</v>
      </c>
      <c r="C261" s="928">
        <v>1572</v>
      </c>
      <c r="D261" s="931">
        <v>91</v>
      </c>
      <c r="E261" s="914">
        <f t="shared" si="9"/>
        <v>1663</v>
      </c>
      <c r="F261" s="931"/>
      <c r="G261" s="933"/>
      <c r="H261" s="914"/>
      <c r="I261" s="928"/>
      <c r="J261" s="931"/>
      <c r="K261" s="915"/>
      <c r="L261" s="894">
        <v>1</v>
      </c>
      <c r="M261" s="895"/>
      <c r="N261" s="895"/>
      <c r="O261" s="895"/>
      <c r="P261" s="895"/>
      <c r="Q261" s="895"/>
      <c r="R261" s="895"/>
      <c r="S261" s="895"/>
      <c r="T261" s="895"/>
    </row>
    <row r="262" spans="1:20" ht="15.75" customHeight="1" thickBot="1">
      <c r="A262" s="888">
        <v>868</v>
      </c>
      <c r="B262" s="908" t="s">
        <v>304</v>
      </c>
      <c r="C262" s="928">
        <v>2214</v>
      </c>
      <c r="D262" s="931">
        <v>8</v>
      </c>
      <c r="E262" s="914">
        <f t="shared" si="9"/>
        <v>2222</v>
      </c>
      <c r="F262" s="931"/>
      <c r="G262" s="933"/>
      <c r="H262" s="914"/>
      <c r="I262" s="928"/>
      <c r="J262" s="931"/>
      <c r="K262" s="915"/>
      <c r="L262" s="894">
        <v>1</v>
      </c>
      <c r="M262" s="895"/>
      <c r="N262" s="895"/>
      <c r="O262" s="895"/>
      <c r="P262" s="895"/>
      <c r="Q262" s="895"/>
      <c r="R262" s="895"/>
      <c r="S262" s="895"/>
      <c r="T262" s="895"/>
    </row>
    <row r="263" spans="1:20" ht="15.75" customHeight="1" thickBot="1">
      <c r="A263" s="888">
        <v>869</v>
      </c>
      <c r="B263" s="908" t="s">
        <v>305</v>
      </c>
      <c r="C263" s="928">
        <v>2000</v>
      </c>
      <c r="D263" s="931">
        <v>36</v>
      </c>
      <c r="E263" s="914">
        <f t="shared" si="9"/>
        <v>2036</v>
      </c>
      <c r="F263" s="931"/>
      <c r="G263" s="933"/>
      <c r="H263" s="914"/>
      <c r="I263" s="928"/>
      <c r="J263" s="931"/>
      <c r="K263" s="915"/>
      <c r="L263" s="894">
        <v>1</v>
      </c>
      <c r="M263" s="895"/>
      <c r="N263" s="895"/>
      <c r="O263" s="895"/>
      <c r="P263" s="895"/>
      <c r="Q263" s="895"/>
      <c r="R263" s="895"/>
      <c r="S263" s="895"/>
      <c r="T263" s="895"/>
    </row>
    <row r="264" spans="1:20" ht="15.75" customHeight="1" thickBot="1">
      <c r="A264" s="888">
        <v>870</v>
      </c>
      <c r="B264" s="908" t="s">
        <v>306</v>
      </c>
      <c r="C264" s="928">
        <v>1786</v>
      </c>
      <c r="D264" s="931">
        <v>64</v>
      </c>
      <c r="E264" s="914">
        <f t="shared" si="9"/>
        <v>1850</v>
      </c>
      <c r="F264" s="931"/>
      <c r="G264" s="933"/>
      <c r="H264" s="914"/>
      <c r="I264" s="928"/>
      <c r="J264" s="931"/>
      <c r="K264" s="915"/>
      <c r="L264" s="894">
        <v>1</v>
      </c>
      <c r="M264" s="895"/>
      <c r="N264" s="895"/>
      <c r="O264" s="895"/>
      <c r="P264" s="895"/>
      <c r="Q264" s="895"/>
      <c r="R264" s="895"/>
      <c r="S264" s="895"/>
      <c r="T264" s="895"/>
    </row>
    <row r="265" spans="1:20" ht="15.75" customHeight="1" thickBot="1">
      <c r="A265" s="888">
        <v>871</v>
      </c>
      <c r="B265" s="908" t="s">
        <v>307</v>
      </c>
      <c r="C265" s="928">
        <v>1107</v>
      </c>
      <c r="D265" s="931">
        <v>152</v>
      </c>
      <c r="E265" s="914">
        <f t="shared" si="9"/>
        <v>1259</v>
      </c>
      <c r="F265" s="931"/>
      <c r="G265" s="933"/>
      <c r="H265" s="914"/>
      <c r="I265" s="928"/>
      <c r="J265" s="931"/>
      <c r="K265" s="915"/>
      <c r="L265" s="894">
        <v>1</v>
      </c>
      <c r="M265" s="895"/>
      <c r="N265" s="895"/>
      <c r="O265" s="895"/>
      <c r="P265" s="895"/>
      <c r="Q265" s="895"/>
      <c r="R265" s="895"/>
      <c r="S265" s="895"/>
      <c r="T265" s="895"/>
    </row>
    <row r="266" spans="1:20" ht="15.75" customHeight="1" thickBot="1">
      <c r="A266" s="888">
        <v>872</v>
      </c>
      <c r="B266" s="908" t="s">
        <v>308</v>
      </c>
      <c r="C266" s="928">
        <v>1000</v>
      </c>
      <c r="D266" s="931">
        <v>166</v>
      </c>
      <c r="E266" s="914">
        <f t="shared" si="9"/>
        <v>1166</v>
      </c>
      <c r="F266" s="931"/>
      <c r="G266" s="933"/>
      <c r="H266" s="914"/>
      <c r="I266" s="928"/>
      <c r="J266" s="931"/>
      <c r="K266" s="915"/>
      <c r="L266" s="894">
        <v>1</v>
      </c>
      <c r="M266" s="895"/>
      <c r="N266" s="895"/>
      <c r="O266" s="895"/>
      <c r="P266" s="895"/>
      <c r="Q266" s="895"/>
      <c r="R266" s="895"/>
      <c r="S266" s="895"/>
      <c r="T266" s="895"/>
    </row>
    <row r="267" spans="1:20" ht="15.75" customHeight="1" thickBot="1">
      <c r="A267" s="888">
        <v>873</v>
      </c>
      <c r="B267" s="908" t="s">
        <v>309</v>
      </c>
      <c r="C267" s="928">
        <v>893</v>
      </c>
      <c r="D267" s="931">
        <v>414.7</v>
      </c>
      <c r="E267" s="914">
        <f t="shared" si="9"/>
        <v>1307.7</v>
      </c>
      <c r="F267" s="931"/>
      <c r="G267" s="933"/>
      <c r="H267" s="914"/>
      <c r="I267" s="928"/>
      <c r="J267" s="931"/>
      <c r="K267" s="915"/>
      <c r="L267" s="894">
        <v>1</v>
      </c>
      <c r="M267" s="895"/>
      <c r="N267" s="895"/>
      <c r="O267" s="895"/>
      <c r="P267" s="895"/>
      <c r="Q267" s="895"/>
      <c r="R267" s="895"/>
      <c r="S267" s="895"/>
      <c r="T267" s="895"/>
    </row>
    <row r="268" spans="1:20" ht="15.75" customHeight="1" thickBot="1">
      <c r="A268" s="888">
        <v>874</v>
      </c>
      <c r="B268" s="908" t="s">
        <v>310</v>
      </c>
      <c r="C268" s="928">
        <v>786</v>
      </c>
      <c r="D268" s="931">
        <v>414.7</v>
      </c>
      <c r="E268" s="914">
        <f t="shared" si="9"/>
        <v>1200.7</v>
      </c>
      <c r="F268" s="931"/>
      <c r="G268" s="933"/>
      <c r="H268" s="914"/>
      <c r="I268" s="928"/>
      <c r="J268" s="931"/>
      <c r="K268" s="915"/>
      <c r="L268" s="894">
        <v>1</v>
      </c>
      <c r="M268" s="895"/>
      <c r="N268" s="895"/>
      <c r="O268" s="895"/>
      <c r="P268" s="895"/>
      <c r="Q268" s="895"/>
      <c r="R268" s="895"/>
      <c r="S268" s="895"/>
      <c r="T268" s="895"/>
    </row>
    <row r="269" spans="1:20" ht="15.75" customHeight="1" thickBot="1">
      <c r="A269" s="888">
        <v>875</v>
      </c>
      <c r="B269" s="908" t="s">
        <v>311</v>
      </c>
      <c r="C269" s="928">
        <v>714</v>
      </c>
      <c r="D269" s="931">
        <v>414.7</v>
      </c>
      <c r="E269" s="914">
        <f t="shared" si="9"/>
        <v>1128.7</v>
      </c>
      <c r="F269" s="931"/>
      <c r="G269" s="933"/>
      <c r="H269" s="914"/>
      <c r="I269" s="928"/>
      <c r="J269" s="931"/>
      <c r="K269" s="915"/>
      <c r="L269" s="894">
        <v>1</v>
      </c>
      <c r="M269" s="895"/>
      <c r="N269" s="895"/>
      <c r="O269" s="895"/>
      <c r="P269" s="895"/>
      <c r="Q269" s="895"/>
      <c r="R269" s="895"/>
      <c r="S269" s="895"/>
      <c r="T269" s="895"/>
    </row>
    <row r="270" spans="1:20" ht="15.75" customHeight="1" thickBot="1">
      <c r="A270" s="888">
        <v>880</v>
      </c>
      <c r="B270" s="908" t="s">
        <v>312</v>
      </c>
      <c r="C270" s="928">
        <v>2913</v>
      </c>
      <c r="D270" s="931">
        <v>0</v>
      </c>
      <c r="E270" s="914">
        <f t="shared" si="9"/>
        <v>2913</v>
      </c>
      <c r="F270" s="931"/>
      <c r="G270" s="933"/>
      <c r="H270" s="914"/>
      <c r="I270" s="928"/>
      <c r="J270" s="931"/>
      <c r="K270" s="915"/>
      <c r="L270" s="894">
        <v>1</v>
      </c>
      <c r="M270" s="895"/>
      <c r="N270" s="895"/>
      <c r="O270" s="895"/>
      <c r="P270" s="895"/>
      <c r="Q270" s="895"/>
      <c r="R270" s="895"/>
      <c r="S270" s="895"/>
      <c r="T270" s="895"/>
    </row>
    <row r="271" spans="1:20" ht="15.75" customHeight="1" thickBot="1">
      <c r="A271" s="888">
        <v>881</v>
      </c>
      <c r="B271" s="908" t="s">
        <v>313</v>
      </c>
      <c r="C271" s="928">
        <v>2913</v>
      </c>
      <c r="D271" s="931">
        <v>0</v>
      </c>
      <c r="E271" s="914">
        <f t="shared" si="9"/>
        <v>2913</v>
      </c>
      <c r="F271" s="931"/>
      <c r="G271" s="933"/>
      <c r="H271" s="914"/>
      <c r="I271" s="928"/>
      <c r="J271" s="931"/>
      <c r="K271" s="915"/>
      <c r="L271" s="894">
        <v>1</v>
      </c>
      <c r="M271" s="895"/>
      <c r="N271" s="895"/>
      <c r="O271" s="895"/>
      <c r="P271" s="895"/>
      <c r="Q271" s="895"/>
      <c r="R271" s="895"/>
      <c r="S271" s="895"/>
      <c r="T271" s="895"/>
    </row>
    <row r="272" spans="1:20" ht="15.75" customHeight="1" thickBot="1">
      <c r="A272" s="888">
        <v>882</v>
      </c>
      <c r="B272" s="908" t="s">
        <v>314</v>
      </c>
      <c r="C272" s="928">
        <v>2913</v>
      </c>
      <c r="D272" s="931">
        <v>0</v>
      </c>
      <c r="E272" s="914">
        <f t="shared" si="9"/>
        <v>2913</v>
      </c>
      <c r="F272" s="931"/>
      <c r="G272" s="933"/>
      <c r="H272" s="914"/>
      <c r="I272" s="928"/>
      <c r="J272" s="931"/>
      <c r="K272" s="915"/>
      <c r="L272" s="894">
        <v>1</v>
      </c>
      <c r="M272" s="895"/>
      <c r="N272" s="895"/>
      <c r="O272" s="895"/>
      <c r="P272" s="895"/>
      <c r="Q272" s="895"/>
      <c r="R272" s="895"/>
      <c r="S272" s="895"/>
      <c r="T272" s="895"/>
    </row>
    <row r="273" spans="1:20" ht="15.75" customHeight="1" thickBot="1">
      <c r="A273" s="888">
        <v>883</v>
      </c>
      <c r="B273" s="908" t="s">
        <v>315</v>
      </c>
      <c r="C273" s="928">
        <v>2220</v>
      </c>
      <c r="D273" s="931">
        <v>7</v>
      </c>
      <c r="E273" s="914">
        <f t="shared" si="9"/>
        <v>2227</v>
      </c>
      <c r="F273" s="931">
        <v>521.4</v>
      </c>
      <c r="G273" s="933">
        <v>521.4</v>
      </c>
      <c r="H273" s="914"/>
      <c r="I273" s="928"/>
      <c r="J273" s="931"/>
      <c r="K273" s="915"/>
      <c r="L273" s="894">
        <v>1</v>
      </c>
      <c r="M273" s="895"/>
      <c r="N273" s="895"/>
      <c r="O273" s="895"/>
      <c r="P273" s="895"/>
      <c r="Q273" s="895"/>
      <c r="R273" s="895"/>
      <c r="S273" s="895"/>
      <c r="T273" s="895"/>
    </row>
    <row r="274" spans="1:20" ht="15.75" customHeight="1" thickBot="1">
      <c r="A274" s="888">
        <v>884</v>
      </c>
      <c r="B274" s="908" t="s">
        <v>316</v>
      </c>
      <c r="C274" s="928">
        <v>2100</v>
      </c>
      <c r="D274" s="931">
        <v>23</v>
      </c>
      <c r="E274" s="914">
        <f t="shared" si="9"/>
        <v>2123</v>
      </c>
      <c r="F274" s="931">
        <v>521.4</v>
      </c>
      <c r="G274" s="933">
        <v>521.4</v>
      </c>
      <c r="H274" s="914"/>
      <c r="I274" s="928"/>
      <c r="J274" s="931"/>
      <c r="K274" s="915"/>
      <c r="L274" s="894">
        <v>1</v>
      </c>
      <c r="M274" s="895"/>
      <c r="N274" s="895"/>
      <c r="O274" s="895"/>
      <c r="P274" s="895"/>
      <c r="Q274" s="895"/>
      <c r="R274" s="895"/>
      <c r="S274" s="895"/>
      <c r="T274" s="895"/>
    </row>
    <row r="275" spans="1:20" ht="15.75" customHeight="1" thickBot="1">
      <c r="A275" s="888">
        <v>885</v>
      </c>
      <c r="B275" s="908" t="s">
        <v>317</v>
      </c>
      <c r="C275" s="928">
        <v>1850</v>
      </c>
      <c r="D275" s="931">
        <v>55</v>
      </c>
      <c r="E275" s="914">
        <f t="shared" si="9"/>
        <v>1905</v>
      </c>
      <c r="F275" s="931">
        <v>434.5</v>
      </c>
      <c r="G275" s="933">
        <v>434.5</v>
      </c>
      <c r="H275" s="914"/>
      <c r="I275" s="928"/>
      <c r="J275" s="931"/>
      <c r="K275" s="915"/>
      <c r="L275" s="894">
        <v>1</v>
      </c>
      <c r="M275" s="895"/>
      <c r="N275" s="895"/>
      <c r="O275" s="895"/>
      <c r="P275" s="895"/>
      <c r="Q275" s="895"/>
      <c r="R275" s="895"/>
      <c r="S275" s="895"/>
      <c r="T275" s="895"/>
    </row>
    <row r="276" spans="1:20" ht="15.75" customHeight="1" thickBot="1">
      <c r="A276" s="888">
        <v>886</v>
      </c>
      <c r="B276" s="908" t="s">
        <v>318</v>
      </c>
      <c r="C276" s="928">
        <v>1850</v>
      </c>
      <c r="D276" s="931">
        <v>55</v>
      </c>
      <c r="E276" s="914">
        <f t="shared" si="9"/>
        <v>1905</v>
      </c>
      <c r="F276" s="931">
        <v>434.5</v>
      </c>
      <c r="G276" s="933">
        <v>434.5</v>
      </c>
      <c r="H276" s="914"/>
      <c r="I276" s="928"/>
      <c r="J276" s="931"/>
      <c r="K276" s="915"/>
      <c r="L276" s="894">
        <v>1</v>
      </c>
      <c r="M276" s="895"/>
      <c r="N276" s="895"/>
      <c r="O276" s="895"/>
      <c r="P276" s="895"/>
      <c r="Q276" s="895"/>
      <c r="R276" s="895"/>
      <c r="S276" s="895"/>
      <c r="T276" s="895"/>
    </row>
    <row r="277" spans="1:20" ht="15.75" customHeight="1" thickBot="1">
      <c r="A277" s="888">
        <v>887</v>
      </c>
      <c r="B277" s="908" t="s">
        <v>319</v>
      </c>
      <c r="C277" s="928">
        <v>1580</v>
      </c>
      <c r="D277" s="931">
        <v>90</v>
      </c>
      <c r="E277" s="914">
        <f t="shared" si="9"/>
        <v>1670</v>
      </c>
      <c r="F277" s="931">
        <v>347.6</v>
      </c>
      <c r="G277" s="933">
        <v>347.6</v>
      </c>
      <c r="H277" s="914"/>
      <c r="I277" s="928"/>
      <c r="J277" s="931"/>
      <c r="K277" s="915"/>
      <c r="L277" s="894">
        <v>1</v>
      </c>
      <c r="M277" s="895"/>
      <c r="N277" s="895"/>
      <c r="O277" s="895"/>
      <c r="P277" s="895"/>
      <c r="Q277" s="895"/>
      <c r="R277" s="895"/>
      <c r="S277" s="895"/>
      <c r="T277" s="895"/>
    </row>
    <row r="278" spans="1:20" ht="15.75" customHeight="1" thickBot="1">
      <c r="A278" s="888">
        <v>888</v>
      </c>
      <c r="B278" s="908" t="s">
        <v>320</v>
      </c>
      <c r="C278" s="928">
        <v>1564</v>
      </c>
      <c r="D278" s="931">
        <v>93</v>
      </c>
      <c r="E278" s="914">
        <f t="shared" si="9"/>
        <v>1657</v>
      </c>
      <c r="F278" s="931">
        <v>347.6</v>
      </c>
      <c r="G278" s="933">
        <v>347.6</v>
      </c>
      <c r="H278" s="914"/>
      <c r="I278" s="928"/>
      <c r="J278" s="931"/>
      <c r="K278" s="915"/>
      <c r="L278" s="894">
        <v>1</v>
      </c>
      <c r="M278" s="895"/>
      <c r="N278" s="895"/>
      <c r="O278" s="895"/>
      <c r="P278" s="895"/>
      <c r="Q278" s="895"/>
      <c r="R278" s="895"/>
      <c r="S278" s="895"/>
      <c r="T278" s="895"/>
    </row>
    <row r="279" spans="1:20" ht="15.75" customHeight="1" thickBot="1">
      <c r="A279" s="888">
        <v>889</v>
      </c>
      <c r="B279" s="908" t="s">
        <v>321</v>
      </c>
      <c r="C279" s="928">
        <v>1250</v>
      </c>
      <c r="D279" s="931">
        <v>134</v>
      </c>
      <c r="E279" s="914">
        <f t="shared" si="9"/>
        <v>1384</v>
      </c>
      <c r="F279" s="931"/>
      <c r="G279" s="933"/>
      <c r="H279" s="914"/>
      <c r="I279" s="928"/>
      <c r="J279" s="931"/>
      <c r="K279" s="915"/>
      <c r="L279" s="894">
        <v>1</v>
      </c>
      <c r="M279" s="895"/>
      <c r="N279" s="895"/>
      <c r="O279" s="895"/>
      <c r="P279" s="895"/>
      <c r="Q279" s="895"/>
      <c r="R279" s="895"/>
      <c r="S279" s="895"/>
      <c r="T279" s="895"/>
    </row>
    <row r="280" spans="1:20" ht="15.75" customHeight="1" thickBot="1">
      <c r="A280" s="888">
        <v>890</v>
      </c>
      <c r="B280" s="908" t="s">
        <v>322</v>
      </c>
      <c r="C280" s="928">
        <v>971</v>
      </c>
      <c r="D280" s="931">
        <v>414.7</v>
      </c>
      <c r="E280" s="914">
        <f t="shared" si="9"/>
        <v>1385.7</v>
      </c>
      <c r="F280" s="931"/>
      <c r="G280" s="933"/>
      <c r="H280" s="914"/>
      <c r="I280" s="928"/>
      <c r="J280" s="931"/>
      <c r="K280" s="915"/>
      <c r="L280" s="894">
        <v>1</v>
      </c>
      <c r="M280" s="895"/>
      <c r="N280" s="895"/>
      <c r="O280" s="895"/>
      <c r="P280" s="895"/>
      <c r="Q280" s="895"/>
      <c r="R280" s="895"/>
      <c r="S280" s="895"/>
      <c r="T280" s="895"/>
    </row>
    <row r="281" spans="1:20" ht="15.75" customHeight="1" thickBot="1">
      <c r="A281" s="888">
        <v>891</v>
      </c>
      <c r="B281" s="908" t="s">
        <v>323</v>
      </c>
      <c r="C281" s="928">
        <v>971</v>
      </c>
      <c r="D281" s="931">
        <v>414.7</v>
      </c>
      <c r="E281" s="914">
        <f t="shared" si="9"/>
        <v>1385.7</v>
      </c>
      <c r="F281" s="931"/>
      <c r="G281" s="933"/>
      <c r="H281" s="914"/>
      <c r="I281" s="928"/>
      <c r="J281" s="931"/>
      <c r="K281" s="915"/>
      <c r="L281" s="894">
        <v>1</v>
      </c>
      <c r="M281" s="895"/>
      <c r="N281" s="895"/>
      <c r="O281" s="895"/>
      <c r="P281" s="895"/>
      <c r="Q281" s="895"/>
      <c r="R281" s="895"/>
      <c r="S281" s="895"/>
      <c r="T281" s="895"/>
    </row>
    <row r="282" spans="1:20" ht="15.75" customHeight="1" thickBot="1">
      <c r="A282" s="888">
        <v>892</v>
      </c>
      <c r="B282" s="908" t="s">
        <v>324</v>
      </c>
      <c r="C282" s="928">
        <v>951</v>
      </c>
      <c r="D282" s="931">
        <v>414.7</v>
      </c>
      <c r="E282" s="914">
        <f t="shared" si="9"/>
        <v>1365.7</v>
      </c>
      <c r="F282" s="931"/>
      <c r="G282" s="933"/>
      <c r="H282" s="914"/>
      <c r="I282" s="928"/>
      <c r="J282" s="931"/>
      <c r="K282" s="915"/>
      <c r="L282" s="894">
        <v>1</v>
      </c>
      <c r="M282" s="895"/>
      <c r="N282" s="895"/>
      <c r="O282" s="895"/>
      <c r="P282" s="895"/>
      <c r="Q282" s="895"/>
      <c r="R282" s="895"/>
      <c r="S282" s="895"/>
      <c r="T282" s="895"/>
    </row>
    <row r="283" spans="1:20" ht="15.75" customHeight="1" thickBot="1">
      <c r="A283" s="888">
        <v>893</v>
      </c>
      <c r="B283" s="908" t="s">
        <v>325</v>
      </c>
      <c r="C283" s="928">
        <v>922</v>
      </c>
      <c r="D283" s="931">
        <v>414.7</v>
      </c>
      <c r="E283" s="914">
        <f t="shared" si="9"/>
        <v>1336.7</v>
      </c>
      <c r="F283" s="931"/>
      <c r="G283" s="933"/>
      <c r="H283" s="914"/>
      <c r="I283" s="928"/>
      <c r="J283" s="931"/>
      <c r="K283" s="915"/>
      <c r="L283" s="894">
        <v>1</v>
      </c>
      <c r="M283" s="895"/>
      <c r="N283" s="895"/>
      <c r="O283" s="895"/>
      <c r="P283" s="895"/>
      <c r="Q283" s="895"/>
      <c r="R283" s="895"/>
      <c r="S283" s="895"/>
      <c r="T283" s="895"/>
    </row>
    <row r="284" spans="1:20" ht="15.75" customHeight="1" thickBot="1">
      <c r="A284" s="888">
        <v>903</v>
      </c>
      <c r="B284" s="908" t="s">
        <v>326</v>
      </c>
      <c r="C284" s="928">
        <v>971</v>
      </c>
      <c r="D284" s="931">
        <v>414.7</v>
      </c>
      <c r="E284" s="914">
        <f t="shared" si="9"/>
        <v>1385.7</v>
      </c>
      <c r="F284" s="931"/>
      <c r="G284" s="933"/>
      <c r="H284" s="914">
        <v>150</v>
      </c>
      <c r="I284" s="928"/>
      <c r="J284" s="931"/>
      <c r="K284" s="915"/>
      <c r="L284" s="894">
        <v>1</v>
      </c>
      <c r="M284" s="895"/>
      <c r="N284" s="895"/>
      <c r="O284" s="895"/>
      <c r="P284" s="895"/>
      <c r="Q284" s="895"/>
      <c r="R284" s="895"/>
      <c r="S284" s="895"/>
      <c r="T284" s="895"/>
    </row>
    <row r="285" spans="1:20" ht="15.75" customHeight="1" thickBot="1">
      <c r="A285" s="888">
        <v>904</v>
      </c>
      <c r="B285" s="908" t="s">
        <v>327</v>
      </c>
      <c r="C285" s="928">
        <v>971</v>
      </c>
      <c r="D285" s="931">
        <v>414.7</v>
      </c>
      <c r="E285" s="914">
        <f t="shared" si="9"/>
        <v>1385.7</v>
      </c>
      <c r="F285" s="931"/>
      <c r="G285" s="933"/>
      <c r="H285" s="914">
        <v>150</v>
      </c>
      <c r="I285" s="928"/>
      <c r="J285" s="931"/>
      <c r="K285" s="915"/>
      <c r="L285" s="894">
        <v>1</v>
      </c>
      <c r="M285" s="895"/>
      <c r="N285" s="895"/>
      <c r="O285" s="895"/>
      <c r="P285" s="895"/>
      <c r="Q285" s="895"/>
      <c r="R285" s="895"/>
      <c r="S285" s="895"/>
      <c r="T285" s="895"/>
    </row>
    <row r="286" spans="1:20" ht="15.75" customHeight="1" thickBot="1">
      <c r="A286" s="888">
        <v>905</v>
      </c>
      <c r="B286" s="908" t="s">
        <v>328</v>
      </c>
      <c r="C286" s="928">
        <v>971</v>
      </c>
      <c r="D286" s="931">
        <v>414.7</v>
      </c>
      <c r="E286" s="914">
        <f t="shared" si="9"/>
        <v>1385.7</v>
      </c>
      <c r="F286" s="931"/>
      <c r="G286" s="933"/>
      <c r="H286" s="914">
        <v>150</v>
      </c>
      <c r="I286" s="928"/>
      <c r="J286" s="931"/>
      <c r="K286" s="915"/>
      <c r="L286" s="894">
        <v>1</v>
      </c>
      <c r="M286" s="895"/>
      <c r="N286" s="895"/>
      <c r="O286" s="895"/>
      <c r="P286" s="895"/>
      <c r="Q286" s="895"/>
      <c r="R286" s="895"/>
      <c r="S286" s="895"/>
      <c r="T286" s="895"/>
    </row>
    <row r="287" spans="1:20" ht="15.75" customHeight="1" thickBot="1">
      <c r="A287" s="888">
        <v>906</v>
      </c>
      <c r="B287" s="908" t="s">
        <v>329</v>
      </c>
      <c r="C287" s="928">
        <v>1942</v>
      </c>
      <c r="D287" s="931">
        <v>43</v>
      </c>
      <c r="E287" s="914">
        <f t="shared" si="9"/>
        <v>1985</v>
      </c>
      <c r="F287" s="931">
        <v>517.29999999999995</v>
      </c>
      <c r="G287" s="933">
        <v>647</v>
      </c>
      <c r="H287" s="914"/>
      <c r="I287" s="928"/>
      <c r="J287" s="936">
        <v>782</v>
      </c>
      <c r="K287" s="915"/>
      <c r="L287" s="894">
        <v>1</v>
      </c>
      <c r="M287" s="895"/>
      <c r="N287" s="895"/>
      <c r="O287" s="895"/>
      <c r="P287" s="895"/>
      <c r="Q287" s="895"/>
      <c r="R287" s="895"/>
      <c r="S287" s="895"/>
      <c r="T287" s="895"/>
    </row>
    <row r="288" spans="1:20" ht="15.75" customHeight="1" thickBot="1">
      <c r="A288" s="888">
        <v>907</v>
      </c>
      <c r="B288" s="908" t="s">
        <v>330</v>
      </c>
      <c r="C288" s="928">
        <v>1782</v>
      </c>
      <c r="D288" s="931">
        <v>64</v>
      </c>
      <c r="E288" s="914">
        <f t="shared" si="9"/>
        <v>1846</v>
      </c>
      <c r="F288" s="931">
        <v>465.3</v>
      </c>
      <c r="G288" s="933">
        <v>582</v>
      </c>
      <c r="H288" s="914"/>
      <c r="I288" s="928"/>
      <c r="J288" s="936">
        <v>782</v>
      </c>
      <c r="K288" s="915"/>
      <c r="L288" s="894">
        <v>1</v>
      </c>
      <c r="M288" s="895"/>
      <c r="N288" s="895"/>
      <c r="O288" s="895"/>
      <c r="P288" s="895"/>
      <c r="Q288" s="895"/>
      <c r="R288" s="895"/>
      <c r="S288" s="895"/>
      <c r="T288" s="895"/>
    </row>
    <row r="289" spans="1:20" ht="15.75" customHeight="1" thickBot="1">
      <c r="A289" s="888">
        <v>908</v>
      </c>
      <c r="B289" s="908" t="s">
        <v>331</v>
      </c>
      <c r="C289" s="928">
        <v>1692</v>
      </c>
      <c r="D289" s="931">
        <v>76</v>
      </c>
      <c r="E289" s="914">
        <f t="shared" ref="E289:E320" si="10">C289+D289</f>
        <v>1768</v>
      </c>
      <c r="F289" s="931">
        <v>362.7</v>
      </c>
      <c r="G289" s="933" t="s">
        <v>248</v>
      </c>
      <c r="H289" s="914"/>
      <c r="I289" s="928"/>
      <c r="J289" s="931"/>
      <c r="K289" s="915"/>
      <c r="L289" s="894">
        <v>1</v>
      </c>
      <c r="M289" s="895"/>
      <c r="N289" s="895"/>
      <c r="O289" s="895"/>
      <c r="P289" s="895"/>
      <c r="Q289" s="895"/>
      <c r="R289" s="895"/>
      <c r="S289" s="895"/>
      <c r="T289" s="895"/>
    </row>
    <row r="290" spans="1:20" ht="15.75" customHeight="1" thickBot="1">
      <c r="A290" s="888">
        <v>909</v>
      </c>
      <c r="B290" s="908" t="s">
        <v>332</v>
      </c>
      <c r="C290" s="928">
        <v>1592</v>
      </c>
      <c r="D290" s="931">
        <v>89</v>
      </c>
      <c r="E290" s="914">
        <f t="shared" si="10"/>
        <v>1681</v>
      </c>
      <c r="F290" s="931">
        <v>465.3</v>
      </c>
      <c r="G290" s="933">
        <v>388</v>
      </c>
      <c r="H290" s="914"/>
      <c r="I290" s="928"/>
      <c r="J290" s="931"/>
      <c r="K290" s="915"/>
      <c r="L290" s="894">
        <v>1</v>
      </c>
      <c r="M290" s="895"/>
      <c r="N290" s="895"/>
      <c r="O290" s="895"/>
      <c r="P290" s="895"/>
      <c r="Q290" s="895"/>
      <c r="R290" s="895"/>
      <c r="S290" s="895"/>
      <c r="T290" s="895"/>
    </row>
    <row r="291" spans="1:20" ht="15.75" customHeight="1" thickBot="1">
      <c r="A291" s="888">
        <v>910</v>
      </c>
      <c r="B291" s="908" t="s">
        <v>333</v>
      </c>
      <c r="C291" s="928">
        <v>1942</v>
      </c>
      <c r="D291" s="931">
        <v>43</v>
      </c>
      <c r="E291" s="914">
        <f t="shared" si="10"/>
        <v>1985</v>
      </c>
      <c r="F291" s="931">
        <v>517.29999999999995</v>
      </c>
      <c r="G291" s="933">
        <v>647</v>
      </c>
      <c r="H291" s="914">
        <v>150</v>
      </c>
      <c r="I291" s="928"/>
      <c r="J291" s="931"/>
      <c r="K291" s="915"/>
      <c r="L291" s="894">
        <v>1</v>
      </c>
      <c r="M291" s="895"/>
      <c r="N291" s="895"/>
      <c r="O291" s="895"/>
      <c r="P291" s="895"/>
      <c r="Q291" s="895"/>
      <c r="R291" s="895"/>
      <c r="S291" s="895"/>
      <c r="T291" s="895"/>
    </row>
    <row r="292" spans="1:20" ht="15.75" customHeight="1" thickBot="1">
      <c r="A292" s="888">
        <v>911</v>
      </c>
      <c r="B292" s="908" t="s">
        <v>334</v>
      </c>
      <c r="C292" s="928">
        <v>1592</v>
      </c>
      <c r="D292" s="931">
        <v>89</v>
      </c>
      <c r="E292" s="914">
        <f t="shared" si="10"/>
        <v>1681</v>
      </c>
      <c r="F292" s="931">
        <v>466.7</v>
      </c>
      <c r="G292" s="933">
        <v>582</v>
      </c>
      <c r="H292" s="914"/>
      <c r="I292" s="928"/>
      <c r="J292" s="931"/>
      <c r="K292" s="915"/>
      <c r="L292" s="894">
        <v>1</v>
      </c>
      <c r="M292" s="895"/>
      <c r="N292" s="895"/>
      <c r="O292" s="895"/>
      <c r="P292" s="895"/>
      <c r="Q292" s="895"/>
      <c r="R292" s="895"/>
      <c r="S292" s="895"/>
      <c r="T292" s="895"/>
    </row>
    <row r="293" spans="1:20" ht="15.75" customHeight="1" thickBot="1">
      <c r="A293" s="888">
        <v>912</v>
      </c>
      <c r="B293" s="908" t="s">
        <v>335</v>
      </c>
      <c r="C293" s="928">
        <v>1782</v>
      </c>
      <c r="D293" s="931">
        <v>64</v>
      </c>
      <c r="E293" s="914">
        <f t="shared" si="10"/>
        <v>1846</v>
      </c>
      <c r="F293" s="931">
        <v>465.3</v>
      </c>
      <c r="G293" s="933">
        <v>582</v>
      </c>
      <c r="H293" s="914">
        <v>17</v>
      </c>
      <c r="I293" s="928"/>
      <c r="J293" s="931"/>
      <c r="K293" s="915"/>
      <c r="L293" s="894">
        <v>1</v>
      </c>
      <c r="M293" s="895"/>
      <c r="N293" s="895"/>
      <c r="O293" s="895"/>
      <c r="P293" s="895"/>
      <c r="Q293" s="895"/>
      <c r="R293" s="895"/>
      <c r="S293" s="895"/>
      <c r="T293" s="895"/>
    </row>
    <row r="294" spans="1:20" ht="15.75" customHeight="1" thickBot="1">
      <c r="A294" s="888">
        <v>913</v>
      </c>
      <c r="B294" s="908" t="s">
        <v>336</v>
      </c>
      <c r="C294" s="928">
        <v>1700</v>
      </c>
      <c r="D294" s="931">
        <v>75</v>
      </c>
      <c r="E294" s="914">
        <f t="shared" si="10"/>
        <v>1775</v>
      </c>
      <c r="F294" s="931">
        <v>413.3</v>
      </c>
      <c r="G294" s="933">
        <v>516</v>
      </c>
      <c r="H294" s="914"/>
      <c r="I294" s="928"/>
      <c r="J294" s="936">
        <v>769</v>
      </c>
      <c r="K294" s="915"/>
      <c r="L294" s="894">
        <v>1</v>
      </c>
      <c r="M294" s="895"/>
      <c r="N294" s="895"/>
      <c r="O294" s="895"/>
      <c r="P294" s="895"/>
      <c r="Q294" s="895"/>
      <c r="R294" s="895"/>
      <c r="S294" s="895"/>
      <c r="T294" s="895"/>
    </row>
    <row r="295" spans="1:20" ht="15.75" customHeight="1" thickBot="1">
      <c r="A295" s="888">
        <v>914</v>
      </c>
      <c r="B295" s="908" t="s">
        <v>337</v>
      </c>
      <c r="C295" s="928">
        <v>1600</v>
      </c>
      <c r="D295" s="931">
        <v>88</v>
      </c>
      <c r="E295" s="914">
        <f t="shared" si="10"/>
        <v>1688</v>
      </c>
      <c r="F295" s="931">
        <v>309.3</v>
      </c>
      <c r="G295" s="933">
        <v>388</v>
      </c>
      <c r="H295" s="914"/>
      <c r="I295" s="928"/>
      <c r="J295" s="936">
        <v>738</v>
      </c>
      <c r="K295" s="915"/>
      <c r="L295" s="894">
        <v>1</v>
      </c>
      <c r="M295" s="895"/>
      <c r="N295" s="895"/>
      <c r="O295" s="895"/>
      <c r="P295" s="895"/>
      <c r="Q295" s="895"/>
      <c r="R295" s="895"/>
      <c r="S295" s="895"/>
      <c r="T295" s="895"/>
    </row>
    <row r="296" spans="1:20" ht="15.75" customHeight="1" thickBot="1">
      <c r="A296" s="888">
        <v>915</v>
      </c>
      <c r="B296" s="908" t="s">
        <v>338</v>
      </c>
      <c r="C296" s="928">
        <v>1700</v>
      </c>
      <c r="D296" s="931">
        <v>75</v>
      </c>
      <c r="E296" s="914">
        <f t="shared" si="10"/>
        <v>1775</v>
      </c>
      <c r="F296" s="931">
        <v>310.7</v>
      </c>
      <c r="G296" s="933">
        <v>388</v>
      </c>
      <c r="H296" s="914">
        <v>150</v>
      </c>
      <c r="I296" s="928"/>
      <c r="J296" s="931"/>
      <c r="K296" s="915"/>
      <c r="L296" s="894">
        <v>1</v>
      </c>
      <c r="M296" s="895"/>
      <c r="N296" s="895"/>
      <c r="O296" s="895"/>
      <c r="P296" s="895"/>
      <c r="Q296" s="895"/>
      <c r="R296" s="895"/>
      <c r="S296" s="895"/>
      <c r="T296" s="895"/>
    </row>
    <row r="297" spans="1:20" ht="15.75" customHeight="1" thickBot="1">
      <c r="A297" s="888">
        <v>916</v>
      </c>
      <c r="B297" s="908" t="s">
        <v>339</v>
      </c>
      <c r="C297" s="928">
        <v>1300</v>
      </c>
      <c r="D297" s="931">
        <v>127</v>
      </c>
      <c r="E297" s="914">
        <f t="shared" si="10"/>
        <v>1427</v>
      </c>
      <c r="F297" s="931">
        <v>310.7</v>
      </c>
      <c r="G297" s="933">
        <v>388</v>
      </c>
      <c r="H297" s="914"/>
      <c r="I297" s="928"/>
      <c r="J297" s="931"/>
      <c r="K297" s="915"/>
      <c r="L297" s="894">
        <v>1</v>
      </c>
      <c r="M297" s="895"/>
      <c r="N297" s="895"/>
      <c r="O297" s="895"/>
      <c r="P297" s="895"/>
      <c r="Q297" s="895"/>
      <c r="R297" s="895"/>
      <c r="S297" s="895"/>
      <c r="T297" s="895"/>
    </row>
    <row r="298" spans="1:20" ht="15.75" customHeight="1" thickBot="1">
      <c r="A298" s="888">
        <v>917</v>
      </c>
      <c r="B298" s="908" t="s">
        <v>340</v>
      </c>
      <c r="C298" s="928">
        <v>971</v>
      </c>
      <c r="D298" s="931">
        <v>414.7</v>
      </c>
      <c r="E298" s="914">
        <f t="shared" si="10"/>
        <v>1385.7</v>
      </c>
      <c r="F298" s="931"/>
      <c r="G298" s="933"/>
      <c r="H298" s="914"/>
      <c r="I298" s="928"/>
      <c r="J298" s="931"/>
      <c r="K298" s="915"/>
      <c r="L298" s="894">
        <v>1</v>
      </c>
      <c r="M298" s="895"/>
      <c r="N298" s="895"/>
      <c r="O298" s="895"/>
      <c r="P298" s="895"/>
      <c r="Q298" s="895"/>
      <c r="R298" s="895"/>
      <c r="S298" s="895"/>
      <c r="T298" s="895"/>
    </row>
    <row r="299" spans="1:20" ht="15.75" customHeight="1" thickBot="1">
      <c r="A299" s="888">
        <v>918</v>
      </c>
      <c r="B299" s="908" t="s">
        <v>341</v>
      </c>
      <c r="C299" s="928">
        <v>971</v>
      </c>
      <c r="D299" s="931">
        <v>414.7</v>
      </c>
      <c r="E299" s="914">
        <f t="shared" si="10"/>
        <v>1385.7</v>
      </c>
      <c r="F299" s="931"/>
      <c r="G299" s="933"/>
      <c r="H299" s="914">
        <v>150</v>
      </c>
      <c r="I299" s="928"/>
      <c r="J299" s="931"/>
      <c r="K299" s="915"/>
      <c r="L299" s="894">
        <v>1</v>
      </c>
      <c r="M299" s="895"/>
      <c r="N299" s="895"/>
      <c r="O299" s="895"/>
      <c r="P299" s="895"/>
      <c r="Q299" s="895"/>
      <c r="R299" s="895"/>
      <c r="S299" s="895"/>
      <c r="T299" s="895"/>
    </row>
    <row r="300" spans="1:20" ht="15.75" customHeight="1" thickBot="1">
      <c r="A300" s="888">
        <v>919</v>
      </c>
      <c r="B300" s="908" t="s">
        <v>342</v>
      </c>
      <c r="C300" s="928">
        <v>971</v>
      </c>
      <c r="D300" s="931">
        <v>414.7</v>
      </c>
      <c r="E300" s="914">
        <f t="shared" si="10"/>
        <v>1385.7</v>
      </c>
      <c r="F300" s="931"/>
      <c r="G300" s="933"/>
      <c r="H300" s="914">
        <v>17</v>
      </c>
      <c r="I300" s="928"/>
      <c r="J300" s="931"/>
      <c r="K300" s="915"/>
      <c r="L300" s="894">
        <v>1</v>
      </c>
      <c r="M300" s="895"/>
      <c r="N300" s="895"/>
      <c r="O300" s="895"/>
      <c r="P300" s="895"/>
      <c r="Q300" s="895"/>
      <c r="R300" s="895"/>
      <c r="S300" s="895"/>
      <c r="T300" s="895"/>
    </row>
    <row r="301" spans="1:20" ht="15.75" customHeight="1" thickBot="1">
      <c r="A301" s="888">
        <v>920</v>
      </c>
      <c r="B301" s="908" t="s">
        <v>343</v>
      </c>
      <c r="C301" s="928">
        <v>971</v>
      </c>
      <c r="D301" s="931">
        <v>414.7</v>
      </c>
      <c r="E301" s="914">
        <f t="shared" si="10"/>
        <v>1385.7</v>
      </c>
      <c r="F301" s="931"/>
      <c r="G301" s="933"/>
      <c r="H301" s="914">
        <v>150</v>
      </c>
      <c r="I301" s="928"/>
      <c r="J301" s="931"/>
      <c r="K301" s="915"/>
      <c r="L301" s="894">
        <v>1</v>
      </c>
      <c r="M301" s="895"/>
      <c r="N301" s="895"/>
      <c r="O301" s="895"/>
      <c r="P301" s="895"/>
      <c r="Q301" s="895"/>
      <c r="R301" s="895"/>
      <c r="S301" s="895"/>
      <c r="T301" s="895"/>
    </row>
    <row r="302" spans="1:20" ht="15.75" customHeight="1" thickBot="1">
      <c r="A302" s="888">
        <v>921</v>
      </c>
      <c r="B302" s="908" t="s">
        <v>344</v>
      </c>
      <c r="C302" s="928">
        <v>971</v>
      </c>
      <c r="D302" s="931">
        <v>414.7</v>
      </c>
      <c r="E302" s="914">
        <f t="shared" si="10"/>
        <v>1385.7</v>
      </c>
      <c r="F302" s="931"/>
      <c r="G302" s="933"/>
      <c r="H302" s="914"/>
      <c r="I302" s="928"/>
      <c r="J302" s="931"/>
      <c r="K302" s="915"/>
      <c r="L302" s="894">
        <v>1</v>
      </c>
      <c r="M302" s="895"/>
      <c r="N302" s="895"/>
      <c r="O302" s="895"/>
      <c r="P302" s="895"/>
      <c r="Q302" s="895"/>
      <c r="R302" s="895"/>
      <c r="S302" s="895"/>
      <c r="T302" s="895"/>
    </row>
    <row r="303" spans="1:20" ht="15.75" customHeight="1" thickBot="1">
      <c r="A303" s="888">
        <v>922</v>
      </c>
      <c r="B303" s="908" t="s">
        <v>345</v>
      </c>
      <c r="C303" s="928">
        <v>971</v>
      </c>
      <c r="D303" s="931">
        <v>414.7</v>
      </c>
      <c r="E303" s="914">
        <f t="shared" si="10"/>
        <v>1385.7</v>
      </c>
      <c r="F303" s="931"/>
      <c r="G303" s="933"/>
      <c r="H303" s="914"/>
      <c r="I303" s="928"/>
      <c r="J303" s="931"/>
      <c r="K303" s="915"/>
      <c r="L303" s="894">
        <v>1</v>
      </c>
      <c r="M303" s="895"/>
      <c r="N303" s="895"/>
      <c r="O303" s="895"/>
      <c r="P303" s="895"/>
      <c r="Q303" s="895"/>
      <c r="R303" s="895"/>
      <c r="S303" s="895"/>
      <c r="T303" s="895"/>
    </row>
    <row r="304" spans="1:20" ht="15.75" customHeight="1" thickBot="1">
      <c r="A304" s="888">
        <v>923</v>
      </c>
      <c r="B304" s="908" t="s">
        <v>346</v>
      </c>
      <c r="C304" s="928">
        <v>971</v>
      </c>
      <c r="D304" s="931">
        <v>414.7</v>
      </c>
      <c r="E304" s="914">
        <f t="shared" si="10"/>
        <v>1385.7</v>
      </c>
      <c r="F304" s="931"/>
      <c r="G304" s="933"/>
      <c r="H304" s="914"/>
      <c r="I304" s="928"/>
      <c r="J304" s="931"/>
      <c r="K304" s="915"/>
      <c r="L304" s="894">
        <v>1</v>
      </c>
      <c r="M304" s="895"/>
      <c r="N304" s="895"/>
      <c r="O304" s="895"/>
      <c r="P304" s="895"/>
      <c r="Q304" s="895"/>
      <c r="R304" s="895"/>
      <c r="S304" s="895"/>
      <c r="T304" s="895"/>
    </row>
    <row r="305" spans="1:20" ht="15.75" customHeight="1" thickBot="1">
      <c r="A305" s="888">
        <v>924</v>
      </c>
      <c r="B305" s="908" t="s">
        <v>347</v>
      </c>
      <c r="C305" s="928">
        <v>971</v>
      </c>
      <c r="D305" s="931">
        <v>414.7</v>
      </c>
      <c r="E305" s="914">
        <f t="shared" si="10"/>
        <v>1385.7</v>
      </c>
      <c r="F305" s="931"/>
      <c r="G305" s="933"/>
      <c r="H305" s="914">
        <v>150</v>
      </c>
      <c r="I305" s="928"/>
      <c r="J305" s="931"/>
      <c r="K305" s="915"/>
      <c r="L305" s="894">
        <v>1</v>
      </c>
      <c r="M305" s="895"/>
      <c r="N305" s="895"/>
      <c r="O305" s="895"/>
      <c r="P305" s="895"/>
      <c r="Q305" s="895"/>
      <c r="R305" s="895"/>
      <c r="S305" s="895"/>
      <c r="T305" s="895"/>
    </row>
    <row r="306" spans="1:20" ht="15.75" customHeight="1" thickBot="1">
      <c r="A306" s="888">
        <v>925</v>
      </c>
      <c r="B306" s="908" t="s">
        <v>348</v>
      </c>
      <c r="C306" s="928">
        <v>971</v>
      </c>
      <c r="D306" s="931">
        <v>414.7</v>
      </c>
      <c r="E306" s="914">
        <f t="shared" si="10"/>
        <v>1385.7</v>
      </c>
      <c r="F306" s="931"/>
      <c r="G306" s="933"/>
      <c r="H306" s="914"/>
      <c r="I306" s="928"/>
      <c r="J306" s="931"/>
      <c r="K306" s="915"/>
      <c r="L306" s="894">
        <v>1</v>
      </c>
      <c r="M306" s="895"/>
      <c r="N306" s="895"/>
      <c r="O306" s="895"/>
      <c r="P306" s="895"/>
      <c r="Q306" s="895"/>
      <c r="R306" s="895"/>
      <c r="S306" s="895"/>
      <c r="T306" s="895"/>
    </row>
    <row r="307" spans="1:20" ht="15.75" customHeight="1" thickBot="1">
      <c r="A307" s="888">
        <v>926</v>
      </c>
      <c r="B307" s="908" t="s">
        <v>349</v>
      </c>
      <c r="C307" s="928">
        <v>1500</v>
      </c>
      <c r="D307" s="931">
        <v>101</v>
      </c>
      <c r="E307" s="914">
        <f t="shared" si="10"/>
        <v>1601</v>
      </c>
      <c r="F307" s="931"/>
      <c r="G307" s="933"/>
      <c r="H307" s="914">
        <v>150</v>
      </c>
      <c r="I307" s="928"/>
      <c r="J307" s="931"/>
      <c r="K307" s="915"/>
      <c r="L307" s="894">
        <v>1</v>
      </c>
      <c r="M307" s="895"/>
      <c r="N307" s="895"/>
      <c r="O307" s="895"/>
      <c r="P307" s="895"/>
      <c r="Q307" s="895"/>
      <c r="R307" s="895"/>
      <c r="S307" s="895"/>
      <c r="T307" s="895"/>
    </row>
    <row r="308" spans="1:20" ht="15.75" customHeight="1" thickBot="1">
      <c r="A308" s="888">
        <v>927</v>
      </c>
      <c r="B308" s="908" t="s">
        <v>350</v>
      </c>
      <c r="C308" s="928">
        <v>1500</v>
      </c>
      <c r="D308" s="931">
        <v>101</v>
      </c>
      <c r="E308" s="914">
        <f t="shared" si="10"/>
        <v>1601</v>
      </c>
      <c r="F308" s="931"/>
      <c r="G308" s="933"/>
      <c r="H308" s="914">
        <v>150</v>
      </c>
      <c r="I308" s="928"/>
      <c r="J308" s="931"/>
      <c r="K308" s="915"/>
      <c r="L308" s="894">
        <v>1</v>
      </c>
      <c r="M308" s="895"/>
      <c r="N308" s="895"/>
      <c r="O308" s="895"/>
      <c r="P308" s="895"/>
      <c r="Q308" s="895"/>
      <c r="R308" s="895"/>
      <c r="S308" s="895"/>
      <c r="T308" s="895"/>
    </row>
    <row r="309" spans="1:20" ht="15.75" customHeight="1" thickBot="1">
      <c r="A309" s="888">
        <v>928</v>
      </c>
      <c r="B309" s="908" t="s">
        <v>351</v>
      </c>
      <c r="C309" s="928">
        <v>1500</v>
      </c>
      <c r="D309" s="931">
        <v>101</v>
      </c>
      <c r="E309" s="914">
        <f t="shared" si="10"/>
        <v>1601</v>
      </c>
      <c r="F309" s="931"/>
      <c r="G309" s="933"/>
      <c r="H309" s="914">
        <v>150</v>
      </c>
      <c r="I309" s="928"/>
      <c r="J309" s="931"/>
      <c r="K309" s="915"/>
      <c r="L309" s="894">
        <v>1</v>
      </c>
      <c r="M309" s="895"/>
      <c r="N309" s="895"/>
      <c r="O309" s="895"/>
      <c r="P309" s="895"/>
      <c r="Q309" s="895"/>
      <c r="R309" s="895"/>
      <c r="S309" s="895"/>
      <c r="T309" s="895"/>
    </row>
    <row r="310" spans="1:20" ht="15.75" customHeight="1" thickBot="1">
      <c r="A310" s="888">
        <v>929</v>
      </c>
      <c r="B310" s="908" t="s">
        <v>352</v>
      </c>
      <c r="C310" s="928">
        <v>971</v>
      </c>
      <c r="D310" s="931">
        <v>414.7</v>
      </c>
      <c r="E310" s="914">
        <f t="shared" si="10"/>
        <v>1385.7</v>
      </c>
      <c r="F310" s="931"/>
      <c r="G310" s="933"/>
      <c r="H310" s="914">
        <v>150</v>
      </c>
      <c r="I310" s="928"/>
      <c r="J310" s="931"/>
      <c r="K310" s="915"/>
      <c r="L310" s="894">
        <v>1</v>
      </c>
      <c r="M310" s="895"/>
      <c r="N310" s="895"/>
      <c r="O310" s="895"/>
      <c r="P310" s="895"/>
      <c r="Q310" s="895"/>
      <c r="R310" s="895"/>
      <c r="S310" s="895"/>
      <c r="T310" s="895"/>
    </row>
    <row r="311" spans="1:20" ht="15.75" customHeight="1" thickBot="1">
      <c r="A311" s="888">
        <v>930</v>
      </c>
      <c r="B311" s="908" t="s">
        <v>353</v>
      </c>
      <c r="C311" s="928">
        <v>1592</v>
      </c>
      <c r="D311" s="931">
        <v>89</v>
      </c>
      <c r="E311" s="914">
        <f t="shared" si="10"/>
        <v>1681</v>
      </c>
      <c r="F311" s="931">
        <v>310.7</v>
      </c>
      <c r="G311" s="933" t="s">
        <v>245</v>
      </c>
      <c r="H311" s="914"/>
      <c r="I311" s="928"/>
      <c r="J311" s="931"/>
      <c r="K311" s="915"/>
      <c r="L311" s="894">
        <v>1</v>
      </c>
      <c r="M311" s="895"/>
      <c r="N311" s="895"/>
      <c r="O311" s="895"/>
      <c r="P311" s="895"/>
      <c r="Q311" s="895"/>
      <c r="R311" s="895"/>
      <c r="S311" s="895"/>
      <c r="T311" s="895"/>
    </row>
    <row r="312" spans="1:20" ht="15.75" customHeight="1" thickBot="1">
      <c r="A312" s="888">
        <v>931</v>
      </c>
      <c r="B312" s="908" t="s">
        <v>354</v>
      </c>
      <c r="C312" s="928">
        <v>971</v>
      </c>
      <c r="D312" s="931">
        <v>414.7</v>
      </c>
      <c r="E312" s="914">
        <f t="shared" si="10"/>
        <v>1385.7</v>
      </c>
      <c r="F312" s="931"/>
      <c r="G312" s="933"/>
      <c r="H312" s="914"/>
      <c r="I312" s="928"/>
      <c r="J312" s="931"/>
      <c r="K312" s="915"/>
      <c r="L312" s="894">
        <v>1</v>
      </c>
      <c r="M312" s="895"/>
      <c r="N312" s="895"/>
      <c r="O312" s="895"/>
      <c r="P312" s="895"/>
      <c r="Q312" s="895"/>
      <c r="R312" s="895"/>
      <c r="S312" s="895"/>
      <c r="T312" s="895"/>
    </row>
    <row r="313" spans="1:20" ht="15.75" customHeight="1" thickBot="1">
      <c r="A313" s="888">
        <v>932</v>
      </c>
      <c r="B313" s="908" t="s">
        <v>355</v>
      </c>
      <c r="C313" s="929">
        <v>2220</v>
      </c>
      <c r="D313" s="931">
        <v>7</v>
      </c>
      <c r="E313" s="914">
        <f t="shared" si="10"/>
        <v>2227</v>
      </c>
      <c r="F313" s="931">
        <v>521.4</v>
      </c>
      <c r="G313" s="933"/>
      <c r="H313" s="914"/>
      <c r="I313" s="928"/>
      <c r="J313" s="931"/>
      <c r="K313" s="915"/>
      <c r="L313" s="894">
        <v>1</v>
      </c>
      <c r="M313" s="895"/>
      <c r="N313" s="895"/>
      <c r="O313" s="895"/>
      <c r="P313" s="895"/>
      <c r="Q313" s="895"/>
      <c r="R313" s="895"/>
      <c r="S313" s="895"/>
      <c r="T313" s="895"/>
    </row>
    <row r="314" spans="1:20" ht="15.75" customHeight="1" thickBot="1">
      <c r="A314" s="888">
        <v>933</v>
      </c>
      <c r="B314" s="908" t="s">
        <v>356</v>
      </c>
      <c r="C314" s="929">
        <v>1580</v>
      </c>
      <c r="D314" s="931">
        <v>90</v>
      </c>
      <c r="E314" s="914">
        <f t="shared" si="10"/>
        <v>1670</v>
      </c>
      <c r="F314" s="931">
        <v>347.6</v>
      </c>
      <c r="G314" s="933"/>
      <c r="H314" s="914"/>
      <c r="I314" s="928"/>
      <c r="J314" s="931"/>
      <c r="K314" s="915"/>
      <c r="L314" s="894">
        <v>1</v>
      </c>
      <c r="M314" s="895"/>
      <c r="N314" s="895"/>
      <c r="O314" s="895"/>
      <c r="P314" s="895"/>
      <c r="Q314" s="895"/>
      <c r="R314" s="895"/>
      <c r="S314" s="895"/>
      <c r="T314" s="895"/>
    </row>
    <row r="315" spans="1:20" ht="15.75" customHeight="1" thickBot="1">
      <c r="A315" s="888">
        <v>934</v>
      </c>
      <c r="B315" s="908" t="s">
        <v>357</v>
      </c>
      <c r="C315" s="929">
        <v>1480</v>
      </c>
      <c r="D315" s="931">
        <v>104</v>
      </c>
      <c r="E315" s="914">
        <f t="shared" si="10"/>
        <v>1584</v>
      </c>
      <c r="F315" s="931"/>
      <c r="G315" s="933"/>
      <c r="H315" s="914"/>
      <c r="I315" s="928"/>
      <c r="J315" s="931"/>
      <c r="K315" s="915"/>
      <c r="L315" s="894">
        <v>1</v>
      </c>
      <c r="M315" s="895"/>
      <c r="N315" s="895"/>
      <c r="O315" s="895"/>
      <c r="P315" s="895"/>
      <c r="Q315" s="895"/>
      <c r="R315" s="895"/>
      <c r="S315" s="895"/>
      <c r="T315" s="895"/>
    </row>
    <row r="316" spans="1:20" ht="15.75" customHeight="1" thickBot="1">
      <c r="A316" s="888">
        <v>935</v>
      </c>
      <c r="B316" s="908" t="s">
        <v>358</v>
      </c>
      <c r="C316" s="928">
        <v>971</v>
      </c>
      <c r="D316" s="931">
        <v>414.7</v>
      </c>
      <c r="E316" s="914">
        <f t="shared" si="10"/>
        <v>1385.7</v>
      </c>
      <c r="F316" s="931"/>
      <c r="G316" s="933"/>
      <c r="H316" s="914"/>
      <c r="I316" s="928"/>
      <c r="J316" s="931"/>
      <c r="K316" s="915"/>
      <c r="L316" s="894">
        <v>1</v>
      </c>
      <c r="M316" s="895"/>
      <c r="N316" s="895"/>
      <c r="O316" s="895"/>
      <c r="P316" s="895"/>
      <c r="Q316" s="895"/>
      <c r="R316" s="895"/>
      <c r="S316" s="895"/>
      <c r="T316" s="895"/>
    </row>
    <row r="317" spans="1:20" ht="15.75" customHeight="1" thickBot="1">
      <c r="A317" s="888">
        <v>936</v>
      </c>
      <c r="B317" s="908" t="s">
        <v>359</v>
      </c>
      <c r="C317" s="929">
        <v>1250</v>
      </c>
      <c r="D317" s="931">
        <v>134</v>
      </c>
      <c r="E317" s="914">
        <f t="shared" si="10"/>
        <v>1384</v>
      </c>
      <c r="F317" s="931"/>
      <c r="G317" s="933"/>
      <c r="H317" s="914"/>
      <c r="I317" s="928"/>
      <c r="J317" s="931"/>
      <c r="K317" s="915"/>
      <c r="L317" s="894">
        <v>1</v>
      </c>
      <c r="M317" s="895"/>
      <c r="N317" s="895"/>
      <c r="O317" s="895"/>
      <c r="P317" s="895"/>
      <c r="Q317" s="895"/>
      <c r="R317" s="895"/>
      <c r="S317" s="895"/>
      <c r="T317" s="895"/>
    </row>
    <row r="318" spans="1:20" ht="15.75" customHeight="1" thickBot="1">
      <c r="A318" s="888">
        <v>937</v>
      </c>
      <c r="B318" s="908" t="s">
        <v>360</v>
      </c>
      <c r="C318" s="929">
        <v>971</v>
      </c>
      <c r="D318" s="931">
        <v>414.7</v>
      </c>
      <c r="E318" s="914">
        <f t="shared" si="10"/>
        <v>1385.7</v>
      </c>
      <c r="F318" s="931"/>
      <c r="G318" s="933"/>
      <c r="H318" s="914"/>
      <c r="I318" s="928"/>
      <c r="J318" s="931"/>
      <c r="K318" s="915"/>
      <c r="L318" s="894">
        <v>1</v>
      </c>
      <c r="M318" s="895"/>
      <c r="N318" s="895"/>
      <c r="O318" s="895"/>
      <c r="P318" s="895"/>
      <c r="Q318" s="895"/>
      <c r="R318" s="895"/>
      <c r="S318" s="895"/>
      <c r="T318" s="895"/>
    </row>
    <row r="319" spans="1:20" ht="15.75" customHeight="1" thickBot="1">
      <c r="A319" s="888">
        <v>938</v>
      </c>
      <c r="B319" s="908" t="s">
        <v>361</v>
      </c>
      <c r="C319" s="928">
        <v>971</v>
      </c>
      <c r="D319" s="931">
        <v>414.7</v>
      </c>
      <c r="E319" s="914">
        <f t="shared" si="10"/>
        <v>1385.7</v>
      </c>
      <c r="F319" s="931"/>
      <c r="G319" s="933"/>
      <c r="H319" s="914">
        <v>150</v>
      </c>
      <c r="I319" s="928"/>
      <c r="J319" s="931"/>
      <c r="K319" s="915"/>
      <c r="L319" s="894">
        <v>1</v>
      </c>
      <c r="M319" s="895"/>
      <c r="N319" s="895"/>
      <c r="O319" s="895"/>
      <c r="P319" s="895"/>
      <c r="Q319" s="895"/>
      <c r="R319" s="895"/>
      <c r="S319" s="895"/>
      <c r="T319" s="895"/>
    </row>
    <row r="320" spans="1:20" ht="15.75" customHeight="1" thickBot="1">
      <c r="A320" s="888">
        <v>939</v>
      </c>
      <c r="B320" s="908" t="s">
        <v>362</v>
      </c>
      <c r="C320" s="928">
        <v>971</v>
      </c>
      <c r="D320" s="931">
        <v>414.7</v>
      </c>
      <c r="E320" s="914">
        <f t="shared" si="10"/>
        <v>1385.7</v>
      </c>
      <c r="F320" s="931"/>
      <c r="G320" s="933"/>
      <c r="H320" s="914">
        <v>150</v>
      </c>
      <c r="I320" s="928"/>
      <c r="J320" s="931"/>
      <c r="K320" s="915"/>
      <c r="L320" s="894">
        <v>1</v>
      </c>
      <c r="M320" s="895"/>
      <c r="N320" s="895"/>
      <c r="O320" s="895"/>
      <c r="P320" s="895"/>
      <c r="Q320" s="895"/>
      <c r="R320" s="895"/>
      <c r="S320" s="895"/>
      <c r="T320" s="895"/>
    </row>
    <row r="321" spans="1:20" ht="15.75" customHeight="1" thickBot="1">
      <c r="A321" s="888">
        <v>940</v>
      </c>
      <c r="B321" s="908" t="s">
        <v>363</v>
      </c>
      <c r="C321" s="928">
        <v>1692</v>
      </c>
      <c r="D321" s="931">
        <v>76</v>
      </c>
      <c r="E321" s="914">
        <f t="shared" ref="E321:E340" si="11">C321+D321</f>
        <v>1768</v>
      </c>
      <c r="F321" s="931">
        <v>362.7</v>
      </c>
      <c r="G321" s="933" t="s">
        <v>248</v>
      </c>
      <c r="H321" s="914"/>
      <c r="I321" s="928"/>
      <c r="J321" s="931"/>
      <c r="K321" s="915"/>
      <c r="L321" s="894">
        <v>1</v>
      </c>
      <c r="M321" s="895"/>
      <c r="N321" s="895"/>
      <c r="O321" s="895"/>
      <c r="P321" s="895"/>
      <c r="Q321" s="895"/>
      <c r="R321" s="895"/>
      <c r="S321" s="895"/>
      <c r="T321" s="895"/>
    </row>
    <row r="322" spans="1:20" ht="15.75" customHeight="1" thickBot="1">
      <c r="A322" s="888">
        <v>941</v>
      </c>
      <c r="B322" s="908" t="s">
        <v>364</v>
      </c>
      <c r="C322" s="928">
        <v>1942</v>
      </c>
      <c r="D322" s="931">
        <v>43</v>
      </c>
      <c r="E322" s="914">
        <f t="shared" si="11"/>
        <v>1985</v>
      </c>
      <c r="F322" s="931">
        <v>517.29999999999995</v>
      </c>
      <c r="G322" s="933" t="s">
        <v>246</v>
      </c>
      <c r="H322" s="914"/>
      <c r="I322" s="928"/>
      <c r="J322" s="931"/>
      <c r="K322" s="915"/>
      <c r="L322" s="894">
        <v>1</v>
      </c>
      <c r="M322" s="895"/>
      <c r="N322" s="895"/>
      <c r="O322" s="895"/>
      <c r="P322" s="895"/>
      <c r="Q322" s="895"/>
      <c r="R322" s="895"/>
      <c r="S322" s="895"/>
      <c r="T322" s="895"/>
    </row>
    <row r="323" spans="1:20" ht="15.75" customHeight="1" thickBot="1">
      <c r="A323" s="888">
        <v>942</v>
      </c>
      <c r="B323" s="908" t="s">
        <v>365</v>
      </c>
      <c r="C323" s="928">
        <v>1782</v>
      </c>
      <c r="D323" s="931">
        <v>64</v>
      </c>
      <c r="E323" s="914">
        <f t="shared" si="11"/>
        <v>1846</v>
      </c>
      <c r="F323" s="931">
        <v>465.3</v>
      </c>
      <c r="G323" s="933" t="s">
        <v>247</v>
      </c>
      <c r="H323" s="914"/>
      <c r="I323" s="928"/>
      <c r="J323" s="931"/>
      <c r="K323" s="915"/>
      <c r="L323" s="894">
        <v>1</v>
      </c>
      <c r="M323" s="895"/>
      <c r="N323" s="895"/>
      <c r="O323" s="895"/>
      <c r="P323" s="895"/>
      <c r="Q323" s="895"/>
      <c r="R323" s="895"/>
      <c r="S323" s="895"/>
      <c r="T323" s="895"/>
    </row>
    <row r="324" spans="1:20" ht="15.75" customHeight="1" thickBot="1">
      <c r="A324" s="888">
        <v>943</v>
      </c>
      <c r="B324" s="908" t="s">
        <v>366</v>
      </c>
      <c r="C324" s="928">
        <v>1500</v>
      </c>
      <c r="D324" s="931">
        <v>101</v>
      </c>
      <c r="E324" s="914">
        <f t="shared" si="11"/>
        <v>1601</v>
      </c>
      <c r="F324" s="931"/>
      <c r="G324" s="933"/>
      <c r="H324" s="914">
        <v>150</v>
      </c>
      <c r="I324" s="928"/>
      <c r="J324" s="931"/>
      <c r="K324" s="915"/>
      <c r="L324" s="894">
        <v>1</v>
      </c>
      <c r="M324" s="895"/>
      <c r="N324" s="895"/>
      <c r="O324" s="895"/>
      <c r="P324" s="895"/>
      <c r="Q324" s="895"/>
      <c r="R324" s="895"/>
      <c r="S324" s="895"/>
      <c r="T324" s="895"/>
    </row>
    <row r="325" spans="1:20" ht="15.75" customHeight="1" thickBot="1">
      <c r="A325" s="888">
        <v>944</v>
      </c>
      <c r="B325" s="908" t="s">
        <v>367</v>
      </c>
      <c r="C325" s="928">
        <v>1400</v>
      </c>
      <c r="D325" s="931">
        <v>114</v>
      </c>
      <c r="E325" s="914">
        <f t="shared" si="11"/>
        <v>1514</v>
      </c>
      <c r="F325" s="931">
        <v>310.7</v>
      </c>
      <c r="G325" s="933" t="s">
        <v>245</v>
      </c>
      <c r="H325" s="914"/>
      <c r="I325" s="928"/>
      <c r="J325" s="931"/>
      <c r="K325" s="915"/>
      <c r="L325" s="894">
        <v>1</v>
      </c>
      <c r="M325" s="895"/>
      <c r="N325" s="895"/>
      <c r="O325" s="895"/>
      <c r="P325" s="895"/>
      <c r="Q325" s="895"/>
      <c r="R325" s="895"/>
      <c r="S325" s="895"/>
      <c r="T325" s="895"/>
    </row>
    <row r="326" spans="1:20" ht="15.75" customHeight="1" thickBot="1">
      <c r="A326" s="888">
        <v>945</v>
      </c>
      <c r="B326" s="908" t="s">
        <v>368</v>
      </c>
      <c r="C326" s="928">
        <v>1782</v>
      </c>
      <c r="D326" s="931">
        <v>64</v>
      </c>
      <c r="E326" s="914">
        <f t="shared" si="11"/>
        <v>1846</v>
      </c>
      <c r="F326" s="931">
        <v>310.7</v>
      </c>
      <c r="G326" s="933" t="s">
        <v>245</v>
      </c>
      <c r="H326" s="914"/>
      <c r="I326" s="928">
        <v>669</v>
      </c>
      <c r="J326" s="931"/>
      <c r="K326" s="915"/>
      <c r="L326" s="894">
        <v>1</v>
      </c>
      <c r="M326" s="895"/>
      <c r="N326" s="895"/>
      <c r="O326" s="895"/>
      <c r="P326" s="895"/>
      <c r="Q326" s="895"/>
      <c r="R326" s="895"/>
      <c r="S326" s="895"/>
      <c r="T326" s="895"/>
    </row>
    <row r="327" spans="1:20" ht="15.75" customHeight="1" thickBot="1">
      <c r="A327" s="888">
        <v>946</v>
      </c>
      <c r="B327" s="908" t="s">
        <v>369</v>
      </c>
      <c r="C327" s="928">
        <v>971</v>
      </c>
      <c r="D327" s="931">
        <v>214</v>
      </c>
      <c r="E327" s="914">
        <f t="shared" si="11"/>
        <v>1185</v>
      </c>
      <c r="F327" s="931"/>
      <c r="G327" s="933"/>
      <c r="H327" s="914"/>
      <c r="I327" s="928">
        <v>620</v>
      </c>
      <c r="J327" s="931"/>
      <c r="K327" s="915"/>
      <c r="L327" s="894">
        <v>1</v>
      </c>
      <c r="M327" s="895"/>
      <c r="N327" s="895"/>
      <c r="O327" s="895"/>
      <c r="P327" s="895"/>
      <c r="Q327" s="895"/>
      <c r="R327" s="895"/>
      <c r="S327" s="895"/>
      <c r="T327" s="895"/>
    </row>
    <row r="328" spans="1:20" ht="15.75" customHeight="1" thickBot="1">
      <c r="A328" s="888">
        <v>947</v>
      </c>
      <c r="B328" s="908" t="s">
        <v>370</v>
      </c>
      <c r="C328" s="928">
        <v>971</v>
      </c>
      <c r="D328" s="931">
        <v>214</v>
      </c>
      <c r="E328" s="914">
        <f t="shared" si="11"/>
        <v>1185</v>
      </c>
      <c r="F328" s="931"/>
      <c r="G328" s="933"/>
      <c r="H328" s="914"/>
      <c r="I328" s="928">
        <v>155</v>
      </c>
      <c r="J328" s="931"/>
      <c r="K328" s="915"/>
      <c r="L328" s="894">
        <v>1</v>
      </c>
      <c r="M328" s="895"/>
      <c r="N328" s="895"/>
      <c r="O328" s="895"/>
      <c r="P328" s="895"/>
      <c r="Q328" s="895"/>
      <c r="R328" s="895"/>
      <c r="S328" s="895"/>
      <c r="T328" s="895"/>
    </row>
    <row r="329" spans="1:20" ht="15.75" customHeight="1" thickBot="1">
      <c r="A329" s="888">
        <v>948</v>
      </c>
      <c r="B329" s="908" t="s">
        <v>371</v>
      </c>
      <c r="C329" s="928">
        <v>1300</v>
      </c>
      <c r="D329" s="931">
        <v>127</v>
      </c>
      <c r="E329" s="914">
        <f t="shared" si="11"/>
        <v>1427</v>
      </c>
      <c r="F329" s="931">
        <v>310.7</v>
      </c>
      <c r="G329" s="933" t="s">
        <v>245</v>
      </c>
      <c r="H329" s="914"/>
      <c r="I329" s="928">
        <v>620</v>
      </c>
      <c r="J329" s="931"/>
      <c r="K329" s="915"/>
      <c r="L329" s="894">
        <v>1</v>
      </c>
      <c r="M329" s="895"/>
      <c r="N329" s="895"/>
      <c r="O329" s="895"/>
      <c r="P329" s="895"/>
      <c r="Q329" s="895"/>
      <c r="R329" s="895"/>
      <c r="S329" s="895"/>
      <c r="T329" s="895"/>
    </row>
    <row r="330" spans="1:20" ht="15.75" customHeight="1" thickBot="1">
      <c r="A330" s="888">
        <v>949</v>
      </c>
      <c r="B330" s="908" t="s">
        <v>372</v>
      </c>
      <c r="C330" s="928">
        <v>1500</v>
      </c>
      <c r="D330" s="931">
        <v>101</v>
      </c>
      <c r="E330" s="914">
        <f t="shared" si="11"/>
        <v>1601</v>
      </c>
      <c r="F330" s="931"/>
      <c r="G330" s="933"/>
      <c r="H330" s="914">
        <v>150</v>
      </c>
      <c r="I330" s="928"/>
      <c r="J330" s="931"/>
      <c r="K330" s="915"/>
      <c r="L330" s="894">
        <v>1</v>
      </c>
      <c r="M330" s="895"/>
      <c r="N330" s="895"/>
      <c r="O330" s="895"/>
      <c r="P330" s="895"/>
      <c r="Q330" s="895"/>
      <c r="R330" s="895"/>
      <c r="S330" s="895"/>
      <c r="T330" s="895"/>
    </row>
    <row r="331" spans="1:20" ht="15.75" customHeight="1" thickBot="1">
      <c r="A331" s="888">
        <v>950</v>
      </c>
      <c r="B331" s="908" t="s">
        <v>373</v>
      </c>
      <c r="C331" s="928">
        <v>1500</v>
      </c>
      <c r="D331" s="931">
        <v>101</v>
      </c>
      <c r="E331" s="914">
        <f t="shared" si="11"/>
        <v>1601</v>
      </c>
      <c r="F331" s="931"/>
      <c r="G331" s="933"/>
      <c r="H331" s="914">
        <v>150</v>
      </c>
      <c r="I331" s="928"/>
      <c r="J331" s="931"/>
      <c r="K331" s="915"/>
      <c r="L331" s="894">
        <v>1</v>
      </c>
      <c r="M331" s="895"/>
      <c r="N331" s="895"/>
      <c r="O331" s="895"/>
      <c r="P331" s="895"/>
      <c r="Q331" s="895"/>
      <c r="R331" s="895"/>
      <c r="S331" s="895"/>
      <c r="T331" s="895"/>
    </row>
    <row r="332" spans="1:20" ht="15.75" customHeight="1" thickBot="1">
      <c r="A332" s="888">
        <v>951</v>
      </c>
      <c r="B332" s="908" t="s">
        <v>374</v>
      </c>
      <c r="C332" s="928">
        <v>1500</v>
      </c>
      <c r="D332" s="931">
        <v>101</v>
      </c>
      <c r="E332" s="914">
        <f t="shared" si="11"/>
        <v>1601</v>
      </c>
      <c r="F332" s="931"/>
      <c r="G332" s="933"/>
      <c r="H332" s="914">
        <v>150</v>
      </c>
      <c r="I332" s="928"/>
      <c r="J332" s="931"/>
      <c r="K332" s="915"/>
      <c r="L332" s="894">
        <v>1</v>
      </c>
      <c r="M332" s="895"/>
      <c r="N332" s="895"/>
      <c r="O332" s="895"/>
      <c r="P332" s="895"/>
      <c r="Q332" s="895"/>
      <c r="R332" s="895"/>
      <c r="S332" s="895"/>
      <c r="T332" s="895"/>
    </row>
    <row r="333" spans="1:20" ht="15.75" customHeight="1" thickBot="1">
      <c r="A333" s="888">
        <v>952</v>
      </c>
      <c r="B333" s="908" t="s">
        <v>375</v>
      </c>
      <c r="C333" s="928">
        <v>971</v>
      </c>
      <c r="D333" s="931">
        <v>214</v>
      </c>
      <c r="E333" s="914">
        <f t="shared" si="11"/>
        <v>1185</v>
      </c>
      <c r="F333" s="931"/>
      <c r="G333" s="933"/>
      <c r="H333" s="914"/>
      <c r="I333" s="928">
        <v>155</v>
      </c>
      <c r="J333" s="931"/>
      <c r="K333" s="915"/>
      <c r="L333" s="894">
        <v>1</v>
      </c>
      <c r="M333" s="895"/>
      <c r="N333" s="895"/>
      <c r="O333" s="895"/>
      <c r="P333" s="895"/>
      <c r="Q333" s="895"/>
      <c r="R333" s="895"/>
      <c r="S333" s="895"/>
      <c r="T333" s="895"/>
    </row>
    <row r="334" spans="1:20" ht="15.75" customHeight="1" thickBot="1">
      <c r="A334" s="888">
        <v>953</v>
      </c>
      <c r="B334" s="908" t="s">
        <v>376</v>
      </c>
      <c r="C334" s="928">
        <v>971</v>
      </c>
      <c r="D334" s="931">
        <v>214</v>
      </c>
      <c r="E334" s="914">
        <f t="shared" si="11"/>
        <v>1185</v>
      </c>
      <c r="F334" s="931"/>
      <c r="G334" s="933"/>
      <c r="H334" s="914"/>
      <c r="I334" s="928">
        <v>155</v>
      </c>
      <c r="J334" s="931"/>
      <c r="K334" s="915"/>
      <c r="L334" s="894">
        <v>1</v>
      </c>
      <c r="M334" s="895"/>
      <c r="N334" s="895"/>
      <c r="O334" s="895"/>
      <c r="P334" s="895"/>
      <c r="Q334" s="895"/>
      <c r="R334" s="895"/>
      <c r="S334" s="895"/>
      <c r="T334" s="895"/>
    </row>
    <row r="335" spans="1:20" ht="15.75" customHeight="1" thickBot="1">
      <c r="A335" s="888">
        <v>954</v>
      </c>
      <c r="B335" s="908" t="s">
        <v>377</v>
      </c>
      <c r="C335" s="928">
        <v>1600</v>
      </c>
      <c r="D335" s="931">
        <v>88</v>
      </c>
      <c r="E335" s="914">
        <f t="shared" si="11"/>
        <v>1688</v>
      </c>
      <c r="F335" s="931">
        <v>310.7</v>
      </c>
      <c r="G335" s="934">
        <v>388</v>
      </c>
      <c r="H335" s="914"/>
      <c r="I335" s="928">
        <v>657</v>
      </c>
      <c r="J335" s="931"/>
      <c r="K335" s="915"/>
      <c r="L335" s="894">
        <v>1</v>
      </c>
      <c r="M335" s="895"/>
      <c r="N335" s="895"/>
      <c r="O335" s="895"/>
      <c r="P335" s="895"/>
      <c r="Q335" s="895"/>
      <c r="R335" s="895"/>
      <c r="S335" s="895"/>
      <c r="T335" s="895"/>
    </row>
    <row r="336" spans="1:20" ht="15.75" customHeight="1" thickBot="1">
      <c r="A336" s="888">
        <v>955</v>
      </c>
      <c r="B336" s="908" t="s">
        <v>378</v>
      </c>
      <c r="C336" s="928">
        <v>971</v>
      </c>
      <c r="D336" s="931">
        <v>414.7</v>
      </c>
      <c r="E336" s="914">
        <f t="shared" si="11"/>
        <v>1385.7</v>
      </c>
      <c r="F336" s="931"/>
      <c r="G336" s="933"/>
      <c r="H336" s="914">
        <v>150</v>
      </c>
      <c r="I336" s="928"/>
      <c r="J336" s="931"/>
      <c r="K336" s="915"/>
      <c r="L336" s="894">
        <v>1</v>
      </c>
      <c r="M336" s="895"/>
      <c r="N336" s="895"/>
      <c r="O336" s="895"/>
      <c r="P336" s="895"/>
      <c r="Q336" s="895"/>
      <c r="R336" s="895"/>
      <c r="S336" s="895"/>
      <c r="T336" s="895"/>
    </row>
    <row r="337" spans="1:20" ht="15.75" customHeight="1" thickBot="1">
      <c r="A337" s="888">
        <v>956</v>
      </c>
      <c r="B337" s="908" t="s">
        <v>379</v>
      </c>
      <c r="C337" s="928">
        <v>1692</v>
      </c>
      <c r="D337" s="931">
        <v>76</v>
      </c>
      <c r="E337" s="914">
        <f t="shared" si="11"/>
        <v>1768</v>
      </c>
      <c r="F337" s="931">
        <v>362.7</v>
      </c>
      <c r="G337" s="934">
        <v>388</v>
      </c>
      <c r="H337" s="914"/>
      <c r="I337" s="928">
        <v>663</v>
      </c>
      <c r="J337" s="931"/>
      <c r="K337" s="915"/>
      <c r="L337" s="894">
        <v>1</v>
      </c>
      <c r="M337" s="895"/>
      <c r="N337" s="895"/>
      <c r="O337" s="895"/>
      <c r="P337" s="895"/>
      <c r="Q337" s="895"/>
      <c r="R337" s="895"/>
      <c r="S337" s="895"/>
      <c r="T337" s="895"/>
    </row>
    <row r="338" spans="1:20" ht="15.75" customHeight="1" thickBot="1">
      <c r="A338" s="888">
        <v>957</v>
      </c>
      <c r="B338" s="908" t="s">
        <v>380</v>
      </c>
      <c r="C338" s="928">
        <v>1700</v>
      </c>
      <c r="D338" s="931">
        <v>75</v>
      </c>
      <c r="E338" s="914">
        <f t="shared" si="11"/>
        <v>1775</v>
      </c>
      <c r="F338" s="931">
        <v>413.3</v>
      </c>
      <c r="G338" s="934">
        <v>516</v>
      </c>
      <c r="H338" s="914"/>
      <c r="I338" s="928"/>
      <c r="J338" s="931"/>
      <c r="K338" s="915"/>
      <c r="L338" s="894">
        <v>1</v>
      </c>
      <c r="M338" s="895"/>
      <c r="N338" s="895"/>
      <c r="O338" s="895"/>
      <c r="P338" s="895"/>
      <c r="Q338" s="895"/>
      <c r="R338" s="895"/>
      <c r="S338" s="895"/>
      <c r="T338" s="895"/>
    </row>
    <row r="339" spans="1:20" ht="15.75" customHeight="1" thickBot="1">
      <c r="A339" s="888">
        <v>959</v>
      </c>
      <c r="B339" s="908" t="s">
        <v>381</v>
      </c>
      <c r="C339" s="928">
        <v>1942</v>
      </c>
      <c r="D339" s="931">
        <v>43</v>
      </c>
      <c r="E339" s="914">
        <f t="shared" si="11"/>
        <v>1985</v>
      </c>
      <c r="F339" s="931">
        <v>388</v>
      </c>
      <c r="G339" s="934">
        <v>647</v>
      </c>
      <c r="H339" s="914">
        <v>17</v>
      </c>
      <c r="I339" s="928"/>
      <c r="J339" s="931"/>
      <c r="K339" s="915"/>
      <c r="L339" s="894">
        <v>1</v>
      </c>
      <c r="M339" s="895"/>
      <c r="N339" s="895"/>
      <c r="O339" s="895"/>
      <c r="P339" s="895"/>
      <c r="Q339" s="895"/>
      <c r="R339" s="895"/>
      <c r="S339" s="895"/>
      <c r="T339" s="895"/>
    </row>
    <row r="340" spans="1:20" ht="15.75" customHeight="1" thickBot="1">
      <c r="A340" s="888">
        <v>960</v>
      </c>
      <c r="B340" s="908" t="s">
        <v>382</v>
      </c>
      <c r="C340" s="928">
        <v>1600</v>
      </c>
      <c r="D340" s="931">
        <v>88</v>
      </c>
      <c r="E340" s="914">
        <f t="shared" si="11"/>
        <v>1688</v>
      </c>
      <c r="F340" s="931">
        <v>233</v>
      </c>
      <c r="G340" s="934">
        <v>388</v>
      </c>
      <c r="H340" s="914">
        <v>17</v>
      </c>
      <c r="I340" s="928"/>
      <c r="J340" s="931"/>
      <c r="K340" s="915"/>
      <c r="L340" s="894">
        <v>1</v>
      </c>
      <c r="M340" s="895"/>
      <c r="N340" s="895"/>
      <c r="O340" s="895"/>
      <c r="P340" s="895"/>
      <c r="Q340" s="895"/>
      <c r="R340" s="895"/>
      <c r="S340" s="895"/>
      <c r="T340" s="895"/>
    </row>
    <row r="341" spans="1:20" ht="15.75" customHeight="1" thickBot="1">
      <c r="A341" s="888">
        <v>961</v>
      </c>
      <c r="B341" s="908" t="s">
        <v>383</v>
      </c>
      <c r="C341" s="928"/>
      <c r="D341" s="931"/>
      <c r="E341" s="914"/>
      <c r="F341" s="931">
        <v>347.6</v>
      </c>
      <c r="G341" s="933"/>
      <c r="H341" s="914"/>
      <c r="I341" s="928"/>
      <c r="J341" s="931"/>
      <c r="K341" s="915"/>
      <c r="L341" s="894">
        <v>1</v>
      </c>
      <c r="M341" s="895"/>
      <c r="N341" s="895"/>
      <c r="O341" s="895"/>
      <c r="P341" s="895"/>
      <c r="Q341" s="895"/>
      <c r="R341" s="895"/>
      <c r="S341" s="895"/>
      <c r="T341" s="895"/>
    </row>
    <row r="342" spans="1:20" ht="15.75" customHeight="1" thickBot="1">
      <c r="A342" s="888">
        <v>962</v>
      </c>
      <c r="B342" s="908" t="s">
        <v>384</v>
      </c>
      <c r="C342" s="928"/>
      <c r="D342" s="931"/>
      <c r="E342" s="914"/>
      <c r="F342" s="931"/>
      <c r="G342" s="933"/>
      <c r="H342" s="914"/>
      <c r="I342" s="928"/>
      <c r="J342" s="931"/>
      <c r="K342" s="915"/>
      <c r="L342" s="894">
        <v>1</v>
      </c>
      <c r="M342" s="895"/>
      <c r="N342" s="895"/>
      <c r="O342" s="895"/>
      <c r="P342" s="895"/>
      <c r="Q342" s="895"/>
      <c r="R342" s="895"/>
      <c r="S342" s="895"/>
      <c r="T342" s="895"/>
    </row>
    <row r="343" spans="1:20" ht="15.75" customHeight="1" thickBot="1">
      <c r="A343" s="888">
        <v>963</v>
      </c>
      <c r="B343" s="908" t="s">
        <v>385</v>
      </c>
      <c r="C343" s="929">
        <v>951</v>
      </c>
      <c r="D343" s="931">
        <v>414.7</v>
      </c>
      <c r="E343" s="914">
        <f>C343+D343</f>
        <v>1365.7</v>
      </c>
      <c r="F343" s="931"/>
      <c r="G343" s="933"/>
      <c r="H343" s="914"/>
      <c r="I343" s="928"/>
      <c r="J343" s="931"/>
      <c r="K343" s="915"/>
      <c r="L343" s="894">
        <v>1</v>
      </c>
      <c r="M343" s="895"/>
      <c r="N343" s="895"/>
      <c r="O343" s="895"/>
      <c r="P343" s="895"/>
      <c r="Q343" s="895"/>
      <c r="R343" s="895"/>
      <c r="S343" s="895"/>
      <c r="T343" s="895"/>
    </row>
    <row r="344" spans="1:20" ht="15.75" customHeight="1" thickBot="1">
      <c r="A344" s="888">
        <v>964</v>
      </c>
      <c r="B344" s="908" t="s">
        <v>386</v>
      </c>
      <c r="C344" s="928">
        <v>1500</v>
      </c>
      <c r="D344" s="931">
        <v>101</v>
      </c>
      <c r="E344" s="914">
        <f>C344+D344</f>
        <v>1601</v>
      </c>
      <c r="F344" s="931">
        <v>310</v>
      </c>
      <c r="G344" s="933">
        <v>388</v>
      </c>
      <c r="H344" s="914">
        <v>17</v>
      </c>
      <c r="I344" s="928"/>
      <c r="J344" s="931"/>
      <c r="K344" s="915"/>
      <c r="L344" s="894">
        <v>1</v>
      </c>
      <c r="M344" s="895"/>
      <c r="N344" s="895"/>
      <c r="O344" s="895"/>
      <c r="P344" s="895"/>
      <c r="Q344" s="895"/>
      <c r="R344" s="895"/>
      <c r="S344" s="895"/>
      <c r="T344" s="895"/>
    </row>
    <row r="345" spans="1:20" ht="15.75" customHeight="1" thickBot="1">
      <c r="A345" s="888">
        <v>965</v>
      </c>
      <c r="B345" s="908" t="s">
        <v>387</v>
      </c>
      <c r="C345" s="928">
        <v>1700</v>
      </c>
      <c r="D345" s="931">
        <v>75</v>
      </c>
      <c r="E345" s="914">
        <f>C345+D345</f>
        <v>1775</v>
      </c>
      <c r="F345" s="931">
        <v>310</v>
      </c>
      <c r="G345" s="933">
        <v>388</v>
      </c>
      <c r="H345" s="914">
        <v>17</v>
      </c>
      <c r="I345" s="928"/>
      <c r="J345" s="931"/>
      <c r="K345" s="915"/>
      <c r="L345" s="894">
        <v>1</v>
      </c>
      <c r="M345" s="895"/>
      <c r="N345" s="895"/>
      <c r="O345" s="895"/>
      <c r="P345" s="895"/>
      <c r="Q345" s="895"/>
      <c r="R345" s="895"/>
      <c r="S345" s="895"/>
      <c r="T345" s="895"/>
    </row>
    <row r="346" spans="1:20" ht="15.75" customHeight="1" thickBot="1">
      <c r="A346" s="888">
        <v>966</v>
      </c>
      <c r="B346" s="908" t="s">
        <v>388</v>
      </c>
      <c r="C346" s="928"/>
      <c r="D346" s="931"/>
      <c r="E346" s="914"/>
      <c r="F346" s="931">
        <v>434.5</v>
      </c>
      <c r="G346" s="933"/>
      <c r="H346" s="914"/>
      <c r="I346" s="928"/>
      <c r="J346" s="931"/>
      <c r="K346" s="915"/>
      <c r="L346" s="894">
        <v>1</v>
      </c>
      <c r="M346" s="895"/>
      <c r="N346" s="895"/>
      <c r="O346" s="895"/>
      <c r="P346" s="895"/>
      <c r="Q346" s="895"/>
      <c r="R346" s="895"/>
      <c r="S346" s="895"/>
      <c r="T346" s="895"/>
    </row>
    <row r="347" spans="1:20" ht="15.75" customHeight="1" thickBot="1">
      <c r="A347" s="888">
        <v>967</v>
      </c>
      <c r="B347" s="908" t="s">
        <v>389</v>
      </c>
      <c r="C347" s="928"/>
      <c r="D347" s="931"/>
      <c r="E347" s="914"/>
      <c r="F347" s="931"/>
      <c r="G347" s="933"/>
      <c r="H347" s="914"/>
      <c r="I347" s="928"/>
      <c r="J347" s="931"/>
      <c r="K347" s="915"/>
      <c r="L347" s="894">
        <v>1</v>
      </c>
      <c r="M347" s="895"/>
      <c r="N347" s="895"/>
      <c r="O347" s="895"/>
      <c r="P347" s="895"/>
      <c r="Q347" s="895"/>
      <c r="R347" s="895"/>
      <c r="S347" s="895"/>
      <c r="T347" s="895"/>
    </row>
    <row r="348" spans="1:20" ht="15.75" customHeight="1" thickBot="1">
      <c r="A348" s="888">
        <v>969</v>
      </c>
      <c r="B348" s="908" t="s">
        <v>390</v>
      </c>
      <c r="C348" s="928">
        <v>1942</v>
      </c>
      <c r="D348" s="931">
        <v>43</v>
      </c>
      <c r="E348" s="914">
        <f t="shared" ref="E348:E361" si="12">C348+D348</f>
        <v>1985</v>
      </c>
      <c r="F348" s="931"/>
      <c r="G348" s="933">
        <v>647</v>
      </c>
      <c r="H348" s="914">
        <v>150</v>
      </c>
      <c r="I348" s="928"/>
      <c r="J348" s="931"/>
      <c r="K348" s="915"/>
      <c r="L348" s="894">
        <v>1</v>
      </c>
      <c r="M348" s="895"/>
      <c r="N348" s="895"/>
      <c r="O348" s="895"/>
      <c r="P348" s="895"/>
      <c r="Q348" s="895"/>
      <c r="R348" s="895"/>
      <c r="S348" s="895"/>
      <c r="T348" s="895"/>
    </row>
    <row r="349" spans="1:20" ht="15.75" customHeight="1" thickBot="1">
      <c r="A349" s="888">
        <v>970</v>
      </c>
      <c r="B349" s="908" t="s">
        <v>391</v>
      </c>
      <c r="C349" s="929">
        <v>1480</v>
      </c>
      <c r="D349" s="931">
        <v>104</v>
      </c>
      <c r="E349" s="914">
        <f t="shared" si="12"/>
        <v>1584</v>
      </c>
      <c r="F349" s="931"/>
      <c r="G349" s="933"/>
      <c r="H349" s="914"/>
      <c r="I349" s="928"/>
      <c r="J349" s="931"/>
      <c r="K349" s="915"/>
      <c r="L349" s="894">
        <v>1</v>
      </c>
      <c r="M349" s="895"/>
      <c r="N349" s="895"/>
      <c r="O349" s="895"/>
      <c r="P349" s="895"/>
      <c r="Q349" s="895"/>
      <c r="R349" s="895"/>
      <c r="S349" s="895"/>
      <c r="T349" s="895"/>
    </row>
    <row r="350" spans="1:20" ht="15.75" customHeight="1" thickBot="1">
      <c r="A350" s="888">
        <v>971</v>
      </c>
      <c r="B350" s="908" t="s">
        <v>392</v>
      </c>
      <c r="C350" s="928">
        <v>1400</v>
      </c>
      <c r="D350" s="931">
        <v>114</v>
      </c>
      <c r="E350" s="914">
        <f t="shared" si="12"/>
        <v>1514</v>
      </c>
      <c r="F350" s="931">
        <v>310.7</v>
      </c>
      <c r="G350" s="933">
        <v>388</v>
      </c>
      <c r="H350" s="914">
        <v>150</v>
      </c>
      <c r="I350" s="928"/>
      <c r="J350" s="931"/>
      <c r="K350" s="915"/>
      <c r="L350" s="894">
        <v>1</v>
      </c>
      <c r="M350" s="895"/>
      <c r="N350" s="895"/>
      <c r="O350" s="895"/>
      <c r="P350" s="895"/>
      <c r="Q350" s="895"/>
      <c r="R350" s="895"/>
      <c r="S350" s="895"/>
      <c r="T350" s="895"/>
    </row>
    <row r="351" spans="1:20" ht="15.75" customHeight="1" thickBot="1">
      <c r="A351" s="888">
        <v>972</v>
      </c>
      <c r="B351" s="908" t="s">
        <v>393</v>
      </c>
      <c r="C351" s="928">
        <v>1692</v>
      </c>
      <c r="D351" s="931">
        <v>76</v>
      </c>
      <c r="E351" s="914">
        <f t="shared" si="12"/>
        <v>1768</v>
      </c>
      <c r="F351" s="931">
        <v>362.7</v>
      </c>
      <c r="G351" s="933">
        <v>453</v>
      </c>
      <c r="H351" s="914">
        <v>17</v>
      </c>
      <c r="I351" s="928"/>
      <c r="J351" s="931"/>
      <c r="K351" s="915"/>
      <c r="L351" s="894">
        <v>1</v>
      </c>
      <c r="M351" s="895"/>
      <c r="N351" s="895"/>
      <c r="O351" s="895"/>
      <c r="P351" s="895"/>
      <c r="Q351" s="895"/>
      <c r="R351" s="895"/>
      <c r="S351" s="895"/>
      <c r="T351" s="895"/>
    </row>
    <row r="352" spans="1:20" ht="15.75" customHeight="1" thickBot="1">
      <c r="A352" s="888">
        <v>973</v>
      </c>
      <c r="B352" s="908" t="s">
        <v>394</v>
      </c>
      <c r="C352" s="928">
        <v>1592</v>
      </c>
      <c r="D352" s="931">
        <v>89</v>
      </c>
      <c r="E352" s="914">
        <f t="shared" si="12"/>
        <v>1681</v>
      </c>
      <c r="F352" s="931">
        <v>310.7</v>
      </c>
      <c r="G352" s="933">
        <v>388</v>
      </c>
      <c r="H352" s="914">
        <v>17</v>
      </c>
      <c r="I352" s="928"/>
      <c r="J352" s="931"/>
      <c r="K352" s="915"/>
      <c r="L352" s="894">
        <v>1</v>
      </c>
      <c r="M352" s="895"/>
      <c r="N352" s="895"/>
      <c r="O352" s="895"/>
      <c r="P352" s="895"/>
      <c r="Q352" s="895"/>
      <c r="R352" s="895"/>
      <c r="S352" s="895"/>
      <c r="T352" s="895"/>
    </row>
    <row r="353" spans="1:20" ht="15.75" customHeight="1" thickBot="1">
      <c r="A353" s="888">
        <v>974</v>
      </c>
      <c r="B353" s="908" t="s">
        <v>395</v>
      </c>
      <c r="C353" s="928">
        <v>1500</v>
      </c>
      <c r="D353" s="931">
        <v>101</v>
      </c>
      <c r="E353" s="914">
        <f t="shared" si="12"/>
        <v>1601</v>
      </c>
      <c r="F353" s="931"/>
      <c r="G353" s="933"/>
      <c r="H353" s="914">
        <v>150</v>
      </c>
      <c r="I353" s="928"/>
      <c r="J353" s="931"/>
      <c r="K353" s="915"/>
      <c r="L353" s="894">
        <v>1</v>
      </c>
      <c r="M353" s="895"/>
      <c r="N353" s="895"/>
      <c r="O353" s="895"/>
      <c r="P353" s="895"/>
      <c r="Q353" s="895"/>
      <c r="R353" s="895"/>
      <c r="S353" s="895"/>
      <c r="T353" s="895"/>
    </row>
    <row r="354" spans="1:20" ht="15.75" customHeight="1" thickBot="1">
      <c r="A354" s="888">
        <v>976</v>
      </c>
      <c r="B354" s="908" t="s">
        <v>396</v>
      </c>
      <c r="C354" s="928">
        <v>971</v>
      </c>
      <c r="D354" s="931">
        <v>414.7</v>
      </c>
      <c r="E354" s="914">
        <f t="shared" si="12"/>
        <v>1385.7</v>
      </c>
      <c r="F354" s="931"/>
      <c r="G354" s="933"/>
      <c r="H354" s="914"/>
      <c r="I354" s="928"/>
      <c r="J354" s="931"/>
      <c r="K354" s="915"/>
      <c r="L354" s="894">
        <v>1</v>
      </c>
      <c r="M354" s="895"/>
      <c r="N354" s="895"/>
      <c r="O354" s="895"/>
      <c r="P354" s="895"/>
      <c r="Q354" s="895"/>
      <c r="R354" s="895"/>
      <c r="S354" s="895"/>
      <c r="T354" s="895"/>
    </row>
    <row r="355" spans="1:20" ht="15.75" customHeight="1" thickBot="1">
      <c r="A355" s="888">
        <v>977</v>
      </c>
      <c r="B355" s="908" t="s">
        <v>397</v>
      </c>
      <c r="C355" s="928">
        <v>971</v>
      </c>
      <c r="D355" s="931">
        <v>414.7</v>
      </c>
      <c r="E355" s="914">
        <f t="shared" si="12"/>
        <v>1385.7</v>
      </c>
      <c r="F355" s="931"/>
      <c r="G355" s="933"/>
      <c r="H355" s="914"/>
      <c r="I355" s="928"/>
      <c r="J355" s="931"/>
      <c r="K355" s="915"/>
      <c r="L355" s="894">
        <v>1</v>
      </c>
      <c r="M355" s="895"/>
      <c r="N355" s="895"/>
      <c r="O355" s="895"/>
      <c r="P355" s="895"/>
      <c r="Q355" s="895"/>
      <c r="R355" s="895"/>
      <c r="S355" s="895"/>
      <c r="T355" s="895"/>
    </row>
    <row r="356" spans="1:20" ht="15.75" customHeight="1" thickBot="1">
      <c r="A356" s="888">
        <v>978</v>
      </c>
      <c r="B356" s="908" t="s">
        <v>251</v>
      </c>
      <c r="C356" s="928">
        <v>971</v>
      </c>
      <c r="D356" s="931">
        <v>414.7</v>
      </c>
      <c r="E356" s="914">
        <f t="shared" si="12"/>
        <v>1385.7</v>
      </c>
      <c r="F356" s="931"/>
      <c r="G356" s="933"/>
      <c r="H356" s="914"/>
      <c r="I356" s="928"/>
      <c r="J356" s="931"/>
      <c r="K356" s="915"/>
      <c r="L356" s="894">
        <v>1</v>
      </c>
      <c r="M356" s="895"/>
      <c r="N356" s="895"/>
      <c r="O356" s="895"/>
      <c r="P356" s="895"/>
      <c r="Q356" s="895"/>
      <c r="R356" s="895"/>
      <c r="S356" s="895"/>
      <c r="T356" s="895"/>
    </row>
    <row r="357" spans="1:20" ht="15.75" customHeight="1" thickBot="1">
      <c r="A357" s="888">
        <v>979</v>
      </c>
      <c r="B357" s="908" t="s">
        <v>252</v>
      </c>
      <c r="C357" s="928">
        <v>1400</v>
      </c>
      <c r="D357" s="931">
        <v>114</v>
      </c>
      <c r="E357" s="914">
        <f t="shared" si="12"/>
        <v>1514</v>
      </c>
      <c r="F357" s="931">
        <v>310.7</v>
      </c>
      <c r="G357" s="928">
        <v>388</v>
      </c>
      <c r="H357" s="914">
        <v>17</v>
      </c>
      <c r="I357" s="928"/>
      <c r="J357" s="931"/>
      <c r="K357" s="915"/>
      <c r="L357" s="894">
        <v>1</v>
      </c>
      <c r="M357" s="895"/>
      <c r="N357" s="895"/>
      <c r="O357" s="895"/>
      <c r="P357" s="895"/>
      <c r="Q357" s="895"/>
      <c r="R357" s="895"/>
      <c r="S357" s="895"/>
      <c r="T357" s="895"/>
    </row>
    <row r="358" spans="1:20" ht="15.75" customHeight="1" thickBot="1">
      <c r="A358" s="888">
        <v>980</v>
      </c>
      <c r="B358" s="908" t="s">
        <v>253</v>
      </c>
      <c r="C358" s="928">
        <v>1300</v>
      </c>
      <c r="D358" s="931">
        <v>127</v>
      </c>
      <c r="E358" s="914">
        <f t="shared" si="12"/>
        <v>1427</v>
      </c>
      <c r="F358" s="931">
        <v>310.7</v>
      </c>
      <c r="G358" s="928">
        <v>388</v>
      </c>
      <c r="H358" s="914">
        <v>17</v>
      </c>
      <c r="I358" s="928"/>
      <c r="J358" s="931"/>
      <c r="K358" s="915"/>
      <c r="L358" s="894">
        <v>1</v>
      </c>
      <c r="M358" s="895"/>
      <c r="N358" s="895"/>
      <c r="O358" s="895"/>
      <c r="P358" s="895"/>
      <c r="Q358" s="895"/>
      <c r="R358" s="895"/>
      <c r="S358" s="895"/>
      <c r="T358" s="895"/>
    </row>
    <row r="359" spans="1:20" ht="15.75" customHeight="1" thickBot="1">
      <c r="A359" s="888">
        <v>981</v>
      </c>
      <c r="B359" s="908" t="s">
        <v>254</v>
      </c>
      <c r="C359" s="928">
        <v>1250</v>
      </c>
      <c r="D359" s="931">
        <v>134</v>
      </c>
      <c r="E359" s="914">
        <f t="shared" si="12"/>
        <v>1384</v>
      </c>
      <c r="F359" s="931">
        <v>310.7</v>
      </c>
      <c r="G359" s="933">
        <v>388</v>
      </c>
      <c r="H359" s="914">
        <v>17</v>
      </c>
      <c r="I359" s="928"/>
      <c r="J359" s="931"/>
      <c r="K359" s="915"/>
      <c r="L359" s="894">
        <v>1</v>
      </c>
      <c r="M359" s="895"/>
      <c r="N359" s="895"/>
      <c r="O359" s="895"/>
      <c r="P359" s="895"/>
      <c r="Q359" s="895"/>
      <c r="R359" s="895"/>
      <c r="S359" s="895"/>
      <c r="T359" s="895"/>
    </row>
    <row r="360" spans="1:20" ht="15.75" customHeight="1" thickBot="1">
      <c r="A360" s="888">
        <v>982</v>
      </c>
      <c r="B360" s="908" t="s">
        <v>255</v>
      </c>
      <c r="C360" s="928">
        <v>971</v>
      </c>
      <c r="D360" s="931">
        <v>414.7</v>
      </c>
      <c r="E360" s="914">
        <f t="shared" si="12"/>
        <v>1385.7</v>
      </c>
      <c r="F360" s="931"/>
      <c r="G360" s="933"/>
      <c r="H360" s="914">
        <v>17</v>
      </c>
      <c r="I360" s="928"/>
      <c r="J360" s="931"/>
      <c r="K360" s="915"/>
      <c r="L360" s="894">
        <v>1</v>
      </c>
      <c r="M360" s="895"/>
      <c r="N360" s="895"/>
      <c r="O360" s="895"/>
      <c r="P360" s="895"/>
      <c r="Q360" s="895"/>
      <c r="R360" s="895"/>
      <c r="S360" s="895"/>
      <c r="T360" s="895"/>
    </row>
    <row r="361" spans="1:20" ht="15.75" customHeight="1" thickBot="1">
      <c r="A361" s="888">
        <v>983</v>
      </c>
      <c r="B361" s="908" t="s">
        <v>256</v>
      </c>
      <c r="C361" s="928">
        <v>690</v>
      </c>
      <c r="D361" s="931">
        <v>414.7</v>
      </c>
      <c r="E361" s="914">
        <f t="shared" si="12"/>
        <v>1104.7</v>
      </c>
      <c r="F361" s="931"/>
      <c r="G361" s="933"/>
      <c r="H361" s="914"/>
      <c r="I361" s="928"/>
      <c r="J361" s="931"/>
      <c r="K361" s="915"/>
      <c r="L361" s="894">
        <v>1</v>
      </c>
      <c r="M361" s="895"/>
      <c r="N361" s="895"/>
      <c r="O361" s="895"/>
      <c r="P361" s="895"/>
      <c r="Q361" s="895"/>
      <c r="R361" s="895"/>
      <c r="S361" s="895"/>
      <c r="T361" s="895"/>
    </row>
    <row r="362" spans="1:20" ht="15.75" customHeight="1" thickBot="1">
      <c r="A362" s="888">
        <v>984</v>
      </c>
      <c r="B362" s="908" t="s">
        <v>257</v>
      </c>
      <c r="C362" s="928"/>
      <c r="D362" s="931"/>
      <c r="E362" s="914"/>
      <c r="F362" s="931"/>
      <c r="G362" s="933"/>
      <c r="H362" s="914"/>
      <c r="I362" s="928"/>
      <c r="J362" s="931"/>
      <c r="K362" s="915"/>
      <c r="L362" s="894">
        <v>1</v>
      </c>
      <c r="M362" s="895"/>
      <c r="N362" s="895"/>
      <c r="O362" s="895"/>
      <c r="P362" s="895"/>
      <c r="Q362" s="895"/>
      <c r="R362" s="895"/>
      <c r="S362" s="895"/>
      <c r="T362" s="895"/>
    </row>
    <row r="363" spans="1:20" ht="15.75" customHeight="1" thickBot="1">
      <c r="A363" s="888">
        <v>985</v>
      </c>
      <c r="B363" s="908" t="s">
        <v>258</v>
      </c>
      <c r="C363" s="928">
        <v>2913</v>
      </c>
      <c r="D363" s="931">
        <v>0</v>
      </c>
      <c r="E363" s="914">
        <f>C363+D363</f>
        <v>2913</v>
      </c>
      <c r="F363" s="931"/>
      <c r="G363" s="933"/>
      <c r="H363" s="914"/>
      <c r="I363" s="928"/>
      <c r="J363" s="931"/>
      <c r="K363" s="915"/>
      <c r="L363" s="894">
        <v>1</v>
      </c>
      <c r="M363" s="895"/>
      <c r="N363" s="895"/>
      <c r="O363" s="895"/>
      <c r="P363" s="895"/>
      <c r="Q363" s="895"/>
      <c r="R363" s="895"/>
      <c r="S363" s="895"/>
      <c r="T363" s="895"/>
    </row>
    <row r="364" spans="1:20" ht="15.75" customHeight="1" thickBot="1">
      <c r="A364" s="888">
        <v>986</v>
      </c>
      <c r="B364" s="908" t="s">
        <v>259</v>
      </c>
      <c r="C364" s="928">
        <v>644</v>
      </c>
      <c r="D364" s="931">
        <v>414.7</v>
      </c>
      <c r="E364" s="914">
        <f>C364+D364</f>
        <v>1058.7</v>
      </c>
      <c r="F364" s="931"/>
      <c r="G364" s="933"/>
      <c r="H364" s="914"/>
      <c r="I364" s="928"/>
      <c r="J364" s="931"/>
      <c r="K364" s="915"/>
      <c r="L364" s="894">
        <v>1</v>
      </c>
      <c r="M364" s="895"/>
      <c r="N364" s="895"/>
      <c r="O364" s="895"/>
      <c r="P364" s="895"/>
      <c r="Q364" s="895"/>
      <c r="R364" s="895"/>
      <c r="S364" s="895"/>
      <c r="T364" s="895"/>
    </row>
    <row r="365" spans="1:20" ht="15.75" customHeight="1" thickBot="1">
      <c r="A365" s="888">
        <v>987</v>
      </c>
      <c r="B365" s="908" t="s">
        <v>260</v>
      </c>
      <c r="C365" s="929">
        <v>1170</v>
      </c>
      <c r="D365" s="931">
        <v>144</v>
      </c>
      <c r="E365" s="914">
        <f>C365+D365</f>
        <v>1314</v>
      </c>
      <c r="F365" s="931"/>
      <c r="G365" s="933"/>
      <c r="H365" s="914"/>
      <c r="I365" s="928"/>
      <c r="J365" s="931"/>
      <c r="K365" s="915"/>
      <c r="L365" s="894">
        <v>1</v>
      </c>
      <c r="M365" s="895"/>
      <c r="N365" s="895"/>
      <c r="O365" s="895"/>
      <c r="P365" s="895"/>
      <c r="Q365" s="895"/>
      <c r="R365" s="895"/>
      <c r="S365" s="895"/>
      <c r="T365" s="895"/>
    </row>
    <row r="366" spans="1:20" ht="15.75" customHeight="1" thickBot="1">
      <c r="A366" s="888">
        <v>990</v>
      </c>
      <c r="B366" s="908" t="s">
        <v>261</v>
      </c>
      <c r="C366" s="928"/>
      <c r="D366" s="931"/>
      <c r="E366" s="914"/>
      <c r="F366" s="931"/>
      <c r="G366" s="933"/>
      <c r="H366" s="914"/>
      <c r="I366" s="928"/>
      <c r="J366" s="931"/>
      <c r="K366" s="915"/>
      <c r="L366" s="894">
        <v>1</v>
      </c>
      <c r="M366" s="895"/>
      <c r="N366" s="895"/>
      <c r="O366" s="895"/>
      <c r="P366" s="895"/>
      <c r="Q366" s="895"/>
      <c r="R366" s="895"/>
      <c r="S366" s="895"/>
      <c r="T366" s="895"/>
    </row>
    <row r="367" spans="1:20" ht="15.75" customHeight="1" thickBot="1">
      <c r="A367" s="888">
        <v>991</v>
      </c>
      <c r="B367" s="908" t="s">
        <v>262</v>
      </c>
      <c r="C367" s="928"/>
      <c r="D367" s="931"/>
      <c r="E367" s="914"/>
      <c r="F367" s="931"/>
      <c r="G367" s="933"/>
      <c r="H367" s="914"/>
      <c r="I367" s="928"/>
      <c r="J367" s="931"/>
      <c r="K367" s="915"/>
      <c r="L367" s="894">
        <v>1</v>
      </c>
      <c r="M367" s="895"/>
      <c r="N367" s="895"/>
      <c r="O367" s="895"/>
      <c r="P367" s="895"/>
      <c r="Q367" s="895"/>
      <c r="R367" s="895"/>
      <c r="S367" s="895"/>
      <c r="T367" s="895"/>
    </row>
    <row r="368" spans="1:20" ht="15.75" customHeight="1" thickBot="1">
      <c r="A368" s="888">
        <v>992</v>
      </c>
      <c r="B368" s="908" t="s">
        <v>263</v>
      </c>
      <c r="C368" s="928">
        <v>1500</v>
      </c>
      <c r="D368" s="931">
        <v>101</v>
      </c>
      <c r="E368" s="914">
        <f>C368+D368</f>
        <v>1601</v>
      </c>
      <c r="F368" s="931">
        <v>310.7</v>
      </c>
      <c r="G368" s="928">
        <v>388</v>
      </c>
      <c r="H368" s="914"/>
      <c r="I368" s="928"/>
      <c r="J368" s="931"/>
      <c r="K368" s="915"/>
      <c r="L368" s="894">
        <v>1</v>
      </c>
      <c r="M368" s="895"/>
      <c r="N368" s="895"/>
      <c r="O368" s="895"/>
      <c r="P368" s="895"/>
      <c r="Q368" s="895"/>
      <c r="R368" s="895"/>
      <c r="S368" s="895"/>
      <c r="T368" s="895"/>
    </row>
    <row r="369" spans="1:20" ht="15.75" customHeight="1" thickBot="1">
      <c r="A369" s="888">
        <v>993</v>
      </c>
      <c r="B369" s="908" t="s">
        <v>264</v>
      </c>
      <c r="C369" s="928">
        <v>1400</v>
      </c>
      <c r="D369" s="931">
        <v>114</v>
      </c>
      <c r="E369" s="914">
        <f>C369+D369</f>
        <v>1514</v>
      </c>
      <c r="F369" s="931"/>
      <c r="G369" s="928">
        <v>388</v>
      </c>
      <c r="H369" s="914"/>
      <c r="I369" s="928">
        <v>657</v>
      </c>
      <c r="J369" s="931"/>
      <c r="K369" s="915"/>
      <c r="L369" s="894">
        <v>1</v>
      </c>
      <c r="M369" s="895"/>
      <c r="N369" s="895"/>
      <c r="O369" s="895"/>
      <c r="P369" s="895"/>
      <c r="Q369" s="895"/>
      <c r="R369" s="895"/>
      <c r="S369" s="895"/>
      <c r="T369" s="895"/>
    </row>
    <row r="370" spans="1:20" ht="15.75" customHeight="1" thickBot="1">
      <c r="A370" s="888">
        <v>994</v>
      </c>
      <c r="B370" s="908" t="s">
        <v>265</v>
      </c>
      <c r="C370" s="928">
        <v>1250</v>
      </c>
      <c r="D370" s="931">
        <v>134</v>
      </c>
      <c r="E370" s="914">
        <f>C370+D370</f>
        <v>1384</v>
      </c>
      <c r="F370" s="931">
        <v>347.6</v>
      </c>
      <c r="G370" s="928">
        <v>388</v>
      </c>
      <c r="H370" s="914"/>
      <c r="I370" s="928">
        <v>657</v>
      </c>
      <c r="J370" s="931"/>
      <c r="K370" s="915"/>
      <c r="L370" s="894">
        <v>1</v>
      </c>
      <c r="M370" s="895"/>
      <c r="N370" s="895"/>
      <c r="O370" s="895"/>
      <c r="P370" s="895"/>
      <c r="Q370" s="895"/>
      <c r="R370" s="895"/>
      <c r="S370" s="895"/>
      <c r="T370" s="895"/>
    </row>
    <row r="371" spans="1:20" ht="15.75" customHeight="1" thickBot="1">
      <c r="A371" s="888">
        <v>995</v>
      </c>
      <c r="B371" s="908" t="s">
        <v>266</v>
      </c>
      <c r="C371" s="929">
        <v>1564</v>
      </c>
      <c r="D371" s="931">
        <v>93</v>
      </c>
      <c r="E371" s="914">
        <f>C371+D371</f>
        <v>1657</v>
      </c>
      <c r="F371" s="931"/>
      <c r="G371" s="933"/>
      <c r="H371" s="914"/>
      <c r="I371" s="928"/>
      <c r="J371" s="931"/>
      <c r="K371" s="915"/>
      <c r="L371" s="894">
        <v>1</v>
      </c>
      <c r="M371" s="895"/>
      <c r="N371" s="895"/>
      <c r="O371" s="895"/>
      <c r="P371" s="895"/>
      <c r="Q371" s="895"/>
      <c r="R371" s="895"/>
      <c r="S371" s="895"/>
      <c r="T371" s="895"/>
    </row>
    <row r="372" spans="1:20" ht="15.75" customHeight="1">
      <c r="A372" s="916">
        <v>999</v>
      </c>
      <c r="B372" s="917" t="s">
        <v>267</v>
      </c>
      <c r="C372" s="930">
        <v>1250</v>
      </c>
      <c r="D372" s="932">
        <v>134</v>
      </c>
      <c r="E372" s="918">
        <f>C372+D372</f>
        <v>1384</v>
      </c>
      <c r="F372" s="932">
        <v>310.7</v>
      </c>
      <c r="G372" s="930">
        <v>388</v>
      </c>
      <c r="H372" s="918"/>
      <c r="I372" s="930"/>
      <c r="J372" s="932"/>
      <c r="K372" s="919"/>
      <c r="L372" s="894">
        <v>1</v>
      </c>
      <c r="M372" s="895"/>
      <c r="N372" s="895"/>
      <c r="O372" s="895"/>
      <c r="P372" s="895"/>
      <c r="Q372" s="895"/>
      <c r="R372" s="895"/>
      <c r="S372" s="895"/>
      <c r="T372" s="895"/>
    </row>
    <row r="373" spans="1:20" ht="15.75" customHeight="1">
      <c r="A373" s="920"/>
      <c r="B373" s="921"/>
      <c r="C373" s="922"/>
      <c r="D373" s="923"/>
      <c r="E373" s="922"/>
      <c r="F373" s="922"/>
      <c r="G373" s="924"/>
      <c r="H373" s="922"/>
      <c r="I373" s="925"/>
      <c r="J373" s="926"/>
      <c r="K373" s="927"/>
      <c r="L373" s="3"/>
      <c r="M373" s="7"/>
      <c r="N373" s="3"/>
      <c r="O373" s="3"/>
      <c r="P373" s="3"/>
    </row>
    <row r="374" spans="1:20" ht="15.75" customHeight="1">
      <c r="A374" s="3"/>
      <c r="B374" s="3"/>
      <c r="C374" s="3"/>
      <c r="D374" s="9"/>
      <c r="E374" s="3"/>
      <c r="F374" s="3"/>
      <c r="G374" s="9"/>
      <c r="H374" s="3"/>
      <c r="I374" s="10"/>
      <c r="J374" s="3"/>
      <c r="K374" s="3"/>
      <c r="L374" s="3"/>
      <c r="M374" s="3"/>
      <c r="N374" s="3"/>
      <c r="O374" s="3"/>
      <c r="P374" s="3"/>
    </row>
    <row r="375" spans="1:20" ht="15.75" customHeight="1">
      <c r="A375" s="3"/>
      <c r="B375" s="3"/>
      <c r="C375" s="3"/>
      <c r="D375" s="9"/>
      <c r="E375" s="3"/>
      <c r="F375" s="3"/>
      <c r="G375" s="9"/>
      <c r="H375" s="3"/>
      <c r="I375" s="10"/>
      <c r="J375" s="3"/>
      <c r="K375" s="3"/>
      <c r="L375" s="3"/>
      <c r="M375" s="3"/>
      <c r="N375" s="3"/>
      <c r="O375" s="3"/>
      <c r="P375" s="3"/>
    </row>
    <row r="376" spans="1:20" ht="15.75" customHeight="1">
      <c r="A376" s="3"/>
      <c r="B376" s="3"/>
      <c r="C376" s="3"/>
      <c r="D376" s="9"/>
      <c r="E376" s="3"/>
      <c r="F376" s="3"/>
      <c r="G376" s="9"/>
      <c r="H376" s="3"/>
      <c r="I376" s="10"/>
      <c r="J376" s="3"/>
      <c r="K376" s="3"/>
      <c r="L376" s="3"/>
      <c r="M376" s="3"/>
      <c r="N376" s="3"/>
      <c r="O376" s="3"/>
      <c r="P376" s="3"/>
    </row>
    <row r="377" spans="1:20" ht="15.75" customHeight="1">
      <c r="A377" s="3"/>
      <c r="B377" s="3"/>
      <c r="C377" s="3"/>
      <c r="D377" s="9"/>
      <c r="E377" s="3"/>
      <c r="F377" s="3"/>
      <c r="G377" s="9"/>
      <c r="H377" s="3"/>
      <c r="I377" s="10"/>
      <c r="J377" s="3"/>
      <c r="K377" s="3"/>
      <c r="L377" s="3"/>
      <c r="M377" s="3"/>
      <c r="N377" s="3"/>
      <c r="O377" s="3"/>
      <c r="P377" s="3"/>
    </row>
  </sheetData>
  <sheetProtection algorithmName="SHA-512" hashValue="VhmqZyhzqPdcAgveq7Zwwlw3CIU1YXVDR2hYFsUc8ttHCiZZPhtTyBLUrzym6Q/yGQXvek8rCB7gQFqpIl/k2w==" saltValue="COGU3EcYQ306jTb8P+PW2g==" spinCount="100000" sheet="1" selectLockedCells="1"/>
  <sortState xmlns:xlrd2="http://schemas.microsoft.com/office/spreadsheetml/2017/richdata2" ref="A3:T377">
    <sortCondition ref="A3:A377"/>
    <sortCondition ref="L3:L377"/>
  </sortState>
  <conditionalFormatting sqref="K146 K144 K140:K141 K137:K138 K5:K135 K1:K2 K148:K373">
    <cfRule type="cellIs" dxfId="6" priority="8" operator="greaterThan">
      <formula>0</formula>
    </cfRule>
  </conditionalFormatting>
  <conditionalFormatting sqref="K136">
    <cfRule type="cellIs" dxfId="5" priority="7" operator="greaterThan">
      <formula>0</formula>
    </cfRule>
  </conditionalFormatting>
  <conditionalFormatting sqref="K139">
    <cfRule type="cellIs" dxfId="4" priority="6" operator="greaterThan">
      <formula>0</formula>
    </cfRule>
  </conditionalFormatting>
  <conditionalFormatting sqref="K142">
    <cfRule type="cellIs" dxfId="3" priority="5" operator="greaterThan">
      <formula>0</formula>
    </cfRule>
  </conditionalFormatting>
  <conditionalFormatting sqref="K143">
    <cfRule type="cellIs" dxfId="2" priority="4" operator="greaterThan">
      <formula>0</formula>
    </cfRule>
  </conditionalFormatting>
  <conditionalFormatting sqref="K145">
    <cfRule type="cellIs" dxfId="1" priority="3" operator="greaterThan">
      <formula>0</formula>
    </cfRule>
  </conditionalFormatting>
  <conditionalFormatting sqref="K147">
    <cfRule type="cellIs" dxfId="0" priority="2" operator="greaterThan">
      <formula>0</formula>
    </cfRule>
  </conditionalFormatting>
  <hyperlinks>
    <hyperlink ref="B2" r:id="rId1" location="'recibo de sueldo'!A1" xr:uid="{00000000-0004-0000-0100-000000000000}"/>
  </hyperlinks>
  <pageMargins left="0.7" right="0.7" top="0.75" bottom="0.75" header="0.3" footer="0.3"/>
  <pageSetup orientation="portrait"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107</vt:i4>
      </vt:variant>
    </vt:vector>
  </HeadingPairs>
  <TitlesOfParts>
    <vt:vector size="109" baseType="lpstr">
      <vt:lpstr>Recibo</vt:lpstr>
      <vt:lpstr>cargos</vt:lpstr>
      <vt:lpstr>adicdir2016</vt:lpstr>
      <vt:lpstr>adicdir2022</vt:lpstr>
      <vt:lpstr>adichsmedia</vt:lpstr>
      <vt:lpstr>adicnina</vt:lpstr>
      <vt:lpstr>Aumentoabr25respene25</vt:lpstr>
      <vt:lpstr>Aumentoago24</vt:lpstr>
      <vt:lpstr>Aumentoago25respene25</vt:lpstr>
      <vt:lpstr>Aumentodic24</vt:lpstr>
      <vt:lpstr>Aumentodic25respene25</vt:lpstr>
      <vt:lpstr>aumentoene25</vt:lpstr>
      <vt:lpstr>Aumentoene25respdic24</vt:lpstr>
      <vt:lpstr>Aumentofeb25respene25</vt:lpstr>
      <vt:lpstr>Aumentojul25respene25</vt:lpstr>
      <vt:lpstr>Aumentojun25respene25</vt:lpstr>
      <vt:lpstr>Aumentomar25respene25</vt:lpstr>
      <vt:lpstr>Aumentomay25respene25</vt:lpstr>
      <vt:lpstr>Aumentonov24</vt:lpstr>
      <vt:lpstr>Aumentonov25respene25</vt:lpstr>
      <vt:lpstr>Aumentooct24</vt:lpstr>
      <vt:lpstr>Aumentooct25respene25</vt:lpstr>
      <vt:lpstr>Aumentosep24</vt:lpstr>
      <vt:lpstr>Aumentosep25respene25</vt:lpstr>
      <vt:lpstr>canthor06med</vt:lpstr>
      <vt:lpstr>canthor06sup</vt:lpstr>
      <vt:lpstr>canthorincmed</vt:lpstr>
      <vt:lpstr>canthorincsup</vt:lpstr>
      <vt:lpstr>canthormed</vt:lpstr>
      <vt:lpstr>canthorsup</vt:lpstr>
      <vt:lpstr>cantkm</vt:lpstr>
      <vt:lpstr>cantkmhm</vt:lpstr>
      <vt:lpstr>cantkmhs</vt:lpstr>
      <vt:lpstr>codigo06cargosene25</vt:lpstr>
      <vt:lpstr>codigo06cargossep24</vt:lpstr>
      <vt:lpstr>compbas16</vt:lpstr>
      <vt:lpstr>compbas2016</vt:lpstr>
      <vt:lpstr>compdir16</vt:lpstr>
      <vt:lpstr>compdir22</vt:lpstr>
      <vt:lpstr>escalaañosantig</vt:lpstr>
      <vt:lpstr>escalaporcantig</vt:lpstr>
      <vt:lpstr>exten</vt:lpstr>
      <vt:lpstr>indiceabr25</vt:lpstr>
      <vt:lpstr>indiceago25</vt:lpstr>
      <vt:lpstr>indicedic24</vt:lpstr>
      <vt:lpstr>indicedic25</vt:lpstr>
      <vt:lpstr>indiceene25</vt:lpstr>
      <vt:lpstr>indicefeb25</vt:lpstr>
      <vt:lpstr>indicejul25</vt:lpstr>
      <vt:lpstr>indicejun25</vt:lpstr>
      <vt:lpstr>indicemar25</vt:lpstr>
      <vt:lpstr>indicemay25</vt:lpstr>
      <vt:lpstr>indicenov25</vt:lpstr>
      <vt:lpstr>indiceoct25</vt:lpstr>
      <vt:lpstr>Indiceproljorabr25</vt:lpstr>
      <vt:lpstr>Indiceproljorago25</vt:lpstr>
      <vt:lpstr>Indiceproljordic24</vt:lpstr>
      <vt:lpstr>Indiceproljordic25</vt:lpstr>
      <vt:lpstr>Indiceproljorene25</vt:lpstr>
      <vt:lpstr>Indiceproljorfeb25</vt:lpstr>
      <vt:lpstr>Indiceproljorjul25</vt:lpstr>
      <vt:lpstr>Indiceproljorjun25</vt:lpstr>
      <vt:lpstr>Indiceproljormar25</vt:lpstr>
      <vt:lpstr>Indiceproljormay25</vt:lpstr>
      <vt:lpstr>Indiceproljornov25</vt:lpstr>
      <vt:lpstr>Indiceproljoroct25</vt:lpstr>
      <vt:lpstr>Indiceproljorsep25</vt:lpstr>
      <vt:lpstr>indicesep25</vt:lpstr>
      <vt:lpstr>kmsem</vt:lpstr>
      <vt:lpstr>kmsemhsmed</vt:lpstr>
      <vt:lpstr>kmsemhssup</vt:lpstr>
      <vt:lpstr>nina</vt:lpstr>
      <vt:lpstr>nombrecargo</vt:lpstr>
      <vt:lpstr>numcargo</vt:lpstr>
      <vt:lpstr>poragmer</vt:lpstr>
      <vt:lpstr>porant</vt:lpstr>
      <vt:lpstr>porantigcargo</vt:lpstr>
      <vt:lpstr>porantighormed</vt:lpstr>
      <vt:lpstr>porantighorsup</vt:lpstr>
      <vt:lpstr>porjub</vt:lpstr>
      <vt:lpstr>poros</vt:lpstr>
      <vt:lpstr>porzonacargo</vt:lpstr>
      <vt:lpstr>porzonahsmed</vt:lpstr>
      <vt:lpstr>punbascar</vt:lpstr>
      <vt:lpstr>punbascargo</vt:lpstr>
      <vt:lpstr>punbashormed</vt:lpstr>
      <vt:lpstr>punbashorsup</vt:lpstr>
      <vt:lpstr>punexten</vt:lpstr>
      <vt:lpstr>punproljorcargo</vt:lpstr>
      <vt:lpstr>puntardifcargo</vt:lpstr>
      <vt:lpstr>puntosadicnina</vt:lpstr>
      <vt:lpstr>PUNTOSbasicos</vt:lpstr>
      <vt:lpstr>puntosexten</vt:lpstr>
      <vt:lpstr>puntosproljor</vt:lpstr>
      <vt:lpstr>puntostardif</vt:lpstr>
      <vt:lpstr>totalremabr25</vt:lpstr>
      <vt:lpstr>totalremago25</vt:lpstr>
      <vt:lpstr>totalremdic24</vt:lpstr>
      <vt:lpstr>totalremdic25</vt:lpstr>
      <vt:lpstr>totalremene25</vt:lpstr>
      <vt:lpstr>totalremfeb25</vt:lpstr>
      <vt:lpstr>totalremfebparit25</vt:lpstr>
      <vt:lpstr>totalremjul25</vt:lpstr>
      <vt:lpstr>totalremjun25</vt:lpstr>
      <vt:lpstr>totalremmar25</vt:lpstr>
      <vt:lpstr>totalremmayo25</vt:lpstr>
      <vt:lpstr>totalremnov25</vt:lpstr>
      <vt:lpstr>totalremoct25</vt:lpstr>
      <vt:lpstr>totalremsep25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Victor</dc:creator>
  <cp:lastModifiedBy>huttvictor@gmail.com</cp:lastModifiedBy>
  <dcterms:created xsi:type="dcterms:W3CDTF">2022-02-04T04:38:00Z</dcterms:created>
  <dcterms:modified xsi:type="dcterms:W3CDTF">2025-12-29T22:16:34Z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AD9BE3471E784A82A52D488DE732CA3F_13</vt:lpwstr>
  </property>
  <property fmtid="{D5CDD505-2E9C-101B-9397-08002B2CF9AE}" pid="3" name="KSOProductBuildVer">
    <vt:lpwstr>3082-12.2.0.18607</vt:lpwstr>
  </property>
</Properties>
</file>