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59536498-504E-4749-93A7-3A80BFE86B45}" xr6:coauthVersionLast="47" xr6:coauthVersionMax="47" xr10:uidLastSave="{00000000-0000-0000-0000-000000000000}"/>
  <bookViews>
    <workbookView xWindow="-120" yWindow="-120" windowWidth="20730" windowHeight="11760" xr2:uid="{31A7B1E3-6745-4729-B704-DB84D93086D6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Recibo!$D$211</definedName>
    <definedName name="adicnina">Cargos!$J$3:$J$372</definedName>
    <definedName name="Aumentomayo26">Recibo!$D$46</definedName>
    <definedName name="canthor06med">Recibo!$D$209</definedName>
    <definedName name="canthor06sup">Recibo!$D$345</definedName>
    <definedName name="canthorincmed">Recibo!$D$210</definedName>
    <definedName name="canthorincsup">Recibo!$D$346</definedName>
    <definedName name="canthormed">Recibo!$D$205</definedName>
    <definedName name="canthorsup">Recibo!$D$341</definedName>
    <definedName name="cantkm">Recibo!$D$65</definedName>
    <definedName name="cantkmhm">Recibo!$D$213</definedName>
    <definedName name="cantkmhs">Recibo!$D$348</definedName>
    <definedName name="codigo06cargosdic25">Recibo!$I$18:$I$29</definedName>
    <definedName name="compbas16">Cargos!$D$3:$D$372</definedName>
    <definedName name="compbas2016">Recibo!$E$58</definedName>
    <definedName name="compdir16">Recibo!$G$58</definedName>
    <definedName name="compdir22">Recibo!$H$58</definedName>
    <definedName name="escalaañosantig">Recibo!$D$18:$D$29</definedName>
    <definedName name="escalaporcantig">Recibo!$E$18:$E$29</definedName>
    <definedName name="exten">Recibo!$D$68</definedName>
    <definedName name="indicedic25">Recibo!$D$43</definedName>
    <definedName name="indicemay26">Recibo!$F$43</definedName>
    <definedName name="Indiceproljordic25">Recibo!$D$44</definedName>
    <definedName name="Indiceproljormay26">Recibo!$F$44</definedName>
    <definedName name="kmsem">Recibo!$C$154</definedName>
    <definedName name="kmsemhsmed">Recibo!$C$289</definedName>
    <definedName name="kmsemhssup">Recibo!$C$412</definedName>
    <definedName name="nina">Recibo!$D$62</definedName>
    <definedName name="nombrecargo">Cargos!$B$3:$B$372</definedName>
    <definedName name="numcargo">Cargos!$A$3:$A$372</definedName>
    <definedName name="poragmer">Recibo!$C$425</definedName>
    <definedName name="porant">Recibo!$H$18:$H$29</definedName>
    <definedName name="porantigcargo">Recibo!$D$64</definedName>
    <definedName name="porantighormed">Recibo!$D$207</definedName>
    <definedName name="porantighorsup">Recibo!$D$343</definedName>
    <definedName name="poros">Recibo!$C$424</definedName>
    <definedName name="porzonacargo">Recibo!$C$150</definedName>
    <definedName name="porzonahsmed">Recibo!$C$288</definedName>
    <definedName name="punbascar">Recibo!$D$66</definedName>
    <definedName name="punbascargo">Cargos!$C$3:$C$372</definedName>
    <definedName name="punbashormed">Recibo!$D$215</definedName>
    <definedName name="punbashorsup">Recibo!$D$349</definedName>
    <definedName name="punexten">Cargos!$K$3:$K$372</definedName>
    <definedName name="punproljorcargo">Cargos!$I$3:$I$372</definedName>
    <definedName name="puntardifcargo">Cargos!$H$3:$H$372</definedName>
    <definedName name="puntosadicnina">Recibo!$F$58</definedName>
    <definedName name="PUNTOSbasicos">Recibo!$B$58</definedName>
    <definedName name="puntosexten">Recibo!$I$58</definedName>
    <definedName name="puntosproljor">Recibo!$D$67</definedName>
    <definedName name="puntostardif">Recibo!$C$58</definedName>
    <definedName name="totalremdic25">Recibo!$H$173</definedName>
    <definedName name="totalremmay26">Recibo!$E$173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1" l="1"/>
  <c r="F9" i="1"/>
  <c r="G154" i="1" l="1"/>
  <c r="G87" i="1" s="1"/>
  <c r="G148" i="1"/>
  <c r="G150" i="1"/>
  <c r="G83" i="1" s="1"/>
  <c r="E290" i="1"/>
  <c r="E227" i="1" s="1"/>
  <c r="E286" i="1"/>
  <c r="E223" i="1" s="1"/>
  <c r="E408" i="1"/>
  <c r="E411" i="1"/>
  <c r="E357" i="1" s="1"/>
  <c r="E413" i="1"/>
  <c r="E406" i="1"/>
  <c r="E282" i="1"/>
  <c r="D46" i="1"/>
  <c r="C165" i="1"/>
  <c r="E98" i="1"/>
  <c r="C426" i="1"/>
  <c r="C425" i="1"/>
  <c r="K422" i="1"/>
  <c r="L422" i="1" s="1"/>
  <c r="L368" i="1" s="1"/>
  <c r="H422" i="1"/>
  <c r="I422" i="1" s="1"/>
  <c r="I368" i="1" s="1"/>
  <c r="E422" i="1"/>
  <c r="F422" i="1" s="1"/>
  <c r="H420" i="1"/>
  <c r="C420" i="1" s="1"/>
  <c r="C366" i="1" s="1"/>
  <c r="E420" i="1"/>
  <c r="K419" i="1"/>
  <c r="H419" i="1"/>
  <c r="E419" i="1"/>
  <c r="E365" i="1" s="1"/>
  <c r="K418" i="1"/>
  <c r="K364" i="1" s="1"/>
  <c r="H418" i="1"/>
  <c r="E418" i="1"/>
  <c r="K416" i="1"/>
  <c r="H416" i="1"/>
  <c r="E416" i="1"/>
  <c r="C414" i="1"/>
  <c r="L412" i="1"/>
  <c r="I412" i="1"/>
  <c r="F412" i="1"/>
  <c r="C412" i="1"/>
  <c r="K412" i="1" s="1"/>
  <c r="K358" i="1" s="1"/>
  <c r="K411" i="1"/>
  <c r="K357" i="1" s="1"/>
  <c r="H411" i="1"/>
  <c r="C406" i="1"/>
  <c r="C352" i="1" s="1"/>
  <c r="K400" i="1"/>
  <c r="H400" i="1"/>
  <c r="E400" i="1"/>
  <c r="K398" i="1"/>
  <c r="H398" i="1"/>
  <c r="E398" i="1"/>
  <c r="K396" i="1"/>
  <c r="H396" i="1"/>
  <c r="E396" i="1"/>
  <c r="K395" i="1"/>
  <c r="H395" i="1"/>
  <c r="E395" i="1"/>
  <c r="K394" i="1"/>
  <c r="H394" i="1"/>
  <c r="E394" i="1"/>
  <c r="K393" i="1"/>
  <c r="H393" i="1"/>
  <c r="E393" i="1"/>
  <c r="L392" i="1"/>
  <c r="K392" i="1"/>
  <c r="I392" i="1"/>
  <c r="H392" i="1"/>
  <c r="F392" i="1"/>
  <c r="E392" i="1"/>
  <c r="K391" i="1"/>
  <c r="H391" i="1"/>
  <c r="E391" i="1"/>
  <c r="K390" i="1"/>
  <c r="H390" i="1"/>
  <c r="E390" i="1"/>
  <c r="L385" i="1"/>
  <c r="K385" i="1"/>
  <c r="H385" i="1"/>
  <c r="E385" i="1"/>
  <c r="L384" i="1"/>
  <c r="K384" i="1"/>
  <c r="H384" i="1"/>
  <c r="E384" i="1"/>
  <c r="L382" i="1"/>
  <c r="K382" i="1"/>
  <c r="H382" i="1"/>
  <c r="E382" i="1"/>
  <c r="L381" i="1"/>
  <c r="K381" i="1"/>
  <c r="H381" i="1"/>
  <c r="E381" i="1"/>
  <c r="L379" i="1"/>
  <c r="K379" i="1"/>
  <c r="H379" i="1"/>
  <c r="E379" i="1"/>
  <c r="L378" i="1"/>
  <c r="K378" i="1"/>
  <c r="H378" i="1"/>
  <c r="E378" i="1"/>
  <c r="K375" i="1"/>
  <c r="H375" i="1"/>
  <c r="E375" i="1"/>
  <c r="F368" i="1"/>
  <c r="E366" i="1"/>
  <c r="D366" i="1"/>
  <c r="B366" i="1"/>
  <c r="K365" i="1"/>
  <c r="E364" i="1"/>
  <c r="K363" i="1"/>
  <c r="H363" i="1"/>
  <c r="E363" i="1"/>
  <c r="A363" i="1"/>
  <c r="C359" i="1"/>
  <c r="C413" i="1" s="1"/>
  <c r="C358" i="1"/>
  <c r="H357" i="1"/>
  <c r="D349" i="1"/>
  <c r="D343" i="1"/>
  <c r="K414" i="1" s="1"/>
  <c r="K360" i="1" s="1"/>
  <c r="I337" i="1"/>
  <c r="L333" i="1"/>
  <c r="C303" i="1"/>
  <c r="C302" i="1"/>
  <c r="K299" i="1"/>
  <c r="L299" i="1" s="1"/>
  <c r="H299" i="1"/>
  <c r="I299" i="1" s="1"/>
  <c r="I237" i="1" s="1"/>
  <c r="E299" i="1"/>
  <c r="F299" i="1" s="1"/>
  <c r="F237" i="1" s="1"/>
  <c r="H297" i="1"/>
  <c r="C297" i="1" s="1"/>
  <c r="C235" i="1" s="1"/>
  <c r="E297" i="1"/>
  <c r="K296" i="1"/>
  <c r="K234" i="1" s="1"/>
  <c r="H296" i="1"/>
  <c r="C296" i="1" s="1"/>
  <c r="C234" i="1" s="1"/>
  <c r="E296" i="1"/>
  <c r="K295" i="1"/>
  <c r="H295" i="1"/>
  <c r="C295" i="1" s="1"/>
  <c r="C233" i="1" s="1"/>
  <c r="E295" i="1"/>
  <c r="E233" i="1" s="1"/>
  <c r="K294" i="1"/>
  <c r="H294" i="1"/>
  <c r="E294" i="1"/>
  <c r="C292" i="1"/>
  <c r="K290" i="1"/>
  <c r="K227" i="1" s="1"/>
  <c r="H290" i="1"/>
  <c r="C289" i="1"/>
  <c r="H289" i="1" s="1"/>
  <c r="H226" i="1" s="1"/>
  <c r="C288" i="1"/>
  <c r="K286" i="1"/>
  <c r="H286" i="1"/>
  <c r="C282" i="1"/>
  <c r="L280" i="1"/>
  <c r="D278" i="1"/>
  <c r="K276" i="1"/>
  <c r="H276" i="1"/>
  <c r="E276" i="1"/>
  <c r="K275" i="1"/>
  <c r="H275" i="1"/>
  <c r="E275" i="1"/>
  <c r="L273" i="1"/>
  <c r="K270" i="1"/>
  <c r="H270" i="1"/>
  <c r="E270" i="1"/>
  <c r="K268" i="1"/>
  <c r="H268" i="1"/>
  <c r="E268" i="1"/>
  <c r="K266" i="1"/>
  <c r="H266" i="1"/>
  <c r="E266" i="1"/>
  <c r="K265" i="1"/>
  <c r="H265" i="1"/>
  <c r="E265" i="1"/>
  <c r="K264" i="1"/>
  <c r="H264" i="1"/>
  <c r="E264" i="1"/>
  <c r="K263" i="1"/>
  <c r="H263" i="1"/>
  <c r="E263" i="1"/>
  <c r="L262" i="1"/>
  <c r="K262" i="1"/>
  <c r="I262" i="1"/>
  <c r="H262" i="1"/>
  <c r="F262" i="1"/>
  <c r="E262" i="1"/>
  <c r="K261" i="1"/>
  <c r="H261" i="1"/>
  <c r="E261" i="1"/>
  <c r="K260" i="1"/>
  <c r="H260" i="1"/>
  <c r="E260" i="1"/>
  <c r="L255" i="1"/>
  <c r="L254" i="1"/>
  <c r="L252" i="1"/>
  <c r="K252" i="1"/>
  <c r="H252" i="1"/>
  <c r="E252" i="1"/>
  <c r="L251" i="1"/>
  <c r="K251" i="1"/>
  <c r="H251" i="1"/>
  <c r="E251" i="1"/>
  <c r="L249" i="1"/>
  <c r="K249" i="1"/>
  <c r="H249" i="1"/>
  <c r="E249" i="1"/>
  <c r="L248" i="1"/>
  <c r="K248" i="1"/>
  <c r="H248" i="1"/>
  <c r="E248" i="1"/>
  <c r="K244" i="1"/>
  <c r="H244" i="1"/>
  <c r="E244" i="1"/>
  <c r="L237" i="1"/>
  <c r="H235" i="1"/>
  <c r="E235" i="1"/>
  <c r="D235" i="1"/>
  <c r="B235" i="1"/>
  <c r="E234" i="1"/>
  <c r="K233" i="1"/>
  <c r="C228" i="1"/>
  <c r="C291" i="1" s="1"/>
  <c r="H227" i="1"/>
  <c r="K223" i="1"/>
  <c r="H223" i="1"/>
  <c r="C223" i="1"/>
  <c r="C219" i="1"/>
  <c r="D215" i="1"/>
  <c r="D207" i="1"/>
  <c r="E284" i="1" s="1"/>
  <c r="I201" i="1"/>
  <c r="K166" i="1"/>
  <c r="L166" i="1" s="1"/>
  <c r="L99" i="1" s="1"/>
  <c r="H166" i="1"/>
  <c r="I166" i="1" s="1"/>
  <c r="I99" i="1" s="1"/>
  <c r="E166" i="1"/>
  <c r="F166" i="1" s="1"/>
  <c r="F99" i="1" s="1"/>
  <c r="K164" i="1"/>
  <c r="L164" i="1" s="1"/>
  <c r="L97" i="1" s="1"/>
  <c r="H164" i="1"/>
  <c r="I164" i="1" s="1"/>
  <c r="I97" i="1" s="1"/>
  <c r="E164" i="1"/>
  <c r="F164" i="1" s="1"/>
  <c r="F97" i="1" s="1"/>
  <c r="K161" i="1"/>
  <c r="L161" i="1" s="1"/>
  <c r="L94" i="1" s="1"/>
  <c r="H161" i="1"/>
  <c r="I161" i="1" s="1"/>
  <c r="I94" i="1" s="1"/>
  <c r="E161" i="1"/>
  <c r="F161" i="1" s="1"/>
  <c r="F94" i="1" s="1"/>
  <c r="C159" i="1"/>
  <c r="C158" i="1"/>
  <c r="C157" i="1"/>
  <c r="K155" i="1"/>
  <c r="H155" i="1"/>
  <c r="E155" i="1"/>
  <c r="E154" i="1"/>
  <c r="E87" i="1" s="1"/>
  <c r="C154" i="1"/>
  <c r="H154" i="1" s="1"/>
  <c r="H87" i="1" s="1"/>
  <c r="C153" i="1"/>
  <c r="C152" i="1"/>
  <c r="C150" i="1"/>
  <c r="K130" i="1"/>
  <c r="H130" i="1"/>
  <c r="E130" i="1"/>
  <c r="K128" i="1"/>
  <c r="H128" i="1"/>
  <c r="E128" i="1"/>
  <c r="K126" i="1"/>
  <c r="H126" i="1"/>
  <c r="E126" i="1"/>
  <c r="K125" i="1"/>
  <c r="H125" i="1"/>
  <c r="E125" i="1"/>
  <c r="K124" i="1"/>
  <c r="H124" i="1"/>
  <c r="E124" i="1"/>
  <c r="K123" i="1"/>
  <c r="H123" i="1"/>
  <c r="E123" i="1"/>
  <c r="L122" i="1"/>
  <c r="K122" i="1"/>
  <c r="I122" i="1"/>
  <c r="H122" i="1"/>
  <c r="F122" i="1"/>
  <c r="E122" i="1"/>
  <c r="K121" i="1"/>
  <c r="H121" i="1"/>
  <c r="E121" i="1"/>
  <c r="L120" i="1"/>
  <c r="K120" i="1"/>
  <c r="I120" i="1"/>
  <c r="H120" i="1"/>
  <c r="F120" i="1"/>
  <c r="E120" i="1"/>
  <c r="L118" i="1"/>
  <c r="L117" i="1"/>
  <c r="L115" i="1"/>
  <c r="K115" i="1"/>
  <c r="H115" i="1"/>
  <c r="E115" i="1"/>
  <c r="L114" i="1"/>
  <c r="K114" i="1"/>
  <c r="H114" i="1"/>
  <c r="E114" i="1"/>
  <c r="L112" i="1"/>
  <c r="K112" i="1"/>
  <c r="H112" i="1"/>
  <c r="E112" i="1"/>
  <c r="L111" i="1"/>
  <c r="K111" i="1"/>
  <c r="H111" i="1"/>
  <c r="E111" i="1"/>
  <c r="L109" i="1"/>
  <c r="K109" i="1"/>
  <c r="H109" i="1"/>
  <c r="E109" i="1"/>
  <c r="L108" i="1"/>
  <c r="K108" i="1"/>
  <c r="H108" i="1"/>
  <c r="E108" i="1"/>
  <c r="L107" i="1"/>
  <c r="K107" i="1"/>
  <c r="I107" i="1"/>
  <c r="H107" i="1"/>
  <c r="F107" i="1"/>
  <c r="E107" i="1"/>
  <c r="L106" i="1"/>
  <c r="I106" i="1"/>
  <c r="F106" i="1"/>
  <c r="K105" i="1"/>
  <c r="H105" i="1"/>
  <c r="E105" i="1"/>
  <c r="K102" i="1"/>
  <c r="H102" i="1"/>
  <c r="E102" i="1"/>
  <c r="M87" i="1"/>
  <c r="J87" i="1"/>
  <c r="C87" i="1"/>
  <c r="M83" i="1"/>
  <c r="J83" i="1"/>
  <c r="M81" i="1"/>
  <c r="J81" i="1"/>
  <c r="G81" i="1"/>
  <c r="L75" i="1"/>
  <c r="I75" i="1"/>
  <c r="F75" i="1"/>
  <c r="D64" i="1"/>
  <c r="H59" i="1"/>
  <c r="C59" i="1"/>
  <c r="I59" i="1" s="1"/>
  <c r="I58" i="1"/>
  <c r="E141" i="1" s="1"/>
  <c r="H58" i="1"/>
  <c r="E142" i="1" s="1"/>
  <c r="G58" i="1"/>
  <c r="F58" i="1"/>
  <c r="E143" i="1" s="1"/>
  <c r="E58" i="1"/>
  <c r="E140" i="1" s="1"/>
  <c r="D58" i="1"/>
  <c r="D67" i="1" s="1"/>
  <c r="C58" i="1"/>
  <c r="B58" i="1"/>
  <c r="D66" i="1" s="1"/>
  <c r="E139" i="1" s="1"/>
  <c r="L54" i="1"/>
  <c r="I54" i="1"/>
  <c r="F54" i="1"/>
  <c r="L53" i="1"/>
  <c r="I53" i="1"/>
  <c r="F53" i="1"/>
  <c r="Q49" i="1"/>
  <c r="P49" i="1"/>
  <c r="O49" i="1"/>
  <c r="N49" i="1"/>
  <c r="M49" i="1"/>
  <c r="D41" i="1"/>
  <c r="C41" i="1"/>
  <c r="D40" i="1"/>
  <c r="C40" i="1"/>
  <c r="D34" i="1"/>
  <c r="K12" i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152" i="1" l="1"/>
  <c r="E148" i="1"/>
  <c r="H233" i="1"/>
  <c r="H366" i="1"/>
  <c r="K289" i="1"/>
  <c r="K226" i="1" s="1"/>
  <c r="H234" i="1"/>
  <c r="C226" i="1"/>
  <c r="H412" i="1"/>
  <c r="H358" i="1" s="1"/>
  <c r="J54" i="1"/>
  <c r="G54" i="1"/>
  <c r="S19" i="1"/>
  <c r="T19" i="1" s="1"/>
  <c r="U19" i="1" s="1"/>
  <c r="V19" i="1" s="1"/>
  <c r="W19" i="1" s="1"/>
  <c r="S26" i="1"/>
  <c r="T26" i="1" s="1"/>
  <c r="U26" i="1" s="1"/>
  <c r="V26" i="1" s="1"/>
  <c r="W26" i="1" s="1"/>
  <c r="R21" i="1"/>
  <c r="S28" i="1"/>
  <c r="T28" i="1" s="1"/>
  <c r="U28" i="1" s="1"/>
  <c r="V28" i="1" s="1"/>
  <c r="W28" i="1" s="1"/>
  <c r="R19" i="1"/>
  <c r="I19" i="1" s="1"/>
  <c r="R23" i="1"/>
  <c r="R18" i="1"/>
  <c r="R20" i="1"/>
  <c r="S21" i="1"/>
  <c r="T21" i="1" s="1"/>
  <c r="U21" i="1" s="1"/>
  <c r="V21" i="1" s="1"/>
  <c r="W21" i="1" s="1"/>
  <c r="S23" i="1"/>
  <c r="T23" i="1" s="1"/>
  <c r="U23" i="1" s="1"/>
  <c r="V23" i="1" s="1"/>
  <c r="W23" i="1" s="1"/>
  <c r="I23" i="1" s="1"/>
  <c r="R25" i="1"/>
  <c r="R27" i="1"/>
  <c r="S18" i="1"/>
  <c r="T18" i="1" s="1"/>
  <c r="U18" i="1" s="1"/>
  <c r="V18" i="1" s="1"/>
  <c r="W18" i="1" s="1"/>
  <c r="I18" i="1" s="1"/>
  <c r="S20" i="1"/>
  <c r="T20" i="1" s="1"/>
  <c r="U20" i="1" s="1"/>
  <c r="V20" i="1" s="1"/>
  <c r="W20" i="1" s="1"/>
  <c r="R22" i="1"/>
  <c r="R24" i="1"/>
  <c r="S25" i="1"/>
  <c r="T25" i="1" s="1"/>
  <c r="U25" i="1" s="1"/>
  <c r="V25" i="1" s="1"/>
  <c r="W25" i="1" s="1"/>
  <c r="I25" i="1" s="1"/>
  <c r="S27" i="1"/>
  <c r="T27" i="1" s="1"/>
  <c r="U27" i="1" s="1"/>
  <c r="V27" i="1" s="1"/>
  <c r="W27" i="1" s="1"/>
  <c r="R29" i="1"/>
  <c r="S22" i="1"/>
  <c r="T22" i="1" s="1"/>
  <c r="U22" i="1" s="1"/>
  <c r="V22" i="1" s="1"/>
  <c r="W22" i="1" s="1"/>
  <c r="S24" i="1"/>
  <c r="T24" i="1" s="1"/>
  <c r="U24" i="1" s="1"/>
  <c r="V24" i="1" s="1"/>
  <c r="W24" i="1" s="1"/>
  <c r="I24" i="1" s="1"/>
  <c r="R26" i="1"/>
  <c r="R28" i="1"/>
  <c r="S29" i="1"/>
  <c r="T29" i="1" s="1"/>
  <c r="U29" i="1" s="1"/>
  <c r="V29" i="1" s="1"/>
  <c r="W29" i="1" s="1"/>
  <c r="I29" i="1" s="1"/>
  <c r="M54" i="1"/>
  <c r="C407" i="1"/>
  <c r="K139" i="1"/>
  <c r="H139" i="1"/>
  <c r="E158" i="1"/>
  <c r="E91" i="1" s="1"/>
  <c r="E157" i="1"/>
  <c r="E90" i="1" s="1"/>
  <c r="H152" i="1"/>
  <c r="H85" i="1" s="1"/>
  <c r="H148" i="1"/>
  <c r="H81" i="1" s="1"/>
  <c r="E85" i="1"/>
  <c r="E81" i="1"/>
  <c r="K158" i="1"/>
  <c r="K91" i="1" s="1"/>
  <c r="K157" i="1"/>
  <c r="K90" i="1" s="1"/>
  <c r="H158" i="1"/>
  <c r="H91" i="1" s="1"/>
  <c r="H157" i="1"/>
  <c r="H90" i="1" s="1"/>
  <c r="K152" i="1"/>
  <c r="K85" i="1" s="1"/>
  <c r="K148" i="1"/>
  <c r="K81" i="1" s="1"/>
  <c r="I21" i="1"/>
  <c r="E76" i="1"/>
  <c r="K143" i="1"/>
  <c r="K76" i="1" s="1"/>
  <c r="H143" i="1"/>
  <c r="H76" i="1" s="1"/>
  <c r="H149" i="1"/>
  <c r="H82" i="1" s="1"/>
  <c r="K149" i="1"/>
  <c r="K82" i="1" s="1"/>
  <c r="E149" i="1"/>
  <c r="E82" i="1" s="1"/>
  <c r="K291" i="1"/>
  <c r="K228" i="1" s="1"/>
  <c r="H291" i="1"/>
  <c r="H228" i="1" s="1"/>
  <c r="E291" i="1"/>
  <c r="E228" i="1" s="1"/>
  <c r="I28" i="1"/>
  <c r="K142" i="1"/>
  <c r="K75" i="1" s="1"/>
  <c r="H142" i="1"/>
  <c r="H75" i="1" s="1"/>
  <c r="E75" i="1"/>
  <c r="H153" i="1"/>
  <c r="H86" i="1" s="1"/>
  <c r="E153" i="1"/>
  <c r="E86" i="1" s="1"/>
  <c r="C145" i="1"/>
  <c r="C78" i="1" s="1"/>
  <c r="K153" i="1"/>
  <c r="K86" i="1" s="1"/>
  <c r="H140" i="1"/>
  <c r="H73" i="1" s="1"/>
  <c r="E73" i="1"/>
  <c r="K140" i="1"/>
  <c r="K73" i="1" s="1"/>
  <c r="K141" i="1"/>
  <c r="K74" i="1" s="1"/>
  <c r="H141" i="1"/>
  <c r="H74" i="1" s="1"/>
  <c r="E74" i="1"/>
  <c r="K59" i="1"/>
  <c r="K154" i="1"/>
  <c r="K87" i="1" s="1"/>
  <c r="C283" i="1"/>
  <c r="C419" i="1"/>
  <c r="C365" i="1" s="1"/>
  <c r="H365" i="1"/>
  <c r="K282" i="1"/>
  <c r="H282" i="1"/>
  <c r="C418" i="1"/>
  <c r="C364" i="1" s="1"/>
  <c r="H364" i="1"/>
  <c r="K292" i="1"/>
  <c r="K229" i="1" s="1"/>
  <c r="K284" i="1"/>
  <c r="H292" i="1"/>
  <c r="H229" i="1" s="1"/>
  <c r="H284" i="1"/>
  <c r="E292" i="1"/>
  <c r="E229" i="1" s="1"/>
  <c r="C220" i="1"/>
  <c r="K413" i="1"/>
  <c r="K359" i="1" s="1"/>
  <c r="H413" i="1"/>
  <c r="H359" i="1" s="1"/>
  <c r="E359" i="1"/>
  <c r="J201" i="1"/>
  <c r="K406" i="1"/>
  <c r="H406" i="1"/>
  <c r="C353" i="1"/>
  <c r="E414" i="1"/>
  <c r="E360" i="1" s="1"/>
  <c r="E289" i="1"/>
  <c r="E226" i="1" s="1"/>
  <c r="J337" i="1"/>
  <c r="H408" i="1"/>
  <c r="E412" i="1"/>
  <c r="E358" i="1" s="1"/>
  <c r="H414" i="1"/>
  <c r="H360" i="1" s="1"/>
  <c r="K408" i="1"/>
  <c r="I27" i="1" l="1"/>
  <c r="K144" i="1"/>
  <c r="K77" i="1" s="1"/>
  <c r="I20" i="1"/>
  <c r="E144" i="1" s="1"/>
  <c r="I26" i="1"/>
  <c r="I22" i="1"/>
  <c r="E352" i="1"/>
  <c r="E407" i="1"/>
  <c r="E221" i="1"/>
  <c r="E285" i="1"/>
  <c r="E222" i="1" s="1"/>
  <c r="K285" i="1"/>
  <c r="K222" i="1" s="1"/>
  <c r="K221" i="1"/>
  <c r="E288" i="1"/>
  <c r="E225" i="1" s="1"/>
  <c r="E283" i="1"/>
  <c r="E220" i="1" s="1"/>
  <c r="E219" i="1"/>
  <c r="H288" i="1"/>
  <c r="H225" i="1" s="1"/>
  <c r="H283" i="1"/>
  <c r="H220" i="1" s="1"/>
  <c r="H219" i="1"/>
  <c r="E145" i="1"/>
  <c r="E78" i="1" s="1"/>
  <c r="E150" i="1"/>
  <c r="E83" i="1" s="1"/>
  <c r="E72" i="1"/>
  <c r="E354" i="1"/>
  <c r="E409" i="1"/>
  <c r="E355" i="1" s="1"/>
  <c r="K283" i="1"/>
  <c r="K220" i="1" s="1"/>
  <c r="K219" i="1"/>
  <c r="K288" i="1"/>
  <c r="K225" i="1" s="1"/>
  <c r="H145" i="1"/>
  <c r="H78" i="1" s="1"/>
  <c r="H150" i="1"/>
  <c r="H83" i="1" s="1"/>
  <c r="H72" i="1"/>
  <c r="H352" i="1"/>
  <c r="H407" i="1"/>
  <c r="H410" i="1" s="1"/>
  <c r="H356" i="1" s="1"/>
  <c r="H354" i="1"/>
  <c r="H409" i="1"/>
  <c r="H355" i="1" s="1"/>
  <c r="C408" i="1"/>
  <c r="C354" i="1" s="1"/>
  <c r="K407" i="1"/>
  <c r="K410" i="1" s="1"/>
  <c r="K356" i="1" s="1"/>
  <c r="K352" i="1"/>
  <c r="H285" i="1"/>
  <c r="H222" i="1" s="1"/>
  <c r="H221" i="1"/>
  <c r="K409" i="1"/>
  <c r="K355" i="1" s="1"/>
  <c r="K354" i="1"/>
  <c r="C284" i="1"/>
  <c r="C221" i="1" s="1"/>
  <c r="K150" i="1"/>
  <c r="K83" i="1" s="1"/>
  <c r="K145" i="1"/>
  <c r="K78" i="1" s="1"/>
  <c r="K72" i="1"/>
  <c r="E77" i="1" l="1"/>
  <c r="E146" i="1"/>
  <c r="E79" i="1" s="1"/>
  <c r="H144" i="1"/>
  <c r="K146" i="1"/>
  <c r="K79" i="1" s="1"/>
  <c r="K287" i="1"/>
  <c r="K224" i="1" s="1"/>
  <c r="L444" i="1"/>
  <c r="K415" i="1"/>
  <c r="L425" i="1"/>
  <c r="L371" i="1" s="1"/>
  <c r="H353" i="1"/>
  <c r="I426" i="1"/>
  <c r="I372" i="1" s="1"/>
  <c r="I423" i="1"/>
  <c r="L321" i="1"/>
  <c r="L327" i="1" s="1"/>
  <c r="L266" i="1" s="1"/>
  <c r="L301" i="1"/>
  <c r="L239" i="1" s="1"/>
  <c r="E173" i="1"/>
  <c r="E353" i="1"/>
  <c r="F423" i="1"/>
  <c r="L423" i="1"/>
  <c r="I424" i="1"/>
  <c r="I370" i="1" s="1"/>
  <c r="I444" i="1"/>
  <c r="K293" i="1"/>
  <c r="L302" i="1"/>
  <c r="L240" i="1" s="1"/>
  <c r="E287" i="1"/>
  <c r="F302" i="1" s="1"/>
  <c r="F240" i="1" s="1"/>
  <c r="L426" i="1"/>
  <c r="L372" i="1" s="1"/>
  <c r="K353" i="1"/>
  <c r="H415" i="1"/>
  <c r="I425" i="1"/>
  <c r="I371" i="1" s="1"/>
  <c r="L303" i="1"/>
  <c r="L241" i="1" s="1"/>
  <c r="H287" i="1"/>
  <c r="E410" i="1"/>
  <c r="E356" i="1" s="1"/>
  <c r="K173" i="1"/>
  <c r="K106" i="1" s="1"/>
  <c r="L449" i="1"/>
  <c r="L396" i="1" s="1"/>
  <c r="L424" i="1"/>
  <c r="L370" i="1" s="1"/>
  <c r="L300" i="1"/>
  <c r="G151" i="1" l="1"/>
  <c r="G155" i="1"/>
  <c r="G149" i="1"/>
  <c r="H77" i="1"/>
  <c r="H146" i="1"/>
  <c r="H79" i="1" s="1"/>
  <c r="H173" i="1"/>
  <c r="E106" i="1"/>
  <c r="F300" i="1"/>
  <c r="F238" i="1" s="1"/>
  <c r="F425" i="1"/>
  <c r="F371" i="1" s="1"/>
  <c r="F424" i="1"/>
  <c r="F370" i="1" s="1"/>
  <c r="E415" i="1"/>
  <c r="E361" i="1" s="1"/>
  <c r="L325" i="1"/>
  <c r="L265" i="1" s="1"/>
  <c r="H421" i="1"/>
  <c r="H361" i="1"/>
  <c r="I303" i="1"/>
  <c r="I241" i="1" s="1"/>
  <c r="I446" i="1"/>
  <c r="I393" i="1" s="1"/>
  <c r="I391" i="1"/>
  <c r="F369" i="1"/>
  <c r="I448" i="1"/>
  <c r="I395" i="1" s="1"/>
  <c r="F426" i="1"/>
  <c r="F372" i="1" s="1"/>
  <c r="I427" i="1"/>
  <c r="I373" i="1" s="1"/>
  <c r="I369" i="1"/>
  <c r="K421" i="1"/>
  <c r="K361" i="1"/>
  <c r="L304" i="1"/>
  <c r="L242" i="1" s="1"/>
  <c r="L238" i="1"/>
  <c r="H224" i="1"/>
  <c r="I300" i="1"/>
  <c r="I302" i="1"/>
  <c r="I240" i="1" s="1"/>
  <c r="E224" i="1"/>
  <c r="F301" i="1"/>
  <c r="F239" i="1" s="1"/>
  <c r="E293" i="1"/>
  <c r="F321" i="1"/>
  <c r="F303" i="1"/>
  <c r="F241" i="1" s="1"/>
  <c r="I449" i="1"/>
  <c r="I396" i="1" s="1"/>
  <c r="L446" i="1"/>
  <c r="L393" i="1" s="1"/>
  <c r="L391" i="1"/>
  <c r="I301" i="1"/>
  <c r="I239" i="1" s="1"/>
  <c r="F444" i="1"/>
  <c r="I321" i="1"/>
  <c r="K298" i="1"/>
  <c r="K231" i="1"/>
  <c r="L427" i="1"/>
  <c r="L373" i="1" s="1"/>
  <c r="L369" i="1"/>
  <c r="H293" i="1"/>
  <c r="L323" i="1"/>
  <c r="L263" i="1" s="1"/>
  <c r="L261" i="1"/>
  <c r="L448" i="1"/>
  <c r="L395" i="1" s="1"/>
  <c r="J155" i="1" l="1"/>
  <c r="J88" i="1" s="1"/>
  <c r="J149" i="1"/>
  <c r="J151" i="1"/>
  <c r="J84" i="1" s="1"/>
  <c r="M151" i="1"/>
  <c r="M84" i="1" s="1"/>
  <c r="M149" i="1"/>
  <c r="M82" i="1" s="1"/>
  <c r="J82" i="1"/>
  <c r="H106" i="1"/>
  <c r="M155" i="1"/>
  <c r="M88" i="1" s="1"/>
  <c r="E421" i="1"/>
  <c r="I323" i="1"/>
  <c r="I263" i="1" s="1"/>
  <c r="I261" i="1"/>
  <c r="I327" i="1"/>
  <c r="I266" i="1" s="1"/>
  <c r="F304" i="1"/>
  <c r="F242" i="1" s="1"/>
  <c r="K367" i="1"/>
  <c r="L429" i="1"/>
  <c r="L375" i="1" s="1"/>
  <c r="K344" i="1" s="1"/>
  <c r="L452" i="1"/>
  <c r="F446" i="1"/>
  <c r="F393" i="1" s="1"/>
  <c r="F391" i="1"/>
  <c r="F448" i="1"/>
  <c r="F395" i="1" s="1"/>
  <c r="F449" i="1"/>
  <c r="F396" i="1" s="1"/>
  <c r="E367" i="1"/>
  <c r="I452" i="1"/>
  <c r="H367" i="1"/>
  <c r="I429" i="1"/>
  <c r="F323" i="1"/>
  <c r="F263" i="1" s="1"/>
  <c r="F261" i="1"/>
  <c r="F325" i="1"/>
  <c r="F265" i="1" s="1"/>
  <c r="F327" i="1"/>
  <c r="F266" i="1" s="1"/>
  <c r="H298" i="1"/>
  <c r="H231" i="1"/>
  <c r="L306" i="1"/>
  <c r="L244" i="1" s="1"/>
  <c r="K208" i="1" s="1"/>
  <c r="H203" i="1" s="1"/>
  <c r="L330" i="1"/>
  <c r="K236" i="1"/>
  <c r="E298" i="1"/>
  <c r="E231" i="1"/>
  <c r="I304" i="1"/>
  <c r="I242" i="1" s="1"/>
  <c r="I238" i="1"/>
  <c r="F427" i="1"/>
  <c r="F373" i="1" s="1"/>
  <c r="I325" i="1"/>
  <c r="I265" i="1" s="1"/>
  <c r="J146" i="1" l="1"/>
  <c r="H151" i="1" s="1"/>
  <c r="H147" i="1" s="1"/>
  <c r="M146" i="1"/>
  <c r="M79" i="1" s="1"/>
  <c r="F452" i="1"/>
  <c r="F399" i="1" s="1"/>
  <c r="J79" i="1"/>
  <c r="K151" i="1"/>
  <c r="L162" i="1" s="1"/>
  <c r="F306" i="1"/>
  <c r="F330" i="1"/>
  <c r="E236" i="1"/>
  <c r="I330" i="1"/>
  <c r="I306" i="1"/>
  <c r="H236" i="1"/>
  <c r="I440" i="1"/>
  <c r="I437" i="1"/>
  <c r="I434" i="1"/>
  <c r="I431" i="1"/>
  <c r="I375" i="1"/>
  <c r="H344" i="1" s="1"/>
  <c r="I339" i="1" s="1"/>
  <c r="L332" i="1"/>
  <c r="L271" i="1" s="1"/>
  <c r="L269" i="1"/>
  <c r="F429" i="1"/>
  <c r="L454" i="1"/>
  <c r="L401" i="1" s="1"/>
  <c r="L399" i="1"/>
  <c r="K210" i="1"/>
  <c r="I454" i="1"/>
  <c r="I401" i="1" s="1"/>
  <c r="I399" i="1"/>
  <c r="K346" i="1"/>
  <c r="H339" i="1"/>
  <c r="H84" i="1" l="1"/>
  <c r="I340" i="1"/>
  <c r="I341" i="1" s="1"/>
  <c r="L163" i="1"/>
  <c r="L96" i="1" s="1"/>
  <c r="K147" i="1"/>
  <c r="K80" i="1" s="1"/>
  <c r="K84" i="1"/>
  <c r="I163" i="1"/>
  <c r="I96" i="1" s="1"/>
  <c r="I165" i="1"/>
  <c r="I98" i="1" s="1"/>
  <c r="I162" i="1"/>
  <c r="I95" i="1" s="1"/>
  <c r="L165" i="1"/>
  <c r="L98" i="1" s="1"/>
  <c r="H346" i="1"/>
  <c r="J340" i="1"/>
  <c r="J341" i="1" s="1"/>
  <c r="I441" i="1"/>
  <c r="I388" i="1" s="1"/>
  <c r="I387" i="1"/>
  <c r="I378" i="1"/>
  <c r="I432" i="1"/>
  <c r="I379" i="1" s="1"/>
  <c r="L95" i="1"/>
  <c r="F375" i="1"/>
  <c r="E344" i="1" s="1"/>
  <c r="J339" i="1" s="1"/>
  <c r="F440" i="1"/>
  <c r="F437" i="1"/>
  <c r="F434" i="1"/>
  <c r="F431" i="1"/>
  <c r="H80" i="1"/>
  <c r="I188" i="1"/>
  <c r="H156" i="1"/>
  <c r="F454" i="1"/>
  <c r="F401" i="1" s="1"/>
  <c r="I381" i="1"/>
  <c r="I435" i="1"/>
  <c r="I382" i="1" s="1"/>
  <c r="I317" i="1"/>
  <c r="I314" i="1"/>
  <c r="I311" i="1"/>
  <c r="I308" i="1"/>
  <c r="I244" i="1"/>
  <c r="H208" i="1" s="1"/>
  <c r="I203" i="1" s="1"/>
  <c r="I204" i="1" s="1"/>
  <c r="I205" i="1" s="1"/>
  <c r="F269" i="1"/>
  <c r="F332" i="1"/>
  <c r="F271" i="1" s="1"/>
  <c r="I384" i="1"/>
  <c r="I438" i="1"/>
  <c r="I385" i="1" s="1"/>
  <c r="I332" i="1"/>
  <c r="I271" i="1" s="1"/>
  <c r="I269" i="1"/>
  <c r="F317" i="1"/>
  <c r="F314" i="1"/>
  <c r="F311" i="1"/>
  <c r="F308" i="1"/>
  <c r="F244" i="1"/>
  <c r="E208" i="1" s="1"/>
  <c r="J203" i="1" s="1"/>
  <c r="K156" i="1" l="1"/>
  <c r="K160" i="1" s="1"/>
  <c r="L188" i="1"/>
  <c r="L190" i="1" s="1"/>
  <c r="L123" i="1" s="1"/>
  <c r="L167" i="1"/>
  <c r="L100" i="1" s="1"/>
  <c r="I167" i="1"/>
  <c r="I100" i="1" s="1"/>
  <c r="F318" i="1"/>
  <c r="F258" i="1" s="1"/>
  <c r="F257" i="1"/>
  <c r="F312" i="1"/>
  <c r="F252" i="1" s="1"/>
  <c r="F251" i="1"/>
  <c r="I312" i="1"/>
  <c r="I252" i="1" s="1"/>
  <c r="I251" i="1"/>
  <c r="F441" i="1"/>
  <c r="F388" i="1" s="1"/>
  <c r="F387" i="1"/>
  <c r="F315" i="1"/>
  <c r="F255" i="1" s="1"/>
  <c r="F254" i="1"/>
  <c r="I254" i="1"/>
  <c r="I315" i="1"/>
  <c r="I255" i="1" s="1"/>
  <c r="F378" i="1"/>
  <c r="F432" i="1"/>
  <c r="F379" i="1" s="1"/>
  <c r="E346" i="1"/>
  <c r="E210" i="1"/>
  <c r="H210" i="1"/>
  <c r="J204" i="1"/>
  <c r="J205" i="1" s="1"/>
  <c r="I318" i="1"/>
  <c r="I258" i="1" s="1"/>
  <c r="I257" i="1"/>
  <c r="H89" i="1"/>
  <c r="F381" i="1"/>
  <c r="F435" i="1"/>
  <c r="F382" i="1" s="1"/>
  <c r="F248" i="1"/>
  <c r="F309" i="1"/>
  <c r="F249" i="1" s="1"/>
  <c r="L121" i="1"/>
  <c r="L192" i="1"/>
  <c r="L125" i="1" s="1"/>
  <c r="I309" i="1"/>
  <c r="I249" i="1" s="1"/>
  <c r="I248" i="1"/>
  <c r="I121" i="1"/>
  <c r="I190" i="1"/>
  <c r="I123" i="1" s="1"/>
  <c r="I192" i="1"/>
  <c r="I125" i="1" s="1"/>
  <c r="I193" i="1"/>
  <c r="I126" i="1" s="1"/>
  <c r="F384" i="1"/>
  <c r="F438" i="1"/>
  <c r="F385" i="1" s="1"/>
  <c r="J158" i="1" l="1"/>
  <c r="K89" i="1"/>
  <c r="J159" i="1"/>
  <c r="H159" i="1" s="1"/>
  <c r="H92" i="1" s="1"/>
  <c r="L193" i="1"/>
  <c r="L126" i="1" s="1"/>
  <c r="L169" i="1"/>
  <c r="K93" i="1"/>
  <c r="L102" i="1" l="1"/>
  <c r="K66" i="1" s="1"/>
  <c r="H61" i="1" s="1"/>
  <c r="L170" i="1"/>
  <c r="L196" i="1"/>
  <c r="L129" i="1" s="1"/>
  <c r="H160" i="1"/>
  <c r="K68" i="1"/>
  <c r="L198" i="1" l="1"/>
  <c r="L131" i="1" s="1"/>
  <c r="I169" i="1"/>
  <c r="I196" i="1"/>
  <c r="H93" i="1"/>
  <c r="I129" i="1" l="1"/>
  <c r="I198" i="1"/>
  <c r="I131" i="1" s="1"/>
  <c r="I178" i="1"/>
  <c r="I175" i="1"/>
  <c r="I184" i="1"/>
  <c r="I102" i="1"/>
  <c r="H66" i="1" s="1"/>
  <c r="I61" i="1" s="1"/>
  <c r="I62" i="1" s="1"/>
  <c r="I63" i="1" s="1"/>
  <c r="I181" i="1"/>
  <c r="H68" i="1" l="1"/>
  <c r="I111" i="1"/>
  <c r="I179" i="1"/>
  <c r="I112" i="1" s="1"/>
  <c r="I117" i="1"/>
  <c r="I185" i="1"/>
  <c r="I118" i="1" s="1"/>
  <c r="I114" i="1"/>
  <c r="I182" i="1"/>
  <c r="I115" i="1" s="1"/>
  <c r="I176" i="1"/>
  <c r="I109" i="1" s="1"/>
  <c r="I108" i="1"/>
  <c r="G88" i="1" l="1"/>
  <c r="G146" i="1"/>
  <c r="G79" i="1" s="1"/>
  <c r="E151" i="1" l="1"/>
  <c r="G84" i="1"/>
  <c r="F162" i="1"/>
  <c r="F165" i="1"/>
  <c r="F98" i="1" s="1"/>
  <c r="F151" i="1"/>
  <c r="E84" i="1"/>
  <c r="F163" i="1"/>
  <c r="F96" i="1" s="1"/>
  <c r="E147" i="1"/>
  <c r="F95" i="1" l="1"/>
  <c r="F167" i="1"/>
  <c r="F100" i="1" s="1"/>
  <c r="E156" i="1"/>
  <c r="E80" i="1"/>
  <c r="F188" i="1"/>
  <c r="G158" i="1" l="1"/>
  <c r="G159" i="1"/>
  <c r="E159" i="1" s="1"/>
  <c r="E160" i="1" s="1"/>
  <c r="F192" i="1"/>
  <c r="F125" i="1" s="1"/>
  <c r="F190" i="1"/>
  <c r="F123" i="1" s="1"/>
  <c r="F193" i="1"/>
  <c r="F126" i="1" s="1"/>
  <c r="F121" i="1"/>
  <c r="E89" i="1"/>
  <c r="G82" i="1" l="1"/>
  <c r="E92" i="1"/>
  <c r="F196" i="1"/>
  <c r="E93" i="1"/>
  <c r="F169" i="1"/>
  <c r="F198" i="1" l="1"/>
  <c r="F131" i="1" s="1"/>
  <c r="F129" i="1"/>
  <c r="F184" i="1"/>
  <c r="F102" i="1"/>
  <c r="E66" i="1" s="1"/>
  <c r="F178" i="1"/>
  <c r="F181" i="1"/>
  <c r="F175" i="1"/>
  <c r="J61" i="1" l="1"/>
  <c r="J62" i="1" s="1"/>
  <c r="J63" i="1" s="1"/>
  <c r="E68" i="1"/>
  <c r="F111" i="1"/>
  <c r="F179" i="1"/>
  <c r="F112" i="1" s="1"/>
  <c r="F176" i="1"/>
  <c r="F109" i="1" s="1"/>
  <c r="F108" i="1"/>
  <c r="F117" i="1"/>
  <c r="F185" i="1"/>
  <c r="F118" i="1" s="1"/>
  <c r="F114" i="1"/>
  <c r="F182" i="1"/>
  <c r="F11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68" authorId="0" shapeId="0" xr:uid="{B02E9395-51F5-418F-80B8-3E1C63BDE6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11" authorId="0" shapeId="0" xr:uid="{643A3340-0FDD-4881-A130-3FCEFFD1C0EE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sharedStrings.xml><?xml version="1.0" encoding="utf-8"?>
<sst xmlns="http://schemas.openxmlformats.org/spreadsheetml/2006/main" count="984" uniqueCount="562">
  <si>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</si>
  <si>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</si>
  <si>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</si>
  <si>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</si>
  <si>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</si>
  <si>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</si>
  <si>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</si>
  <si>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</si>
  <si>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</si>
  <si>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</si>
  <si>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</si>
  <si>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Volver al simulador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</si>
  <si>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</si>
  <si>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</si>
  <si>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</si>
  <si>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</si>
  <si>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</si>
  <si>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</si>
  <si>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</si>
  <si>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</si>
  <si>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</si>
  <si>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</si>
  <si>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</si>
  <si>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</si>
  <si>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</si>
  <si>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</si>
  <si>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</si>
  <si>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</si>
  <si>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</si>
  <si>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</si>
  <si>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</si>
  <si>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</si>
  <si>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</si>
  <si>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</si>
  <si>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</si>
  <si>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</si>
  <si>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</si>
  <si>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</si>
  <si>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</si>
  <si>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</si>
  <si>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</si>
  <si>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</si>
  <si>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</si>
  <si>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</si>
  <si>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</si>
  <si>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</si>
  <si>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</si>
  <si>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</si>
  <si>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</si>
  <si>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</si>
  <si>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</si>
  <si>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</si>
  <si>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</si>
  <si>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</si>
  <si>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</si>
  <si>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</si>
  <si>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</si>
  <si>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</si>
  <si>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</si>
  <si>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</si>
  <si>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</si>
  <si>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</si>
  <si>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</si>
  <si>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</si>
  <si>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</si>
  <si>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</si>
  <si>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</si>
  <si>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</si>
  <si>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</si>
  <si>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</si>
  <si>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</si>
  <si>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</si>
  <si>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</si>
  <si>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</si>
  <si>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</si>
  <si>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</si>
  <si>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</si>
  <si>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</si>
  <si>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</si>
  <si>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</si>
  <si>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</si>
  <si>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</si>
  <si>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</si>
  <si>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</si>
  <si>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</si>
  <si>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</si>
  <si>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</si>
  <si>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</si>
  <si>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</si>
  <si>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</si>
  <si>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</si>
  <si>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</si>
  <si>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</si>
  <si>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</si>
  <si>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</si>
  <si>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</si>
  <si>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</si>
  <si>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</si>
  <si>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</si>
  <si>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</si>
  <si>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</si>
  <si>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</si>
  <si>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</si>
  <si>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</si>
  <si>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</si>
  <si>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</si>
  <si>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</si>
  <si>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</si>
  <si>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</si>
  <si>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</si>
  <si>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</si>
  <si>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</si>
  <si>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</si>
  <si>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</si>
  <si>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</si>
  <si>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</si>
  <si>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</si>
  <si>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</si>
  <si>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</si>
  <si>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</si>
  <si>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</si>
  <si>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</si>
  <si>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</si>
  <si>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</si>
  <si>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</si>
  <si>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</si>
  <si>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</si>
  <si>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</si>
  <si>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</si>
  <si>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</si>
  <si>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</si>
  <si>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</si>
  <si>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</si>
  <si>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</si>
  <si>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</si>
  <si>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</si>
  <si>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</si>
  <si>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</si>
  <si>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</si>
  <si>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</si>
  <si>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</si>
  <si>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</si>
  <si>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</si>
  <si>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</si>
  <si>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</si>
  <si>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</si>
  <si>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</si>
  <si>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</si>
  <si>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</si>
  <si>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</si>
  <si>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</si>
  <si>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</si>
  <si>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</si>
  <si>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</si>
  <si>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</si>
  <si>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</si>
  <si>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</si>
  <si>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</si>
  <si>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</si>
  <si>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</si>
  <si>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</si>
  <si>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</si>
  <si>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</si>
  <si>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</si>
  <si>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</si>
  <si>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</si>
  <si>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</si>
  <si>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</si>
  <si>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</si>
  <si>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</si>
  <si>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</si>
  <si>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</si>
  <si>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</si>
  <si>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</si>
  <si>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</si>
  <si>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</si>
  <si>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</si>
  <si>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</si>
  <si>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</si>
  <si>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</si>
  <si>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</si>
  <si>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</si>
  <si>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</si>
  <si>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</si>
  <si>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</si>
  <si>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</si>
  <si>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</si>
  <si>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</si>
  <si>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</si>
  <si>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</si>
  <si>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</si>
  <si>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</si>
  <si>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</si>
  <si>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</si>
  <si>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</si>
  <si>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</si>
  <si>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</si>
  <si>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</si>
  <si>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</si>
  <si>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</si>
  <si>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</si>
  <si>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</si>
  <si>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</si>
  <si>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</si>
  <si>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</si>
  <si>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</si>
  <si>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</si>
  <si>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</si>
  <si>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</si>
  <si>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</si>
  <si>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</si>
  <si>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</si>
  <si>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</si>
  <si>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</si>
  <si>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</si>
  <si>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</si>
  <si>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</si>
  <si>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</si>
  <si>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</si>
  <si>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</si>
  <si>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</si>
  <si>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</si>
  <si>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</si>
  <si>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</si>
  <si>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</si>
  <si>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</si>
  <si>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</si>
  <si>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</si>
  <si>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</si>
  <si>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</si>
  <si>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</si>
  <si>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</si>
  <si>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</si>
  <si>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</si>
  <si>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</si>
  <si>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</si>
  <si>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</si>
  <si>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</si>
  <si>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</si>
  <si>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</si>
  <si>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</si>
  <si>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</si>
  <si>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</si>
  <si>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</si>
  <si>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</si>
  <si>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</si>
  <si>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</si>
  <si>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</si>
  <si>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</si>
  <si>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</si>
  <si>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</si>
  <si>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</si>
  <si>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</si>
  <si>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</si>
  <si>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</si>
  <si>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</si>
  <si>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</si>
  <si>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</si>
  <si>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</si>
  <si>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</si>
  <si>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</si>
  <si>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</si>
  <si>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</si>
  <si>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</si>
  <si>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</si>
  <si>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</si>
  <si>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</si>
  <si>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</si>
  <si>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</si>
  <si>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</si>
  <si>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</si>
  <si>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</si>
  <si>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</si>
  <si>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</si>
  <si>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</si>
  <si>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</si>
  <si>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</si>
  <si>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</si>
  <si>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</si>
  <si>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</si>
  <si>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</si>
  <si>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</si>
  <si>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</si>
  <si>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</si>
  <si>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</si>
  <si>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</si>
  <si>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</si>
  <si>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</si>
  <si>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</si>
  <si>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</si>
  <si>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</si>
  <si>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</si>
  <si>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</si>
  <si>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</si>
  <si>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</si>
  <si>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</si>
  <si>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</si>
  <si>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</si>
  <si>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</si>
  <si>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</si>
  <si>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</si>
  <si>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</si>
  <si>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</si>
  <si>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</si>
  <si>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</si>
  <si>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</si>
  <si>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</si>
  <si>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</si>
  <si>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</si>
  <si>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</si>
  <si>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</si>
  <si>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</si>
  <si>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</si>
  <si>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</si>
  <si>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</si>
  <si>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</si>
  <si>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</si>
  <si>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</si>
  <si>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</si>
  <si>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</si>
  <si>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</si>
  <si>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</si>
  <si>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</si>
  <si>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</si>
  <si>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</si>
  <si>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</si>
  <si>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</si>
  <si>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</si>
  <si>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</si>
  <si>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</si>
  <si>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</si>
  <si>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</si>
  <si>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</si>
  <si>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</si>
  <si>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</si>
  <si>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</si>
  <si>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</si>
  <si>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</si>
  <si>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</si>
  <si>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</si>
  <si>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</si>
  <si>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</si>
  <si>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</si>
  <si>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</si>
  <si>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</si>
  <si>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</si>
  <si>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</si>
  <si>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</si>
  <si>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</si>
  <si>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</si>
  <si>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</si>
  <si>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</si>
  <si>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</si>
  <si>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</si>
  <si>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</si>
  <si>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</si>
  <si>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</si>
  <si>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</si>
  <si>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</si>
  <si>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</si>
  <si>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</si>
  <si>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</si>
  <si>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</si>
  <si>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</si>
  <si>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</si>
  <si>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</si>
  <si>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</si>
  <si>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</si>
  <si>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</si>
  <si>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</si>
  <si>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</si>
  <si>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</si>
  <si>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</si>
  <si>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</si>
  <si>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</si>
  <si>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</si>
  <si>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</si>
  <si>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</si>
  <si>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</si>
  <si>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</si>
  <si>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</si>
  <si>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</si>
  <si>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</si>
  <si>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</si>
  <si>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</si>
  <si>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</si>
  <si>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</si>
  <si>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(2026)</t>
    </r>
  </si>
  <si>
    <t>Por acum Anual</t>
  </si>
  <si>
    <t>De acuerdo a anuncios de prensa</t>
  </si>
  <si>
    <t>Listado de Cargos</t>
  </si>
  <si>
    <t xml:space="preserve">Canasta de Indigencia: </t>
  </si>
  <si>
    <t>Es de Noviembre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</si>
  <si>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</si>
  <si>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</si>
  <si>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</si>
  <si>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</si>
  <si>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>de la canasta básica total"</t>
  </si>
  <si>
    <t>Inicial sin montos en negro:</t>
  </si>
  <si>
    <t>IPC Acum Anual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</si>
  <si>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</si>
  <si>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</si>
  <si>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</si>
  <si>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</si>
  <si>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</si>
  <si>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</si>
  <si>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</si>
  <si>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</si>
  <si>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</si>
  <si>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</si>
  <si>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</si>
  <si>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</si>
  <si>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</si>
  <si>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</si>
  <si>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</si>
  <si>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</si>
  <si>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</si>
  <si>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</si>
  <si>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</si>
  <si>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</si>
  <si>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</si>
  <si>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</si>
  <si>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</si>
  <si>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</si>
  <si>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</si>
  <si>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</si>
  <si>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</si>
  <si>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</si>
  <si>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</si>
  <si>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</si>
  <si>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</si>
  <si>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</si>
  <si>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</si>
  <si>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indicedic25</t>
  </si>
  <si>
    <t>Indiceproljordic25</t>
  </si>
  <si>
    <t>Aclaración importante:</t>
  </si>
  <si>
    <t>Realizado de acuerdo a datos de prensa</t>
  </si>
  <si>
    <t>Ipc</t>
  </si>
  <si>
    <t>Puede haber errores</t>
  </si>
  <si>
    <t>Sirve como herramienta orientativa</t>
  </si>
  <si>
    <t>Punto Índice</t>
  </si>
  <si>
    <t>% de aumento</t>
  </si>
  <si>
    <t>P. Índice Jor Comp.</t>
  </si>
  <si>
    <t>Efecto de la base de cálculo no actualizada</t>
  </si>
  <si>
    <t>completar el cargo a la izquierda y buscar el resultado a la derecha</t>
  </si>
  <si>
    <t>PUNTOS basicos</t>
  </si>
  <si>
    <t>tarea DIFER.</t>
  </si>
  <si>
    <t>Prol JORN</t>
  </si>
  <si>
    <t>Combas2016</t>
  </si>
  <si>
    <t>Adic Esc Nina</t>
  </si>
  <si>
    <t>Comp dir 2016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</si>
  <si>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</si>
  <si>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</si>
  <si>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</si>
  <si>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</si>
  <si>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</si>
  <si>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</si>
  <si>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</si>
  <si>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</si>
  <si>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</si>
  <si>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</si>
  <si>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</si>
  <si>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</si>
  <si>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</si>
  <si>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Puntos básicos</t>
  </si>
  <si>
    <t>Puntos de jornada completa</t>
  </si>
  <si>
    <t>Sin Montos en negro:</t>
  </si>
  <si>
    <t>Complemento NEP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</si>
  <si>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</si>
  <si>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</si>
  <si>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</si>
  <si>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</si>
  <si>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</si>
  <si>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</si>
  <si>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</si>
  <si>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</si>
  <si>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</si>
  <si>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</si>
  <si>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</si>
  <si>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</si>
  <si>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</si>
  <si>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</si>
  <si>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</si>
  <si>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</si>
  <si>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</si>
  <si>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</si>
  <si>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</si>
  <si>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</si>
  <si>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Nuevo cod Bonif y Remun</t>
  </si>
  <si>
    <t>Compensación por traslado</t>
  </si>
  <si>
    <t>Varios</t>
  </si>
  <si>
    <t>Total Asignaciones Familiares</t>
  </si>
  <si>
    <t>Total nominal provincia</t>
  </si>
  <si>
    <t>FOPID</t>
  </si>
  <si>
    <t>Conectividad Provincial</t>
  </si>
  <si>
    <t>Negro</t>
  </si>
  <si>
    <t>Nuevo Monto en Negro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</si>
  <si>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</si>
  <si>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</si>
  <si>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</si>
  <si>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</si>
  <si>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</si>
  <si>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</si>
  <si>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</si>
  <si>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</si>
  <si>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</si>
  <si>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Remunerativo</t>
  </si>
  <si>
    <t>Porcentaje Remunerativo</t>
  </si>
  <si>
    <t>4000xx</t>
  </si>
  <si>
    <t>Sueldo líquido</t>
  </si>
  <si>
    <t>Total remunerativos</t>
  </si>
  <si>
    <t>Aumento del mes</t>
  </si>
  <si>
    <t>Porc resp a anterior</t>
  </si>
  <si>
    <t>Rem Porcentual</t>
  </si>
  <si>
    <t>Porcentaje acumulado</t>
  </si>
  <si>
    <t>Aumento Remunerativo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</si>
  <si>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</si>
  <si>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</si>
  <si>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</si>
  <si>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</si>
  <si>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</si>
  <si>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</si>
  <si>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</si>
  <si>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</si>
  <si>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</si>
  <si>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</si>
  <si>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</si>
  <si>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</si>
  <si>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</si>
  <si>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</si>
  <si>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</si>
  <si>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</si>
  <si>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</si>
  <si>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</si>
  <si>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</si>
  <si>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</si>
  <si>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</si>
  <si>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</si>
  <si>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</si>
  <si>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</si>
  <si>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</si>
  <si>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</si>
  <si>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Aumento acumulado anual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</si>
  <si>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</si>
  <si>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</si>
  <si>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</si>
  <si>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</si>
  <si>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</si>
  <si>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</si>
  <si>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</si>
  <si>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</si>
  <si>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</si>
  <si>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indicemay26</t>
  </si>
  <si>
    <t>Indiceproljormay26</t>
  </si>
  <si>
    <t>Aumentomayo26</t>
  </si>
  <si>
    <t xml:space="preserve">Sueldo inicial: </t>
  </si>
  <si>
    <t>Sueldo Mayo respecto a CBT Abril</t>
  </si>
  <si>
    <t>Sueldo Mayo respecto a CBA Abril</t>
  </si>
  <si>
    <t>Hasta Noviembre</t>
  </si>
  <si>
    <t>Actualizado 27/05/2026</t>
  </si>
  <si>
    <r>
      <t xml:space="preserve">Desde Dic 25 a </t>
    </r>
    <r>
      <rPr>
        <b/>
        <sz val="22"/>
        <color theme="0"/>
        <rFont val="Arial"/>
        <family val="2"/>
      </rPr>
      <t>Mayo 26</t>
    </r>
  </si>
  <si>
    <t>ay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</si>
</sst>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$&quot;\ * #,##0.00_-;\-&quot;$&quot;\ * #,##0.00_-;_-&quot;$&quot;\ * &quot;-&quot;??_-;_-@_-"/>
    <numFmt numFmtId="164" formatCode="0.0"/>
    <numFmt numFmtId="165" formatCode="_-&quot;$&quot;\ * #,##0_-;\-&quot;$&quot;\ * #,##0_-;_-&quot;$&quot;\ * &quot;-&quot;??_-;_-@_-"/>
    <numFmt numFmtId="166" formatCode="0.0%"/>
    <numFmt numFmtId="167" formatCode="0.000"/>
    <numFmt numFmtId="168" formatCode="0.00000"/>
    <numFmt numFmtId="169" formatCode="0.0000"/>
    <numFmt numFmtId="170" formatCode="0.000000"/>
    <numFmt numFmtId="171" formatCode="0.00000000"/>
    <numFmt numFmtId="172" formatCode="0.0000%"/>
    <numFmt numFmtId="173" formatCode="0.000%"/>
    <numFmt numFmtId="174" formatCode="#,000.00_);[Red]\(#,000.00\)"/>
    <numFmt numFmtId="175" formatCode="0.0000000"/>
    <numFmt numFmtId="178" formatCode="0.0000000%"/>
  </numFmts>
  <fonts count="1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16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8"/>
      <color rgb="FFFFFFFF"/>
      <name val="Arial"/>
      <family val="2"/>
    </font>
    <font>
      <sz val="10"/>
      <color rgb="FFFF0000"/>
      <name val="Arial"/>
      <family val="2"/>
    </font>
    <font>
      <b/>
      <u/>
      <sz val="12"/>
      <color rgb="FF0000FF"/>
      <name val="Arial"/>
      <family val="2"/>
    </font>
    <font>
      <b/>
      <sz val="14"/>
      <color theme="8" tint="0.59999389629810485"/>
      <name val="Arial"/>
      <family val="2"/>
    </font>
    <font>
      <sz val="14"/>
      <color theme="0"/>
      <name val="Arial"/>
      <family val="2"/>
    </font>
    <font>
      <sz val="12"/>
      <color theme="0"/>
      <name val="Arial"/>
      <family val="2"/>
    </font>
    <font>
      <sz val="16"/>
      <color theme="0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b/>
      <sz val="16"/>
      <color theme="4" tint="-0.499984740745262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b/>
      <sz val="12"/>
      <color rgb="FFFFFFFF"/>
      <name val="Arial"/>
      <family val="2"/>
    </font>
    <font>
      <b/>
      <sz val="14"/>
      <color rgb="FFFFFFFF"/>
      <name val="Arial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u/>
      <sz val="20"/>
      <color rgb="FF000080"/>
      <name val="&quot;Monotype Corsiva&quot;"/>
      <charset val="134"/>
    </font>
    <font>
      <b/>
      <sz val="12"/>
      <color rgb="FF0000FF"/>
      <name val="Arial"/>
      <family val="2"/>
    </font>
    <font>
      <b/>
      <sz val="12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b/>
      <u/>
      <sz val="22"/>
      <color rgb="FF000080"/>
      <name val="Calibri Light"/>
      <family val="2"/>
      <scheme val="major"/>
    </font>
    <font>
      <b/>
      <u/>
      <sz val="12"/>
      <color rgb="FF000080"/>
      <name val="Arial"/>
      <family val="2"/>
    </font>
    <font>
      <b/>
      <u/>
      <sz val="16"/>
      <name val="&quot;Monotype Corsiva&quot;"/>
      <charset val="134"/>
    </font>
    <font>
      <b/>
      <u/>
      <sz val="12"/>
      <color rgb="FFFFFFFF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2"/>
      <color theme="1"/>
      <name val="Calibri Light"/>
      <family val="2"/>
      <scheme val="major"/>
    </font>
    <font>
      <b/>
      <u/>
      <sz val="16"/>
      <color rgb="FF00008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b/>
      <sz val="16"/>
      <color rgb="FFFF0000"/>
      <name val="Arial"/>
      <family val="2"/>
    </font>
    <font>
      <sz val="10"/>
      <color theme="7"/>
      <name val="Arial"/>
      <family val="2"/>
    </font>
    <font>
      <b/>
      <sz val="12"/>
      <color rgb="FF002060"/>
      <name val="Arial"/>
      <family val="2"/>
    </font>
    <font>
      <b/>
      <sz val="11"/>
      <color theme="7"/>
      <name val="Arial"/>
      <family val="2"/>
    </font>
    <font>
      <b/>
      <sz val="11"/>
      <color theme="0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rgb="FF92D050"/>
      <name val="Arial"/>
      <family val="2"/>
    </font>
    <font>
      <sz val="9"/>
      <color rgb="FF000000"/>
      <name val="Arial"/>
      <family val="2"/>
    </font>
    <font>
      <b/>
      <sz val="10"/>
      <color rgb="FF92D05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u/>
      <sz val="18"/>
      <color theme="1"/>
      <name val="Arial"/>
      <family val="2"/>
    </font>
    <font>
      <b/>
      <sz val="14"/>
      <color rgb="FF800000"/>
      <name val="Arial"/>
      <family val="2"/>
    </font>
    <font>
      <b/>
      <sz val="14"/>
      <color rgb="FF0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sz val="20"/>
      <color theme="1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u/>
      <sz val="18"/>
      <color rgb="FF000080"/>
      <name val="Calibri Light"/>
      <family val="2"/>
      <scheme val="major"/>
    </font>
    <font>
      <sz val="12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b/>
      <sz val="10"/>
      <color rgb="FFFF3300"/>
      <name val="Arial"/>
      <family val="2"/>
    </font>
    <font>
      <b/>
      <sz val="20"/>
      <color rgb="FF00FF00"/>
      <name val="Arial"/>
      <family val="2"/>
    </font>
    <font>
      <sz val="11"/>
      <color rgb="FFFF0000"/>
      <name val="Arial"/>
      <family val="2"/>
    </font>
    <font>
      <b/>
      <sz val="12"/>
      <color rgb="FF990000"/>
      <name val="Arial"/>
      <family val="2"/>
    </font>
    <font>
      <b/>
      <u/>
      <sz val="16"/>
      <color rgb="FF800000"/>
      <name val="Arial"/>
      <family val="2"/>
    </font>
    <font>
      <b/>
      <sz val="11"/>
      <color rgb="FF800000"/>
      <name val="Arial"/>
      <family val="2"/>
    </font>
    <font>
      <sz val="14"/>
      <color rgb="FF000000"/>
      <name val="Arial"/>
      <family val="2"/>
    </font>
    <font>
      <b/>
      <u/>
      <sz val="18"/>
      <color rgb="FF000080"/>
      <name val="Calibri"/>
      <family val="2"/>
      <scheme val="minor"/>
    </font>
    <font>
      <b/>
      <u/>
      <sz val="12"/>
      <color rgb="FF000080"/>
      <name val="&quot;Monotype Corsiva&quot;"/>
      <charset val="134"/>
    </font>
    <font>
      <b/>
      <sz val="10"/>
      <color rgb="FF16365C"/>
      <name val="Arial"/>
      <family val="2"/>
    </font>
    <font>
      <b/>
      <u/>
      <sz val="10"/>
      <color rgb="FF000080"/>
      <name val="&quot;Monotype Corsiva&quot;"/>
      <charset val="134"/>
    </font>
    <font>
      <b/>
      <sz val="12"/>
      <color rgb="FF0F243E"/>
      <name val="Arial"/>
      <family val="2"/>
    </font>
    <font>
      <b/>
      <sz val="12"/>
      <color rgb="FF00FF00"/>
      <name val="Arial"/>
      <family val="2"/>
    </font>
    <font>
      <b/>
      <sz val="9"/>
      <color theme="4" tint="-0.499984740745262"/>
      <name val="Arial"/>
      <family val="2"/>
    </font>
    <font>
      <b/>
      <sz val="14"/>
      <color rgb="FF00FF00"/>
      <name val="Arial"/>
      <family val="2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6"/>
      <color rgb="FF002060"/>
      <name val="Arial"/>
      <family val="2"/>
    </font>
    <font>
      <b/>
      <sz val="18"/>
      <color theme="0"/>
      <name val="Arial"/>
      <family val="2"/>
    </font>
    <font>
      <b/>
      <sz val="22"/>
      <color theme="0"/>
      <name val="Arial"/>
      <family val="2"/>
    </font>
    <font>
      <sz val="10"/>
      <color theme="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00FF00"/>
        <bgColor indexed="64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rgb="FFC4D79B"/>
        <bgColor rgb="FFC4D79B"/>
      </patternFill>
    </fill>
    <fill>
      <patternFill patternType="solid">
        <fgColor theme="1"/>
        <bgColor rgb="FFFFFFFF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</fills>
  <borders count="12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/>
      <top style="thin">
        <color rgb="FFFFFF00"/>
      </top>
      <bottom/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/>
      <right/>
      <top style="thick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/>
      <right/>
      <top/>
      <bottom style="thick">
        <color rgb="FF00FF00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rgb="FF666666"/>
      </left>
      <right/>
      <top/>
      <bottom/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75">
    <xf numFmtId="0" fontId="0" fillId="0" borderId="0" xfId="0"/>
    <xf numFmtId="0" fontId="3" fillId="0" borderId="5" xfId="0" applyFont="1" applyBorder="1"/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4" borderId="5" xfId="0" applyNumberFormat="1" applyFont="1" applyFill="1" applyBorder="1" applyAlignment="1">
      <alignment horizontal="center" vertical="center" wrapText="1"/>
    </xf>
    <xf numFmtId="164" fontId="8" fillId="5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0" fillId="5" borderId="5" xfId="0" applyFont="1" applyFill="1" applyBorder="1" applyAlignment="1">
      <alignment horizontal="right"/>
    </xf>
    <xf numFmtId="1" fontId="10" fillId="0" borderId="5" xfId="0" applyNumberFormat="1" applyFont="1" applyBorder="1" applyAlignment="1">
      <alignment horizontal="right"/>
    </xf>
    <xf numFmtId="1" fontId="11" fillId="0" borderId="5" xfId="0" applyNumberFormat="1" applyFont="1" applyBorder="1" applyAlignment="1">
      <alignment horizontal="right"/>
    </xf>
    <xf numFmtId="0" fontId="8" fillId="4" borderId="5" xfId="0" applyFont="1" applyFill="1" applyBorder="1" applyAlignment="1">
      <alignment horizontal="center" vertical="center" wrapText="1" shrinkToFit="1"/>
    </xf>
    <xf numFmtId="2" fontId="8" fillId="4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/>
    <xf numFmtId="0" fontId="5" fillId="0" borderId="5" xfId="0" applyFont="1" applyBorder="1"/>
    <xf numFmtId="0" fontId="3" fillId="2" borderId="5" xfId="0" applyFont="1" applyFill="1" applyBorder="1"/>
    <xf numFmtId="0" fontId="6" fillId="0" borderId="5" xfId="0" applyFont="1" applyBorder="1" applyAlignment="1">
      <alignment horizontal="left"/>
    </xf>
    <xf numFmtId="0" fontId="7" fillId="3" borderId="5" xfId="0" applyFont="1" applyFill="1" applyBorder="1"/>
    <xf numFmtId="0" fontId="9" fillId="0" borderId="5" xfId="0" applyFont="1" applyBorder="1" applyAlignment="1">
      <alignment vertical="center" wrapText="1"/>
    </xf>
    <xf numFmtId="2" fontId="12" fillId="0" borderId="0" xfId="0" applyNumberFormat="1" applyFont="1" applyProtection="1">
      <protection locked="0"/>
    </xf>
    <xf numFmtId="2" fontId="12" fillId="6" borderId="0" xfId="0" applyNumberFormat="1" applyFont="1" applyFill="1"/>
    <xf numFmtId="2" fontId="13" fillId="6" borderId="0" xfId="0" applyNumberFormat="1" applyFont="1" applyFill="1" applyAlignment="1">
      <alignment horizontal="center"/>
    </xf>
    <xf numFmtId="17" fontId="14" fillId="6" borderId="0" xfId="0" applyNumberFormat="1" applyFont="1" applyFill="1" applyAlignment="1">
      <alignment horizontal="center"/>
    </xf>
    <xf numFmtId="10" fontId="13" fillId="6" borderId="0" xfId="2" applyNumberFormat="1" applyFont="1" applyFill="1" applyAlignment="1">
      <alignment horizontal="center"/>
    </xf>
    <xf numFmtId="2" fontId="15" fillId="7" borderId="4" xfId="0" applyNumberFormat="1" applyFont="1" applyFill="1" applyBorder="1" applyAlignment="1">
      <alignment horizontal="left"/>
    </xf>
    <xf numFmtId="2" fontId="17" fillId="7" borderId="4" xfId="0" applyNumberFormat="1" applyFont="1" applyFill="1" applyBorder="1" applyAlignment="1">
      <alignment horizontal="left"/>
    </xf>
    <xf numFmtId="2" fontId="18" fillId="0" borderId="4" xfId="0" applyNumberFormat="1" applyFont="1" applyBorder="1" applyAlignment="1">
      <alignment horizontal="left"/>
    </xf>
    <xf numFmtId="2" fontId="10" fillId="8" borderId="4" xfId="0" applyNumberFormat="1" applyFont="1" applyFill="1" applyBorder="1" applyAlignment="1">
      <alignment horizontal="left"/>
    </xf>
    <xf numFmtId="2" fontId="10" fillId="8" borderId="2" xfId="0" applyNumberFormat="1" applyFont="1" applyFill="1" applyBorder="1" applyAlignment="1">
      <alignment horizontal="left"/>
    </xf>
    <xf numFmtId="2" fontId="10" fillId="8" borderId="0" xfId="0" applyNumberFormat="1" applyFont="1" applyFill="1" applyAlignment="1">
      <alignment horizontal="left"/>
    </xf>
    <xf numFmtId="9" fontId="10" fillId="0" borderId="0" xfId="2" applyFont="1" applyAlignment="1"/>
    <xf numFmtId="2" fontId="10" fillId="0" borderId="0" xfId="0" applyNumberFormat="1" applyFont="1"/>
    <xf numFmtId="2" fontId="19" fillId="9" borderId="0" xfId="0" applyNumberFormat="1" applyFont="1" applyFill="1" applyAlignment="1">
      <alignment vertical="center"/>
    </xf>
    <xf numFmtId="2" fontId="20" fillId="9" borderId="0" xfId="0" applyNumberFormat="1" applyFont="1" applyFill="1" applyAlignment="1">
      <alignment vertical="center"/>
    </xf>
    <xf numFmtId="2" fontId="21" fillId="9" borderId="0" xfId="0" applyNumberFormat="1" applyFont="1" applyFill="1" applyAlignment="1">
      <alignment vertical="center"/>
    </xf>
    <xf numFmtId="2" fontId="22" fillId="9" borderId="0" xfId="0" applyNumberFormat="1" applyFont="1" applyFill="1" applyAlignment="1">
      <alignment vertical="center"/>
    </xf>
    <xf numFmtId="2" fontId="22" fillId="0" borderId="0" xfId="0" applyNumberFormat="1" applyFont="1" applyAlignment="1">
      <alignment vertical="center"/>
    </xf>
    <xf numFmtId="2" fontId="10" fillId="10" borderId="0" xfId="0" applyNumberFormat="1" applyFont="1" applyFill="1"/>
    <xf numFmtId="2" fontId="25" fillId="0" borderId="0" xfId="0" applyNumberFormat="1" applyFont="1"/>
    <xf numFmtId="2" fontId="0" fillId="0" borderId="0" xfId="0" applyNumberFormat="1"/>
    <xf numFmtId="1" fontId="12" fillId="0" borderId="0" xfId="0" applyNumberFormat="1" applyFont="1" applyAlignment="1">
      <alignment horizontal="right"/>
    </xf>
    <xf numFmtId="1" fontId="12" fillId="0" borderId="0" xfId="0" applyNumberFormat="1" applyFont="1"/>
    <xf numFmtId="2" fontId="26" fillId="11" borderId="0" xfId="0" applyNumberFormat="1" applyFont="1" applyFill="1" applyAlignment="1" applyProtection="1">
      <alignment vertical="center"/>
      <protection locked="0"/>
    </xf>
    <xf numFmtId="2" fontId="27" fillId="11" borderId="0" xfId="0" applyNumberFormat="1" applyFont="1" applyFill="1" applyAlignment="1">
      <alignment vertical="center"/>
    </xf>
    <xf numFmtId="2" fontId="28" fillId="11" borderId="0" xfId="0" applyNumberFormat="1" applyFont="1" applyFill="1" applyAlignment="1">
      <alignment vertical="center"/>
    </xf>
    <xf numFmtId="3" fontId="27" fillId="11" borderId="0" xfId="0" applyNumberFormat="1" applyFont="1" applyFill="1" applyAlignment="1">
      <alignment vertical="center"/>
    </xf>
    <xf numFmtId="165" fontId="29" fillId="11" borderId="0" xfId="1" applyNumberFormat="1" applyFont="1" applyFill="1" applyAlignment="1">
      <alignment vertical="center"/>
    </xf>
    <xf numFmtId="2" fontId="28" fillId="11" borderId="0" xfId="0" applyNumberFormat="1" applyFont="1" applyFill="1"/>
    <xf numFmtId="2" fontId="10" fillId="12" borderId="0" xfId="0" applyNumberFormat="1" applyFont="1" applyFill="1"/>
    <xf numFmtId="2" fontId="14" fillId="13" borderId="0" xfId="0" applyNumberFormat="1" applyFont="1" applyFill="1" applyProtection="1">
      <protection locked="0"/>
    </xf>
    <xf numFmtId="165" fontId="31" fillId="13" borderId="0" xfId="1" applyNumberFormat="1" applyFont="1" applyFill="1" applyAlignment="1" applyProtection="1">
      <alignment horizontal="center"/>
      <protection locked="0"/>
    </xf>
    <xf numFmtId="2" fontId="3" fillId="0" borderId="0" xfId="0" applyNumberFormat="1" applyFont="1"/>
    <xf numFmtId="9" fontId="14" fillId="0" borderId="0" xfId="2" applyFont="1" applyAlignment="1" applyProtection="1">
      <protection locked="0"/>
    </xf>
    <xf numFmtId="2" fontId="31" fillId="0" borderId="0" xfId="0" applyNumberFormat="1" applyFont="1"/>
    <xf numFmtId="2" fontId="14" fillId="0" borderId="0" xfId="0" applyNumberFormat="1" applyFont="1"/>
    <xf numFmtId="2" fontId="20" fillId="0" borderId="0" xfId="0" applyNumberFormat="1" applyFont="1"/>
    <xf numFmtId="2" fontId="21" fillId="0" borderId="0" xfId="0" applyNumberFormat="1" applyFont="1"/>
    <xf numFmtId="2" fontId="32" fillId="11" borderId="0" xfId="0" applyNumberFormat="1" applyFont="1" applyFill="1"/>
    <xf numFmtId="166" fontId="33" fillId="11" borderId="0" xfId="2" applyNumberFormat="1" applyFont="1" applyFill="1" applyAlignment="1"/>
    <xf numFmtId="2" fontId="34" fillId="0" borderId="0" xfId="0" applyNumberFormat="1" applyFont="1"/>
    <xf numFmtId="2" fontId="21" fillId="14" borderId="0" xfId="0" applyNumberFormat="1" applyFont="1" applyFill="1"/>
    <xf numFmtId="2" fontId="12" fillId="14" borderId="0" xfId="0" applyNumberFormat="1" applyFont="1" applyFill="1"/>
    <xf numFmtId="2" fontId="3" fillId="0" borderId="0" xfId="0" applyNumberFormat="1" applyFont="1" applyProtection="1">
      <protection locked="0"/>
    </xf>
    <xf numFmtId="10" fontId="35" fillId="15" borderId="0" xfId="2" applyNumberFormat="1" applyFont="1" applyFill="1" applyAlignment="1"/>
    <xf numFmtId="166" fontId="36" fillId="15" borderId="0" xfId="2" applyNumberFormat="1" applyFont="1" applyFill="1" applyAlignment="1"/>
    <xf numFmtId="2" fontId="10" fillId="14" borderId="0" xfId="0" applyNumberFormat="1" applyFont="1" applyFill="1"/>
    <xf numFmtId="2" fontId="20" fillId="5" borderId="0" xfId="0" applyNumberFormat="1" applyFont="1" applyFill="1"/>
    <xf numFmtId="166" fontId="37" fillId="5" borderId="0" xfId="2" applyNumberFormat="1" applyFont="1" applyFill="1" applyAlignment="1"/>
    <xf numFmtId="2" fontId="21" fillId="5" borderId="0" xfId="0" applyNumberFormat="1" applyFont="1" applyFill="1"/>
    <xf numFmtId="10" fontId="10" fillId="0" borderId="0" xfId="2" applyNumberFormat="1" applyFont="1" applyAlignment="1"/>
    <xf numFmtId="2" fontId="3" fillId="16" borderId="0" xfId="0" applyNumberFormat="1" applyFont="1" applyFill="1"/>
    <xf numFmtId="2" fontId="10" fillId="16" borderId="0" xfId="0" applyNumberFormat="1" applyFont="1" applyFill="1"/>
    <xf numFmtId="9" fontId="7" fillId="0" borderId="0" xfId="2" applyFont="1" applyFill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2" fontId="3" fillId="17" borderId="9" xfId="0" applyNumberFormat="1" applyFont="1" applyFill="1" applyBorder="1" applyAlignment="1">
      <alignment horizontal="left"/>
    </xf>
    <xf numFmtId="2" fontId="3" fillId="17" borderId="10" xfId="0" applyNumberFormat="1" applyFont="1" applyFill="1" applyBorder="1" applyAlignment="1">
      <alignment horizontal="left"/>
    </xf>
    <xf numFmtId="2" fontId="13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right"/>
    </xf>
    <xf numFmtId="2" fontId="3" fillId="17" borderId="1" xfId="0" applyNumberFormat="1" applyFont="1" applyFill="1" applyBorder="1" applyAlignment="1">
      <alignment horizontal="center"/>
    </xf>
    <xf numFmtId="2" fontId="3" fillId="17" borderId="6" xfId="0" applyNumberFormat="1" applyFont="1" applyFill="1" applyBorder="1" applyAlignment="1">
      <alignment horizontal="center"/>
    </xf>
    <xf numFmtId="2" fontId="7" fillId="0" borderId="0" xfId="0" applyNumberFormat="1" applyFont="1"/>
    <xf numFmtId="2" fontId="12" fillId="0" borderId="11" xfId="0" applyNumberFormat="1" applyFont="1" applyBorder="1" applyAlignment="1">
      <alignment horizontal="center"/>
    </xf>
    <xf numFmtId="2" fontId="10" fillId="0" borderId="8" xfId="0" applyNumberFormat="1" applyFont="1" applyBorder="1"/>
    <xf numFmtId="2" fontId="10" fillId="0" borderId="10" xfId="0" applyNumberFormat="1" applyFont="1" applyBorder="1"/>
    <xf numFmtId="2" fontId="38" fillId="0" borderId="10" xfId="0" applyNumberFormat="1" applyFont="1" applyBorder="1"/>
    <xf numFmtId="2" fontId="22" fillId="0" borderId="10" xfId="0" applyNumberFormat="1" applyFont="1" applyBorder="1"/>
    <xf numFmtId="2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2" fontId="3" fillId="18" borderId="1" xfId="0" applyNumberFormat="1" applyFont="1" applyFill="1" applyBorder="1" applyAlignment="1">
      <alignment horizontal="right"/>
    </xf>
    <xf numFmtId="2" fontId="3" fillId="18" borderId="10" xfId="0" applyNumberFormat="1" applyFont="1" applyFill="1" applyBorder="1" applyAlignment="1">
      <alignment horizontal="right"/>
    </xf>
    <xf numFmtId="9" fontId="7" fillId="19" borderId="9" xfId="2" applyFont="1" applyFill="1" applyBorder="1" applyAlignment="1">
      <alignment horizontal="right"/>
    </xf>
    <xf numFmtId="1" fontId="13" fillId="0" borderId="12" xfId="0" applyNumberFormat="1" applyFont="1" applyBorder="1" applyAlignment="1">
      <alignment horizontal="center"/>
    </xf>
    <xf numFmtId="1" fontId="0" fillId="0" borderId="0" xfId="0" applyNumberFormat="1"/>
    <xf numFmtId="1" fontId="12" fillId="0" borderId="10" xfId="0" applyNumberFormat="1" applyFont="1" applyBorder="1" applyAlignment="1">
      <alignment horizontal="right"/>
    </xf>
    <xf numFmtId="2" fontId="3" fillId="18" borderId="2" xfId="0" applyNumberFormat="1" applyFont="1" applyFill="1" applyBorder="1" applyAlignment="1">
      <alignment horizontal="right"/>
    </xf>
    <xf numFmtId="9" fontId="7" fillId="19" borderId="13" xfId="2" applyFont="1" applyFill="1" applyBorder="1" applyAlignment="1">
      <alignment horizontal="right"/>
    </xf>
    <xf numFmtId="9" fontId="7" fillId="8" borderId="13" xfId="2" applyFont="1" applyFill="1" applyBorder="1" applyAlignment="1">
      <alignment horizontal="right"/>
    </xf>
    <xf numFmtId="2" fontId="12" fillId="0" borderId="0" xfId="0" applyNumberFormat="1" applyFont="1"/>
    <xf numFmtId="167" fontId="3" fillId="0" borderId="0" xfId="0" applyNumberFormat="1" applyFont="1"/>
    <xf numFmtId="2" fontId="39" fillId="8" borderId="14" xfId="0" applyNumberFormat="1" applyFont="1" applyFill="1" applyBorder="1"/>
    <xf numFmtId="2" fontId="39" fillId="8" borderId="15" xfId="0" applyNumberFormat="1" applyFont="1" applyFill="1" applyBorder="1"/>
    <xf numFmtId="2" fontId="40" fillId="8" borderId="15" xfId="0" applyNumberFormat="1" applyFont="1" applyFill="1" applyBorder="1"/>
    <xf numFmtId="2" fontId="23" fillId="8" borderId="16" xfId="0" applyNumberFormat="1" applyFont="1" applyFill="1" applyBorder="1"/>
    <xf numFmtId="2" fontId="39" fillId="0" borderId="0" xfId="0" applyNumberFormat="1" applyFont="1"/>
    <xf numFmtId="2" fontId="12" fillId="16" borderId="0" xfId="0" applyNumberFormat="1" applyFont="1" applyFill="1"/>
    <xf numFmtId="2" fontId="39" fillId="8" borderId="17" xfId="0" applyNumberFormat="1" applyFont="1" applyFill="1" applyBorder="1"/>
    <xf numFmtId="2" fontId="41" fillId="0" borderId="0" xfId="0" applyNumberFormat="1" applyFont="1" applyAlignment="1">
      <alignment horizontal="right"/>
    </xf>
    <xf numFmtId="2" fontId="39" fillId="0" borderId="0" xfId="0" applyNumberFormat="1" applyFont="1" applyAlignment="1">
      <alignment horizontal="center"/>
    </xf>
    <xf numFmtId="2" fontId="42" fillId="8" borderId="18" xfId="0" applyNumberFormat="1" applyFont="1" applyFill="1" applyBorder="1"/>
    <xf numFmtId="2" fontId="43" fillId="0" borderId="0" xfId="0" applyNumberFormat="1" applyFont="1"/>
    <xf numFmtId="2" fontId="42" fillId="8" borderId="0" xfId="0" applyNumberFormat="1" applyFont="1" applyFill="1"/>
    <xf numFmtId="2" fontId="43" fillId="0" borderId="0" xfId="0" applyNumberFormat="1" applyFont="1" applyAlignment="1">
      <alignment horizontal="right"/>
    </xf>
    <xf numFmtId="2" fontId="30" fillId="16" borderId="0" xfId="0" applyNumberFormat="1" applyFont="1" applyFill="1"/>
    <xf numFmtId="2" fontId="30" fillId="0" borderId="0" xfId="0" applyNumberFormat="1" applyFont="1"/>
    <xf numFmtId="2" fontId="40" fillId="8" borderId="17" xfId="0" applyNumberFormat="1" applyFont="1" applyFill="1" applyBorder="1"/>
    <xf numFmtId="2" fontId="44" fillId="8" borderId="18" xfId="0" applyNumberFormat="1" applyFont="1" applyFill="1" applyBorder="1"/>
    <xf numFmtId="2" fontId="44" fillId="8" borderId="0" xfId="0" applyNumberFormat="1" applyFont="1" applyFill="1"/>
    <xf numFmtId="2" fontId="39" fillId="0" borderId="3" xfId="0" applyNumberFormat="1" applyFont="1" applyBorder="1"/>
    <xf numFmtId="2" fontId="41" fillId="0" borderId="19" xfId="0" applyNumberFormat="1" applyFont="1" applyBorder="1" applyAlignment="1">
      <alignment horizontal="right"/>
    </xf>
    <xf numFmtId="2" fontId="10" fillId="3" borderId="0" xfId="0" applyNumberFormat="1" applyFont="1" applyFill="1"/>
    <xf numFmtId="2" fontId="43" fillId="0" borderId="0" xfId="0" applyNumberFormat="1" applyFont="1" applyAlignment="1">
      <alignment horizontal="center"/>
    </xf>
    <xf numFmtId="2" fontId="45" fillId="16" borderId="0" xfId="0" applyNumberFormat="1" applyFont="1" applyFill="1"/>
    <xf numFmtId="2" fontId="45" fillId="0" borderId="0" xfId="0" applyNumberFormat="1" applyFont="1"/>
    <xf numFmtId="2" fontId="10" fillId="8" borderId="20" xfId="0" applyNumberFormat="1" applyFont="1" applyFill="1" applyBorder="1"/>
    <xf numFmtId="2" fontId="10" fillId="8" borderId="21" xfId="0" applyNumberFormat="1" applyFont="1" applyFill="1" applyBorder="1"/>
    <xf numFmtId="2" fontId="3" fillId="8" borderId="21" xfId="0" applyNumberFormat="1" applyFont="1" applyFill="1" applyBorder="1"/>
    <xf numFmtId="2" fontId="10" fillId="8" borderId="22" xfId="0" applyNumberFormat="1" applyFont="1" applyFill="1" applyBorder="1"/>
    <xf numFmtId="2" fontId="44" fillId="0" borderId="23" xfId="0" applyNumberFormat="1" applyFont="1" applyBorder="1"/>
    <xf numFmtId="2" fontId="46" fillId="20" borderId="24" xfId="0" applyNumberFormat="1" applyFont="1" applyFill="1" applyBorder="1"/>
    <xf numFmtId="2" fontId="46" fillId="3" borderId="25" xfId="0" applyNumberFormat="1" applyFont="1" applyFill="1" applyBorder="1"/>
    <xf numFmtId="2" fontId="3" fillId="3" borderId="0" xfId="0" applyNumberFormat="1" applyFont="1" applyFill="1"/>
    <xf numFmtId="2" fontId="3" fillId="3" borderId="27" xfId="0" applyNumberFormat="1" applyFont="1" applyFill="1" applyBorder="1"/>
    <xf numFmtId="2" fontId="44" fillId="0" borderId="0" xfId="0" applyNumberFormat="1" applyFont="1"/>
    <xf numFmtId="2" fontId="10" fillId="16" borderId="26" xfId="0" applyNumberFormat="1" applyFont="1" applyFill="1" applyBorder="1"/>
    <xf numFmtId="168" fontId="47" fillId="0" borderId="0" xfId="0" applyNumberFormat="1" applyFont="1"/>
    <xf numFmtId="169" fontId="10" fillId="0" borderId="0" xfId="0" applyNumberFormat="1" applyFont="1"/>
    <xf numFmtId="2" fontId="10" fillId="0" borderId="27" xfId="0" applyNumberFormat="1" applyFont="1" applyBorder="1"/>
    <xf numFmtId="170" fontId="10" fillId="0" borderId="0" xfId="0" applyNumberFormat="1" applyFont="1"/>
    <xf numFmtId="167" fontId="48" fillId="0" borderId="0" xfId="0" applyNumberFormat="1" applyFont="1"/>
    <xf numFmtId="167" fontId="10" fillId="0" borderId="0" xfId="0" applyNumberFormat="1" applyFont="1"/>
    <xf numFmtId="2" fontId="49" fillId="0" borderId="10" xfId="0" applyNumberFormat="1" applyFont="1" applyBorder="1"/>
    <xf numFmtId="2" fontId="51" fillId="0" borderId="0" xfId="0" applyNumberFormat="1" applyFont="1"/>
    <xf numFmtId="169" fontId="10" fillId="0" borderId="0" xfId="0" applyNumberFormat="1" applyFont="1" applyAlignment="1">
      <alignment horizontal="right"/>
    </xf>
    <xf numFmtId="169" fontId="0" fillId="0" borderId="0" xfId="0" applyNumberFormat="1"/>
    <xf numFmtId="2" fontId="10" fillId="21" borderId="0" xfId="0" applyNumberFormat="1" applyFont="1" applyFill="1"/>
    <xf numFmtId="170" fontId="22" fillId="0" borderId="0" xfId="0" applyNumberFormat="1" applyFont="1" applyAlignment="1">
      <alignment horizontal="right"/>
    </xf>
    <xf numFmtId="2" fontId="22" fillId="0" borderId="0" xfId="0" applyNumberFormat="1" applyFont="1"/>
    <xf numFmtId="171" fontId="10" fillId="0" borderId="0" xfId="0" applyNumberFormat="1" applyFont="1"/>
    <xf numFmtId="2" fontId="48" fillId="22" borderId="0" xfId="0" applyNumberFormat="1" applyFont="1" applyFill="1"/>
    <xf numFmtId="2" fontId="52" fillId="0" borderId="0" xfId="0" applyNumberFormat="1" applyFont="1"/>
    <xf numFmtId="169" fontId="10" fillId="0" borderId="0" xfId="2" applyNumberFormat="1" applyFont="1" applyAlignment="1"/>
    <xf numFmtId="2" fontId="22" fillId="0" borderId="0" xfId="0" applyNumberFormat="1" applyFont="1" applyAlignment="1">
      <alignment horizontal="right"/>
    </xf>
    <xf numFmtId="2" fontId="53" fillId="0" borderId="29" xfId="0" applyNumberFormat="1" applyFont="1" applyBorder="1" applyAlignment="1">
      <alignment vertical="center"/>
    </xf>
    <xf numFmtId="172" fontId="10" fillId="0" borderId="0" xfId="2" applyNumberFormat="1" applyFont="1" applyAlignment="1"/>
    <xf numFmtId="2" fontId="53" fillId="0" borderId="0" xfId="0" applyNumberFormat="1" applyFont="1" applyAlignment="1">
      <alignment horizontal="center"/>
    </xf>
    <xf numFmtId="2" fontId="10" fillId="8" borderId="0" xfId="0" applyNumberFormat="1" applyFont="1" applyFill="1"/>
    <xf numFmtId="2" fontId="53" fillId="0" borderId="30" xfId="0" applyNumberFormat="1" applyFont="1" applyBorder="1" applyAlignment="1">
      <alignment vertical="center"/>
    </xf>
    <xf numFmtId="2" fontId="13" fillId="0" borderId="0" xfId="0" applyNumberFormat="1" applyFont="1" applyAlignment="1">
      <alignment horizontal="left"/>
    </xf>
    <xf numFmtId="166" fontId="53" fillId="0" borderId="0" xfId="2" applyNumberFormat="1" applyFont="1" applyAlignment="1">
      <alignment horizontal="center"/>
    </xf>
    <xf numFmtId="2" fontId="10" fillId="22" borderId="0" xfId="0" applyNumberFormat="1" applyFont="1" applyFill="1"/>
    <xf numFmtId="2" fontId="54" fillId="23" borderId="31" xfId="0" applyNumberFormat="1" applyFont="1" applyFill="1" applyBorder="1"/>
    <xf numFmtId="169" fontId="55" fillId="23" borderId="31" xfId="2" applyNumberFormat="1" applyFont="1" applyFill="1" applyBorder="1" applyAlignment="1"/>
    <xf numFmtId="2" fontId="54" fillId="23" borderId="0" xfId="0" applyNumberFormat="1" applyFont="1" applyFill="1"/>
    <xf numFmtId="169" fontId="55" fillId="23" borderId="0" xfId="2" applyNumberFormat="1" applyFont="1" applyFill="1" applyAlignment="1"/>
    <xf numFmtId="173" fontId="53" fillId="0" borderId="0" xfId="2" applyNumberFormat="1" applyFont="1" applyAlignment="1">
      <alignment horizontal="center"/>
    </xf>
    <xf numFmtId="2" fontId="56" fillId="0" borderId="0" xfId="0" applyNumberFormat="1" applyFont="1"/>
    <xf numFmtId="2" fontId="57" fillId="0" borderId="0" xfId="0" applyNumberFormat="1" applyFont="1"/>
    <xf numFmtId="2" fontId="58" fillId="0" borderId="0" xfId="0" applyNumberFormat="1" applyFont="1"/>
    <xf numFmtId="2" fontId="59" fillId="0" borderId="0" xfId="0" applyNumberFormat="1" applyFont="1"/>
    <xf numFmtId="2" fontId="3" fillId="0" borderId="8" xfId="0" applyNumberFormat="1" applyFont="1" applyBorder="1"/>
    <xf numFmtId="2" fontId="3" fillId="0" borderId="10" xfId="0" applyNumberFormat="1" applyFont="1" applyBorder="1"/>
    <xf numFmtId="2" fontId="3" fillId="0" borderId="28" xfId="0" applyNumberFormat="1" applyFont="1" applyBorder="1"/>
    <xf numFmtId="2" fontId="3" fillId="0" borderId="5" xfId="0" applyNumberFormat="1" applyFont="1" applyBorder="1"/>
    <xf numFmtId="2" fontId="60" fillId="24" borderId="0" xfId="0" applyNumberFormat="1" applyFont="1" applyFill="1"/>
    <xf numFmtId="1" fontId="13" fillId="0" borderId="0" xfId="0" applyNumberFormat="1" applyFont="1"/>
    <xf numFmtId="1" fontId="5" fillId="0" borderId="7" xfId="0" applyNumberFormat="1" applyFont="1" applyBorder="1" applyAlignment="1" applyProtection="1">
      <alignment horizontal="right"/>
      <protection locked="0"/>
    </xf>
    <xf numFmtId="1" fontId="3" fillId="0" borderId="6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10" fillId="0" borderId="7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2" fontId="3" fillId="0" borderId="5" xfId="0" applyNumberFormat="1" applyFont="1" applyBorder="1" applyAlignment="1">
      <alignment horizontal="center"/>
    </xf>
    <xf numFmtId="1" fontId="47" fillId="24" borderId="0" xfId="0" applyNumberFormat="1" applyFont="1" applyFill="1"/>
    <xf numFmtId="2" fontId="48" fillId="0" borderId="8" xfId="0" applyNumberFormat="1" applyFont="1" applyBorder="1"/>
    <xf numFmtId="2" fontId="10" fillId="0" borderId="28" xfId="0" applyNumberFormat="1" applyFont="1" applyBorder="1"/>
    <xf numFmtId="2" fontId="47" fillId="0" borderId="9" xfId="0" applyNumberFormat="1" applyFont="1" applyBorder="1"/>
    <xf numFmtId="2" fontId="10" fillId="0" borderId="4" xfId="0" applyNumberFormat="1" applyFont="1" applyBorder="1"/>
    <xf numFmtId="1" fontId="61" fillId="0" borderId="32" xfId="0" applyNumberFormat="1" applyFont="1" applyBorder="1" applyProtection="1">
      <protection locked="0"/>
    </xf>
    <xf numFmtId="2" fontId="7" fillId="0" borderId="33" xfId="0" applyNumberFormat="1" applyFont="1" applyBorder="1" applyProtection="1">
      <protection locked="0"/>
    </xf>
    <xf numFmtId="9" fontId="3" fillId="0" borderId="34" xfId="2" applyFont="1" applyBorder="1" applyAlignment="1" applyProtection="1">
      <alignment horizontal="center"/>
      <protection locked="0"/>
    </xf>
    <xf numFmtId="2" fontId="10" fillId="0" borderId="35" xfId="0" applyNumberFormat="1" applyFont="1" applyBorder="1" applyProtection="1">
      <protection locked="0"/>
    </xf>
    <xf numFmtId="2" fontId="10" fillId="0" borderId="0" xfId="0" applyNumberFormat="1" applyFont="1" applyProtection="1">
      <protection locked="0"/>
    </xf>
    <xf numFmtId="2" fontId="62" fillId="0" borderId="0" xfId="0" applyNumberFormat="1" applyFont="1"/>
    <xf numFmtId="17" fontId="63" fillId="0" borderId="36" xfId="0" applyNumberFormat="1" applyFont="1" applyBorder="1" applyAlignment="1" applyProtection="1">
      <alignment horizontal="center"/>
      <protection locked="0"/>
    </xf>
    <xf numFmtId="17" fontId="63" fillId="0" borderId="5" xfId="0" applyNumberFormat="1" applyFont="1" applyBorder="1" applyAlignment="1" applyProtection="1">
      <alignment horizontal="center"/>
      <protection locked="0"/>
    </xf>
    <xf numFmtId="17" fontId="63" fillId="0" borderId="37" xfId="0" applyNumberFormat="1" applyFont="1" applyBorder="1" applyAlignment="1" applyProtection="1">
      <alignment horizontal="center"/>
      <protection locked="0"/>
    </xf>
    <xf numFmtId="17" fontId="63" fillId="0" borderId="35" xfId="0" applyNumberFormat="1" applyFont="1" applyBorder="1" applyAlignment="1" applyProtection="1">
      <alignment horizontal="center"/>
      <protection locked="0"/>
    </xf>
    <xf numFmtId="17" fontId="63" fillId="0" borderId="0" xfId="0" applyNumberFormat="1" applyFont="1" applyAlignment="1" applyProtection="1">
      <alignment horizontal="center"/>
      <protection locked="0"/>
    </xf>
    <xf numFmtId="2" fontId="62" fillId="0" borderId="0" xfId="0" applyNumberFormat="1" applyFont="1" applyProtection="1">
      <protection locked="0"/>
    </xf>
    <xf numFmtId="2" fontId="64" fillId="0" borderId="0" xfId="0" applyNumberFormat="1" applyFont="1"/>
    <xf numFmtId="2" fontId="10" fillId="0" borderId="38" xfId="0" applyNumberFormat="1" applyFont="1" applyBorder="1"/>
    <xf numFmtId="2" fontId="0" fillId="0" borderId="39" xfId="0" applyNumberFormat="1" applyBorder="1"/>
    <xf numFmtId="3" fontId="47" fillId="0" borderId="36" xfId="0" applyNumberFormat="1" applyFont="1" applyBorder="1" applyProtection="1">
      <protection locked="0"/>
    </xf>
    <xf numFmtId="3" fontId="47" fillId="0" borderId="5" xfId="0" applyNumberFormat="1" applyFont="1" applyBorder="1" applyProtection="1">
      <protection locked="0"/>
    </xf>
    <xf numFmtId="4" fontId="47" fillId="0" borderId="5" xfId="0" applyNumberFormat="1" applyFont="1" applyBorder="1" applyProtection="1">
      <protection locked="0"/>
    </xf>
    <xf numFmtId="4" fontId="47" fillId="0" borderId="37" xfId="0" applyNumberFormat="1" applyFont="1" applyBorder="1" applyProtection="1">
      <protection locked="0"/>
    </xf>
    <xf numFmtId="4" fontId="47" fillId="0" borderId="35" xfId="0" applyNumberFormat="1" applyFont="1" applyBorder="1" applyProtection="1">
      <protection locked="0"/>
    </xf>
    <xf numFmtId="4" fontId="47" fillId="0" borderId="0" xfId="0" applyNumberFormat="1" applyFont="1" applyProtection="1">
      <protection locked="0"/>
    </xf>
    <xf numFmtId="1" fontId="65" fillId="0" borderId="42" xfId="0" applyNumberFormat="1" applyFont="1" applyBorder="1" applyAlignment="1" applyProtection="1">
      <alignment horizontal="center"/>
      <protection locked="0"/>
    </xf>
    <xf numFmtId="2" fontId="57" fillId="0" borderId="38" xfId="0" applyNumberFormat="1" applyFont="1" applyBorder="1"/>
    <xf numFmtId="3" fontId="22" fillId="0" borderId="36" xfId="0" applyNumberFormat="1" applyFont="1" applyBorder="1" applyProtection="1">
      <protection locked="0"/>
    </xf>
    <xf numFmtId="3" fontId="22" fillId="0" borderId="5" xfId="2" applyNumberFormat="1" applyFont="1" applyFill="1" applyBorder="1" applyAlignment="1" applyProtection="1">
      <protection locked="0"/>
    </xf>
    <xf numFmtId="3" fontId="22" fillId="0" borderId="37" xfId="2" applyNumberFormat="1" applyFont="1" applyFill="1" applyBorder="1" applyAlignment="1" applyProtection="1">
      <protection locked="0"/>
    </xf>
    <xf numFmtId="3" fontId="22" fillId="0" borderId="35" xfId="2" applyNumberFormat="1" applyFont="1" applyFill="1" applyBorder="1" applyAlignment="1" applyProtection="1">
      <protection locked="0"/>
    </xf>
    <xf numFmtId="3" fontId="22" fillId="0" borderId="0" xfId="2" applyNumberFormat="1" applyFont="1" applyFill="1" applyBorder="1" applyAlignment="1" applyProtection="1">
      <protection locked="0"/>
    </xf>
    <xf numFmtId="1" fontId="14" fillId="0" borderId="44" xfId="0" applyNumberFormat="1" applyFont="1" applyBorder="1" applyAlignment="1" applyProtection="1">
      <alignment horizontal="center"/>
      <protection locked="0"/>
    </xf>
    <xf numFmtId="2" fontId="22" fillId="0" borderId="36" xfId="0" applyNumberFormat="1" applyFont="1" applyBorder="1" applyProtection="1">
      <protection locked="0"/>
    </xf>
    <xf numFmtId="10" fontId="22" fillId="0" borderId="5" xfId="2" applyNumberFormat="1" applyFont="1" applyFill="1" applyBorder="1" applyAlignment="1" applyProtection="1">
      <protection locked="0"/>
    </xf>
    <xf numFmtId="10" fontId="22" fillId="0" borderId="37" xfId="2" applyNumberFormat="1" applyFont="1" applyFill="1" applyBorder="1" applyAlignment="1" applyProtection="1">
      <protection locked="0"/>
    </xf>
    <xf numFmtId="10" fontId="22" fillId="0" borderId="35" xfId="2" applyNumberFormat="1" applyFont="1" applyFill="1" applyBorder="1" applyAlignment="1" applyProtection="1">
      <protection locked="0"/>
    </xf>
    <xf numFmtId="10" fontId="22" fillId="0" borderId="0" xfId="2" applyNumberFormat="1" applyFont="1" applyFill="1" applyBorder="1" applyAlignment="1" applyProtection="1">
      <protection locked="0"/>
    </xf>
    <xf numFmtId="2" fontId="10" fillId="0" borderId="45" xfId="0" applyNumberFormat="1" applyFont="1" applyBorder="1"/>
    <xf numFmtId="9" fontId="12" fillId="0" borderId="46" xfId="2" applyFont="1" applyBorder="1" applyAlignment="1">
      <alignment horizontal="center"/>
    </xf>
    <xf numFmtId="2" fontId="66" fillId="0" borderId="47" xfId="0" applyNumberFormat="1" applyFont="1" applyBorder="1" applyProtection="1">
      <protection locked="0"/>
    </xf>
    <xf numFmtId="166" fontId="66" fillId="0" borderId="48" xfId="2" applyNumberFormat="1" applyFont="1" applyFill="1" applyBorder="1" applyAlignment="1" applyProtection="1">
      <protection locked="0"/>
    </xf>
    <xf numFmtId="2" fontId="22" fillId="0" borderId="49" xfId="0" applyNumberFormat="1" applyFont="1" applyBorder="1" applyProtection="1">
      <protection locked="0"/>
    </xf>
    <xf numFmtId="1" fontId="13" fillId="25" borderId="50" xfId="0" applyNumberFormat="1" applyFont="1" applyFill="1" applyBorder="1" applyAlignment="1" applyProtection="1">
      <alignment horizontal="center"/>
      <protection locked="0"/>
    </xf>
    <xf numFmtId="2" fontId="12" fillId="3" borderId="51" xfId="0" applyNumberFormat="1" applyFont="1" applyFill="1" applyBorder="1" applyAlignment="1">
      <alignment horizontal="right"/>
    </xf>
    <xf numFmtId="4" fontId="68" fillId="26" borderId="52" xfId="2" applyNumberFormat="1" applyFont="1" applyFill="1" applyBorder="1" applyAlignment="1">
      <alignment horizontal="center"/>
    </xf>
    <xf numFmtId="1" fontId="20" fillId="0" borderId="50" xfId="0" applyNumberFormat="1" applyFont="1" applyBorder="1" applyAlignment="1">
      <alignment horizontal="right"/>
    </xf>
    <xf numFmtId="3" fontId="69" fillId="0" borderId="53" xfId="0" applyNumberFormat="1" applyFont="1" applyBorder="1"/>
    <xf numFmtId="3" fontId="14" fillId="25" borderId="0" xfId="0" applyNumberFormat="1" applyFont="1" applyFill="1" applyAlignment="1" applyProtection="1">
      <alignment horizontal="center"/>
      <protection locked="0"/>
    </xf>
    <xf numFmtId="164" fontId="70" fillId="0" borderId="55" xfId="0" applyNumberFormat="1" applyFont="1" applyBorder="1" applyAlignment="1">
      <alignment horizontal="right"/>
    </xf>
    <xf numFmtId="2" fontId="12" fillId="15" borderId="56" xfId="0" applyNumberFormat="1" applyFont="1" applyFill="1" applyBorder="1" applyAlignment="1">
      <alignment horizontal="right"/>
    </xf>
    <xf numFmtId="2" fontId="13" fillId="0" borderId="57" xfId="0" applyNumberFormat="1" applyFont="1" applyBorder="1"/>
    <xf numFmtId="2" fontId="71" fillId="27" borderId="58" xfId="0" applyNumberFormat="1" applyFont="1" applyFill="1" applyBorder="1"/>
    <xf numFmtId="2" fontId="72" fillId="27" borderId="59" xfId="0" applyNumberFormat="1" applyFont="1" applyFill="1" applyBorder="1"/>
    <xf numFmtId="1" fontId="73" fillId="27" borderId="60" xfId="0" applyNumberFormat="1" applyFont="1" applyFill="1" applyBorder="1" applyProtection="1">
      <protection locked="0"/>
    </xf>
    <xf numFmtId="3" fontId="74" fillId="15" borderId="53" xfId="0" applyNumberFormat="1" applyFont="1" applyFill="1" applyBorder="1"/>
    <xf numFmtId="174" fontId="75" fillId="0" borderId="61" xfId="0" applyNumberFormat="1" applyFont="1" applyBorder="1"/>
    <xf numFmtId="2" fontId="45" fillId="0" borderId="0" xfId="0" applyNumberFormat="1" applyFont="1" applyProtection="1">
      <protection locked="0"/>
    </xf>
    <xf numFmtId="2" fontId="48" fillId="0" borderId="1" xfId="0" applyNumberFormat="1" applyFont="1" applyBorder="1"/>
    <xf numFmtId="2" fontId="48" fillId="0" borderId="6" xfId="0" applyNumberFormat="1" applyFont="1" applyBorder="1"/>
    <xf numFmtId="2" fontId="3" fillId="0" borderId="6" xfId="0" applyNumberFormat="1" applyFont="1" applyBorder="1"/>
    <xf numFmtId="2" fontId="3" fillId="28" borderId="6" xfId="0" applyNumberFormat="1" applyFont="1" applyFill="1" applyBorder="1"/>
    <xf numFmtId="1" fontId="10" fillId="7" borderId="62" xfId="0" applyNumberFormat="1" applyFont="1" applyFill="1" applyBorder="1"/>
    <xf numFmtId="2" fontId="10" fillId="7" borderId="63" xfId="0" applyNumberFormat="1" applyFont="1" applyFill="1" applyBorder="1"/>
    <xf numFmtId="2" fontId="10" fillId="28" borderId="64" xfId="0" applyNumberFormat="1" applyFont="1" applyFill="1" applyBorder="1"/>
    <xf numFmtId="1" fontId="10" fillId="6" borderId="65" xfId="0" applyNumberFormat="1" applyFont="1" applyFill="1" applyBorder="1"/>
    <xf numFmtId="2" fontId="10" fillId="6" borderId="63" xfId="0" applyNumberFormat="1" applyFont="1" applyFill="1" applyBorder="1"/>
    <xf numFmtId="1" fontId="10" fillId="29" borderId="65" xfId="0" applyNumberFormat="1" applyFont="1" applyFill="1" applyBorder="1"/>
    <xf numFmtId="2" fontId="10" fillId="29" borderId="63" xfId="0" applyNumberFormat="1" applyFont="1" applyFill="1" applyBorder="1"/>
    <xf numFmtId="2" fontId="10" fillId="30" borderId="64" xfId="0" applyNumberFormat="1" applyFont="1" applyFill="1" applyBorder="1"/>
    <xf numFmtId="1" fontId="10" fillId="7" borderId="65" xfId="0" applyNumberFormat="1" applyFont="1" applyFill="1" applyBorder="1"/>
    <xf numFmtId="9" fontId="10" fillId="6" borderId="63" xfId="2" applyFont="1" applyFill="1" applyBorder="1"/>
    <xf numFmtId="9" fontId="10" fillId="7" borderId="63" xfId="2" applyFont="1" applyFill="1" applyBorder="1"/>
    <xf numFmtId="2" fontId="76" fillId="8" borderId="64" xfId="0" applyNumberFormat="1" applyFont="1" applyFill="1" applyBorder="1"/>
    <xf numFmtId="2" fontId="76" fillId="28" borderId="64" xfId="0" applyNumberFormat="1" applyFont="1" applyFill="1" applyBorder="1"/>
    <xf numFmtId="9" fontId="13" fillId="7" borderId="63" xfId="0" applyNumberFormat="1" applyFont="1" applyFill="1" applyBorder="1" applyProtection="1">
      <protection locked="0"/>
    </xf>
    <xf numFmtId="2" fontId="45" fillId="0" borderId="66" xfId="0" applyNumberFormat="1" applyFont="1" applyBorder="1"/>
    <xf numFmtId="1" fontId="10" fillId="6" borderId="66" xfId="0" applyNumberFormat="1" applyFont="1" applyFill="1" applyBorder="1"/>
    <xf numFmtId="2" fontId="10" fillId="6" borderId="66" xfId="0" applyNumberFormat="1" applyFont="1" applyFill="1" applyBorder="1"/>
    <xf numFmtId="2" fontId="76" fillId="28" borderId="66" xfId="0" applyNumberFormat="1" applyFont="1" applyFill="1" applyBorder="1"/>
    <xf numFmtId="1" fontId="65" fillId="7" borderId="67" xfId="0" applyNumberFormat="1" applyFont="1" applyFill="1" applyBorder="1" applyProtection="1">
      <protection locked="0"/>
    </xf>
    <xf numFmtId="2" fontId="10" fillId="7" borderId="67" xfId="0" applyNumberFormat="1" applyFont="1" applyFill="1" applyBorder="1"/>
    <xf numFmtId="2" fontId="76" fillId="28" borderId="68" xfId="0" applyNumberFormat="1" applyFont="1" applyFill="1" applyBorder="1"/>
    <xf numFmtId="1" fontId="35" fillId="31" borderId="69" xfId="0" applyNumberFormat="1" applyFont="1" applyFill="1" applyBorder="1" applyAlignment="1">
      <alignment horizontal="right"/>
    </xf>
    <xf numFmtId="1" fontId="65" fillId="31" borderId="69" xfId="0" applyNumberFormat="1" applyFont="1" applyFill="1" applyBorder="1" applyAlignment="1" applyProtection="1">
      <alignment horizontal="right"/>
      <protection locked="0"/>
    </xf>
    <xf numFmtId="2" fontId="77" fillId="31" borderId="69" xfId="0" applyNumberFormat="1" applyFont="1" applyFill="1" applyBorder="1"/>
    <xf numFmtId="2" fontId="77" fillId="32" borderId="5" xfId="0" applyNumberFormat="1" applyFont="1" applyFill="1" applyBorder="1"/>
    <xf numFmtId="2" fontId="77" fillId="31" borderId="5" xfId="0" applyNumberFormat="1" applyFont="1" applyFill="1" applyBorder="1"/>
    <xf numFmtId="1" fontId="10" fillId="6" borderId="62" xfId="0" applyNumberFormat="1" applyFont="1" applyFill="1" applyBorder="1"/>
    <xf numFmtId="1" fontId="10" fillId="6" borderId="67" xfId="0" applyNumberFormat="1" applyFont="1" applyFill="1" applyBorder="1"/>
    <xf numFmtId="2" fontId="10" fillId="6" borderId="67" xfId="0" applyNumberFormat="1" applyFont="1" applyFill="1" applyBorder="1"/>
    <xf numFmtId="2" fontId="13" fillId="7" borderId="63" xfId="0" applyNumberFormat="1" applyFont="1" applyFill="1" applyBorder="1" applyProtection="1">
      <protection locked="0"/>
    </xf>
    <xf numFmtId="2" fontId="47" fillId="6" borderId="63" xfId="0" applyNumberFormat="1" applyFont="1" applyFill="1" applyBorder="1"/>
    <xf numFmtId="2" fontId="78" fillId="28" borderId="64" xfId="0" applyNumberFormat="1" applyFont="1" applyFill="1" applyBorder="1"/>
    <xf numFmtId="1" fontId="65" fillId="7" borderId="63" xfId="0" applyNumberFormat="1" applyFont="1" applyFill="1" applyBorder="1" applyProtection="1">
      <protection locked="0"/>
    </xf>
    <xf numFmtId="1" fontId="65" fillId="6" borderId="63" xfId="0" applyNumberFormat="1" applyFont="1" applyFill="1" applyBorder="1" applyProtection="1">
      <protection locked="0"/>
    </xf>
    <xf numFmtId="2" fontId="3" fillId="0" borderId="69" xfId="0" applyNumberFormat="1" applyFont="1" applyBorder="1" applyAlignment="1">
      <alignment horizontal="right"/>
    </xf>
    <xf numFmtId="1" fontId="13" fillId="0" borderId="69" xfId="0" applyNumberFormat="1" applyFont="1" applyBorder="1" applyAlignment="1">
      <alignment horizontal="right"/>
    </xf>
    <xf numFmtId="2" fontId="79" fillId="11" borderId="69" xfId="0" applyNumberFormat="1" applyFont="1" applyFill="1" applyBorder="1"/>
    <xf numFmtId="2" fontId="79" fillId="11" borderId="69" xfId="0" applyNumberFormat="1" applyFont="1" applyFill="1" applyBorder="1" applyAlignment="1">
      <alignment horizontal="right"/>
    </xf>
    <xf numFmtId="2" fontId="47" fillId="0" borderId="69" xfId="0" applyNumberFormat="1" applyFont="1" applyBorder="1" applyAlignment="1">
      <alignment horizontal="left"/>
    </xf>
    <xf numFmtId="2" fontId="47" fillId="7" borderId="63" xfId="0" applyNumberFormat="1" applyFont="1" applyFill="1" applyBorder="1"/>
    <xf numFmtId="2" fontId="47" fillId="28" borderId="64" xfId="0" applyNumberFormat="1" applyFont="1" applyFill="1" applyBorder="1"/>
    <xf numFmtId="2" fontId="13" fillId="6" borderId="63" xfId="0" applyNumberFormat="1" applyFont="1" applyFill="1" applyBorder="1" applyProtection="1">
      <protection locked="0"/>
    </xf>
    <xf numFmtId="9" fontId="10" fillId="7" borderId="63" xfId="2" applyFont="1" applyFill="1" applyBorder="1" applyAlignment="1">
      <alignment horizontal="right"/>
    </xf>
    <xf numFmtId="10" fontId="10" fillId="7" borderId="63" xfId="0" applyNumberFormat="1" applyFont="1" applyFill="1" applyBorder="1" applyAlignment="1">
      <alignment horizontal="right"/>
    </xf>
    <xf numFmtId="9" fontId="65" fillId="7" borderId="63" xfId="0" applyNumberFormat="1" applyFont="1" applyFill="1" applyBorder="1" applyProtection="1">
      <protection locked="0"/>
    </xf>
    <xf numFmtId="2" fontId="10" fillId="6" borderId="65" xfId="0" applyNumberFormat="1" applyFont="1" applyFill="1" applyBorder="1"/>
    <xf numFmtId="2" fontId="10" fillId="7" borderId="70" xfId="0" applyNumberFormat="1" applyFont="1" applyFill="1" applyBorder="1"/>
    <xf numFmtId="2" fontId="10" fillId="7" borderId="71" xfId="0" applyNumberFormat="1" applyFont="1" applyFill="1" applyBorder="1"/>
    <xf numFmtId="2" fontId="47" fillId="7" borderId="71" xfId="0" applyNumberFormat="1" applyFont="1" applyFill="1" applyBorder="1"/>
    <xf numFmtId="4" fontId="47" fillId="7" borderId="71" xfId="0" applyNumberFormat="1" applyFont="1" applyFill="1" applyBorder="1"/>
    <xf numFmtId="2" fontId="47" fillId="28" borderId="72" xfId="0" applyNumberFormat="1" applyFont="1" applyFill="1" applyBorder="1"/>
    <xf numFmtId="2" fontId="10" fillId="0" borderId="6" xfId="0" applyNumberFormat="1" applyFont="1" applyBorder="1"/>
    <xf numFmtId="2" fontId="10" fillId="28" borderId="0" xfId="0" applyNumberFormat="1" applyFont="1" applyFill="1"/>
    <xf numFmtId="2" fontId="80" fillId="33" borderId="0" xfId="0" applyNumberFormat="1" applyFont="1" applyFill="1"/>
    <xf numFmtId="2" fontId="80" fillId="33" borderId="0" xfId="0" applyNumberFormat="1" applyFont="1" applyFill="1" applyProtection="1">
      <protection locked="0"/>
    </xf>
    <xf numFmtId="2" fontId="81" fillId="33" borderId="64" xfId="0" applyNumberFormat="1" applyFont="1" applyFill="1" applyBorder="1"/>
    <xf numFmtId="4" fontId="81" fillId="33" borderId="72" xfId="0" applyNumberFormat="1" applyFont="1" applyFill="1" applyBorder="1"/>
    <xf numFmtId="2" fontId="12" fillId="0" borderId="5" xfId="0" applyNumberFormat="1" applyFont="1" applyBorder="1"/>
    <xf numFmtId="4" fontId="12" fillId="0" borderId="73" xfId="0" applyNumberFormat="1" applyFont="1" applyBorder="1"/>
    <xf numFmtId="2" fontId="10" fillId="0" borderId="2" xfId="0" applyNumberFormat="1" applyFont="1" applyBorder="1"/>
    <xf numFmtId="2" fontId="21" fillId="0" borderId="0" xfId="0" applyNumberFormat="1" applyFont="1" applyAlignment="1">
      <alignment horizontal="center"/>
    </xf>
    <xf numFmtId="2" fontId="10" fillId="34" borderId="74" xfId="0" applyNumberFormat="1" applyFont="1" applyFill="1" applyBorder="1" applyAlignment="1">
      <alignment horizontal="left"/>
    </xf>
    <xf numFmtId="4" fontId="20" fillId="34" borderId="75" xfId="0" applyNumberFormat="1" applyFont="1" applyFill="1" applyBorder="1" applyAlignment="1">
      <alignment horizontal="left"/>
    </xf>
    <xf numFmtId="2" fontId="10" fillId="34" borderId="76" xfId="0" applyNumberFormat="1" applyFont="1" applyFill="1" applyBorder="1" applyAlignment="1">
      <alignment horizontal="left"/>
    </xf>
    <xf numFmtId="10" fontId="20" fillId="34" borderId="77" xfId="2" applyNumberFormat="1" applyFont="1" applyFill="1" applyBorder="1" applyAlignment="1">
      <alignment horizontal="center"/>
    </xf>
    <xf numFmtId="2" fontId="10" fillId="0" borderId="6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horizontal="left"/>
    </xf>
    <xf numFmtId="2" fontId="47" fillId="35" borderId="69" xfId="0" applyNumberFormat="1" applyFont="1" applyFill="1" applyBorder="1"/>
    <xf numFmtId="4" fontId="20" fillId="36" borderId="75" xfId="0" applyNumberFormat="1" applyFont="1" applyFill="1" applyBorder="1" applyAlignment="1">
      <alignment horizontal="left"/>
    </xf>
    <xf numFmtId="10" fontId="12" fillId="35" borderId="69" xfId="2" applyNumberFormat="1" applyFont="1" applyFill="1" applyBorder="1" applyAlignment="1">
      <alignment horizontal="center"/>
    </xf>
    <xf numFmtId="2" fontId="3" fillId="0" borderId="0" xfId="0" applyNumberFormat="1" applyFont="1" applyAlignment="1">
      <alignment horizontal="left"/>
    </xf>
    <xf numFmtId="2" fontId="10" fillId="37" borderId="78" xfId="0" applyNumberFormat="1" applyFont="1" applyFill="1" applyBorder="1" applyAlignment="1">
      <alignment horizontal="left"/>
    </xf>
    <xf numFmtId="4" fontId="12" fillId="37" borderId="79" xfId="0" applyNumberFormat="1" applyFont="1" applyFill="1" applyBorder="1" applyAlignment="1">
      <alignment horizontal="left"/>
    </xf>
    <xf numFmtId="2" fontId="10" fillId="37" borderId="80" xfId="0" applyNumberFormat="1" applyFont="1" applyFill="1" applyBorder="1" applyAlignment="1">
      <alignment horizontal="left"/>
    </xf>
    <xf numFmtId="166" fontId="12" fillId="37" borderId="81" xfId="2" applyNumberFormat="1" applyFont="1" applyFill="1" applyBorder="1" applyAlignment="1">
      <alignment horizontal="center"/>
    </xf>
    <xf numFmtId="2" fontId="10" fillId="38" borderId="82" xfId="0" applyNumberFormat="1" applyFont="1" applyFill="1" applyBorder="1" applyAlignment="1">
      <alignment horizontal="left"/>
    </xf>
    <xf numFmtId="4" fontId="3" fillId="38" borderId="83" xfId="0" applyNumberFormat="1" applyFont="1" applyFill="1" applyBorder="1" applyAlignment="1">
      <alignment horizontal="left"/>
    </xf>
    <xf numFmtId="2" fontId="10" fillId="38" borderId="84" xfId="0" applyNumberFormat="1" applyFont="1" applyFill="1" applyBorder="1" applyAlignment="1">
      <alignment horizontal="left"/>
    </xf>
    <xf numFmtId="10" fontId="12" fillId="38" borderId="85" xfId="2" applyNumberFormat="1" applyFont="1" applyFill="1" applyBorder="1" applyAlignment="1">
      <alignment horizontal="center"/>
    </xf>
    <xf numFmtId="2" fontId="47" fillId="0" borderId="86" xfId="0" applyNumberFormat="1" applyFont="1" applyBorder="1" applyAlignment="1">
      <alignment horizontal="left"/>
    </xf>
    <xf numFmtId="2" fontId="10" fillId="0" borderId="87" xfId="0" applyNumberFormat="1" applyFont="1" applyBorder="1" applyAlignment="1">
      <alignment horizontal="left"/>
    </xf>
    <xf numFmtId="2" fontId="10" fillId="0" borderId="88" xfId="0" applyNumberFormat="1" applyFont="1" applyBorder="1" applyAlignment="1">
      <alignment horizontal="left"/>
    </xf>
    <xf numFmtId="2" fontId="3" fillId="0" borderId="89" xfId="0" applyNumberFormat="1" applyFont="1" applyBorder="1" applyAlignment="1">
      <alignment horizontal="left"/>
    </xf>
    <xf numFmtId="2" fontId="10" fillId="0" borderId="89" xfId="0" applyNumberFormat="1" applyFont="1" applyBorder="1" applyAlignment="1">
      <alignment horizontal="left"/>
    </xf>
    <xf numFmtId="1" fontId="10" fillId="0" borderId="88" xfId="0" applyNumberFormat="1" applyFont="1" applyBorder="1" applyAlignment="1">
      <alignment horizontal="left"/>
    </xf>
    <xf numFmtId="2" fontId="12" fillId="0" borderId="88" xfId="0" applyNumberFormat="1" applyFont="1" applyBorder="1" applyAlignment="1">
      <alignment horizontal="left"/>
    </xf>
    <xf numFmtId="2" fontId="12" fillId="0" borderId="89" xfId="0" applyNumberFormat="1" applyFont="1" applyBorder="1" applyAlignment="1">
      <alignment horizontal="left"/>
    </xf>
    <xf numFmtId="2" fontId="12" fillId="28" borderId="6" xfId="0" applyNumberFormat="1" applyFont="1" applyFill="1" applyBorder="1"/>
    <xf numFmtId="2" fontId="10" fillId="0" borderId="90" xfId="0" applyNumberFormat="1" applyFont="1" applyBorder="1" applyAlignment="1">
      <alignment horizontal="left"/>
    </xf>
    <xf numFmtId="2" fontId="47" fillId="0" borderId="91" xfId="0" applyNumberFormat="1" applyFont="1" applyBorder="1" applyAlignment="1">
      <alignment horizontal="left"/>
    </xf>
    <xf numFmtId="2" fontId="45" fillId="28" borderId="0" xfId="0" applyNumberFormat="1" applyFont="1" applyFill="1"/>
    <xf numFmtId="168" fontId="45" fillId="0" borderId="0" xfId="0" applyNumberFormat="1" applyFont="1"/>
    <xf numFmtId="2" fontId="3" fillId="0" borderId="69" xfId="0" applyNumberFormat="1" applyFont="1" applyBorder="1"/>
    <xf numFmtId="1" fontId="10" fillId="0" borderId="69" xfId="0" applyNumberFormat="1" applyFont="1" applyBorder="1" applyAlignment="1">
      <alignment horizontal="center"/>
    </xf>
    <xf numFmtId="2" fontId="10" fillId="0" borderId="69" xfId="0" applyNumberFormat="1" applyFont="1" applyBorder="1"/>
    <xf numFmtId="2" fontId="82" fillId="0" borderId="69" xfId="0" applyNumberFormat="1" applyFont="1" applyBorder="1" applyAlignment="1">
      <alignment horizontal="left"/>
    </xf>
    <xf numFmtId="2" fontId="10" fillId="0" borderId="69" xfId="0" applyNumberFormat="1" applyFont="1" applyBorder="1" applyAlignment="1">
      <alignment horizontal="left"/>
    </xf>
    <xf numFmtId="2" fontId="82" fillId="8" borderId="69" xfId="0" applyNumberFormat="1" applyFont="1" applyFill="1" applyBorder="1" applyAlignment="1">
      <alignment horizontal="left"/>
    </xf>
    <xf numFmtId="1" fontId="10" fillId="6" borderId="69" xfId="0" applyNumberFormat="1" applyFont="1" applyFill="1" applyBorder="1" applyAlignment="1">
      <alignment horizontal="center"/>
    </xf>
    <xf numFmtId="2" fontId="10" fillId="6" borderId="69" xfId="0" applyNumberFormat="1" applyFont="1" applyFill="1" applyBorder="1"/>
    <xf numFmtId="2" fontId="82" fillId="6" borderId="69" xfId="0" applyNumberFormat="1" applyFont="1" applyFill="1" applyBorder="1" applyAlignment="1">
      <alignment horizontal="left"/>
    </xf>
    <xf numFmtId="2" fontId="10" fillId="6" borderId="69" xfId="0" applyNumberFormat="1" applyFont="1" applyFill="1" applyBorder="1" applyAlignment="1">
      <alignment horizontal="left"/>
    </xf>
    <xf numFmtId="2" fontId="83" fillId="8" borderId="69" xfId="0" applyNumberFormat="1" applyFont="1" applyFill="1" applyBorder="1" applyAlignment="1">
      <alignment horizontal="left"/>
    </xf>
    <xf numFmtId="2" fontId="84" fillId="0" borderId="0" xfId="0" applyNumberFormat="1" applyFont="1"/>
    <xf numFmtId="2" fontId="82" fillId="29" borderId="69" xfId="0" applyNumberFormat="1" applyFont="1" applyFill="1" applyBorder="1" applyAlignment="1">
      <alignment horizontal="left"/>
    </xf>
    <xf numFmtId="2" fontId="10" fillId="30" borderId="69" xfId="0" applyNumberFormat="1" applyFont="1" applyFill="1" applyBorder="1" applyAlignment="1">
      <alignment horizontal="left"/>
    </xf>
    <xf numFmtId="2" fontId="83" fillId="39" borderId="69" xfId="0" applyNumberFormat="1" applyFont="1" applyFill="1" applyBorder="1" applyAlignment="1">
      <alignment horizontal="left"/>
    </xf>
    <xf numFmtId="1" fontId="0" fillId="0" borderId="69" xfId="0" applyNumberFormat="1" applyBorder="1" applyAlignment="1">
      <alignment horizontal="center"/>
    </xf>
    <xf numFmtId="2" fontId="0" fillId="0" borderId="69" xfId="0" applyNumberFormat="1" applyBorder="1"/>
    <xf numFmtId="2" fontId="85" fillId="0" borderId="69" xfId="0" applyNumberFormat="1" applyFont="1" applyBorder="1" applyAlignment="1">
      <alignment horizontal="left"/>
    </xf>
    <xf numFmtId="2" fontId="0" fillId="0" borderId="69" xfId="0" applyNumberFormat="1" applyBorder="1" applyAlignment="1">
      <alignment horizontal="left"/>
    </xf>
    <xf numFmtId="1" fontId="10" fillId="40" borderId="69" xfId="0" applyNumberFormat="1" applyFont="1" applyFill="1" applyBorder="1" applyAlignment="1">
      <alignment horizontal="center"/>
    </xf>
    <xf numFmtId="2" fontId="10" fillId="40" borderId="69" xfId="0" applyNumberFormat="1" applyFont="1" applyFill="1" applyBorder="1"/>
    <xf numFmtId="2" fontId="10" fillId="40" borderId="69" xfId="0" applyNumberFormat="1" applyFont="1" applyFill="1" applyBorder="1" applyAlignment="1">
      <alignment horizontal="left"/>
    </xf>
    <xf numFmtId="2" fontId="24" fillId="8" borderId="69" xfId="0" applyNumberFormat="1" applyFont="1" applyFill="1" applyBorder="1"/>
    <xf numFmtId="2" fontId="10" fillId="6" borderId="69" xfId="0" applyNumberFormat="1" applyFont="1" applyFill="1" applyBorder="1" applyAlignment="1">
      <alignment horizontal="right"/>
    </xf>
    <xf numFmtId="2" fontId="24" fillId="8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left"/>
    </xf>
    <xf numFmtId="2" fontId="13" fillId="13" borderId="69" xfId="0" applyNumberFormat="1" applyFont="1" applyFill="1" applyBorder="1" applyAlignment="1">
      <alignment horizontal="left"/>
    </xf>
    <xf numFmtId="2" fontId="13" fillId="8" borderId="69" xfId="0" applyNumberFormat="1" applyFont="1" applyFill="1" applyBorder="1" applyAlignment="1">
      <alignment horizontal="right"/>
    </xf>
    <xf numFmtId="2" fontId="86" fillId="0" borderId="0" xfId="0" applyNumberFormat="1" applyFont="1"/>
    <xf numFmtId="2" fontId="87" fillId="41" borderId="69" xfId="0" applyNumberFormat="1" applyFont="1" applyFill="1" applyBorder="1"/>
    <xf numFmtId="9" fontId="13" fillId="0" borderId="69" xfId="2" applyFont="1" applyBorder="1" applyAlignment="1">
      <alignment horizontal="right"/>
    </xf>
    <xf numFmtId="2" fontId="3" fillId="0" borderId="69" xfId="0" applyNumberFormat="1" applyFont="1" applyBorder="1" applyAlignment="1">
      <alignment horizontal="left"/>
    </xf>
    <xf numFmtId="2" fontId="88" fillId="6" borderId="69" xfId="0" applyNumberFormat="1" applyFont="1" applyFill="1" applyBorder="1"/>
    <xf numFmtId="2" fontId="88" fillId="6" borderId="69" xfId="0" applyNumberFormat="1" applyFont="1" applyFill="1" applyBorder="1" applyAlignment="1">
      <alignment horizontal="left"/>
    </xf>
    <xf numFmtId="2" fontId="87" fillId="0" borderId="69" xfId="0" applyNumberFormat="1" applyFont="1" applyBorder="1"/>
    <xf numFmtId="2" fontId="89" fillId="0" borderId="0" xfId="0" applyNumberFormat="1" applyFont="1" applyAlignment="1">
      <alignment horizontal="left"/>
    </xf>
    <xf numFmtId="1" fontId="35" fillId="31" borderId="69" xfId="0" applyNumberFormat="1" applyFont="1" applyFill="1" applyBorder="1" applyAlignment="1">
      <alignment horizontal="center"/>
    </xf>
    <xf numFmtId="2" fontId="35" fillId="31" borderId="69" xfId="0" applyNumberFormat="1" applyFont="1" applyFill="1" applyBorder="1"/>
    <xf numFmtId="2" fontId="35" fillId="31" borderId="69" xfId="0" applyNumberFormat="1" applyFont="1" applyFill="1" applyBorder="1" applyAlignment="1">
      <alignment horizontal="left"/>
    </xf>
    <xf numFmtId="2" fontId="10" fillId="31" borderId="69" xfId="0" applyNumberFormat="1" applyFont="1" applyFill="1" applyBorder="1" applyAlignment="1">
      <alignment horizontal="left"/>
    </xf>
    <xf numFmtId="2" fontId="10" fillId="0" borderId="69" xfId="0" applyNumberFormat="1" applyFont="1" applyBorder="1" applyAlignment="1">
      <alignment horizontal="right"/>
    </xf>
    <xf numFmtId="2" fontId="10" fillId="0" borderId="0" xfId="0" applyNumberFormat="1" applyFont="1" applyAlignment="1">
      <alignment horizontal="left"/>
    </xf>
    <xf numFmtId="2" fontId="10" fillId="6" borderId="69" xfId="0" applyNumberFormat="1" applyFont="1" applyFill="1" applyBorder="1" applyAlignment="1">
      <alignment horizontal="center"/>
    </xf>
    <xf numFmtId="2" fontId="5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/>
    <xf numFmtId="4" fontId="90" fillId="6" borderId="69" xfId="0" applyNumberFormat="1" applyFont="1" applyFill="1" applyBorder="1" applyAlignment="1">
      <alignment horizontal="left"/>
    </xf>
    <xf numFmtId="2" fontId="5" fillId="8" borderId="69" xfId="0" applyNumberFormat="1" applyFont="1" applyFill="1" applyBorder="1"/>
    <xf numFmtId="168" fontId="10" fillId="0" borderId="69" xfId="0" applyNumberFormat="1" applyFont="1" applyBorder="1" applyAlignment="1">
      <alignment horizontal="left"/>
    </xf>
    <xf numFmtId="2" fontId="47" fillId="0" borderId="69" xfId="0" applyNumberFormat="1" applyFont="1" applyBorder="1"/>
    <xf numFmtId="2" fontId="10" fillId="8" borderId="69" xfId="0" applyNumberFormat="1" applyFont="1" applyFill="1" applyBorder="1"/>
    <xf numFmtId="2" fontId="12" fillId="6" borderId="69" xfId="0" applyNumberFormat="1" applyFont="1" applyFill="1" applyBorder="1"/>
    <xf numFmtId="2" fontId="12" fillId="8" borderId="69" xfId="0" applyNumberFormat="1" applyFont="1" applyFill="1" applyBorder="1"/>
    <xf numFmtId="10" fontId="10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center"/>
    </xf>
    <xf numFmtId="2" fontId="0" fillId="6" borderId="69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  <xf numFmtId="2" fontId="84" fillId="0" borderId="0" xfId="0" applyNumberFormat="1" applyFont="1" applyAlignment="1">
      <alignment horizontal="left"/>
    </xf>
    <xf numFmtId="2" fontId="5" fillId="6" borderId="69" xfId="0" applyNumberFormat="1" applyFont="1" applyFill="1" applyBorder="1"/>
    <xf numFmtId="2" fontId="10" fillId="0" borderId="69" xfId="0" applyNumberFormat="1" applyFont="1" applyBorder="1" applyAlignment="1">
      <alignment horizontal="center"/>
    </xf>
    <xf numFmtId="2" fontId="65" fillId="6" borderId="69" xfId="0" applyNumberFormat="1" applyFont="1" applyFill="1" applyBorder="1" applyAlignment="1">
      <alignment horizontal="right"/>
    </xf>
    <xf numFmtId="4" fontId="91" fillId="6" borderId="69" xfId="0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right"/>
    </xf>
    <xf numFmtId="2" fontId="10" fillId="8" borderId="69" xfId="0" applyNumberFormat="1" applyFont="1" applyFill="1" applyBorder="1" applyAlignment="1">
      <alignment horizontal="right"/>
    </xf>
    <xf numFmtId="2" fontId="12" fillId="0" borderId="69" xfId="0" applyNumberFormat="1" applyFont="1" applyBorder="1"/>
    <xf numFmtId="4" fontId="92" fillId="0" borderId="69" xfId="0" applyNumberFormat="1" applyFont="1" applyBorder="1" applyAlignment="1">
      <alignment horizontal="center"/>
    </xf>
    <xf numFmtId="2" fontId="93" fillId="0" borderId="0" xfId="0" applyNumberFormat="1" applyFont="1" applyAlignment="1">
      <alignment horizontal="left"/>
    </xf>
    <xf numFmtId="4" fontId="91" fillId="0" borderId="69" xfId="0" applyNumberFormat="1" applyFont="1" applyBorder="1" applyAlignment="1">
      <alignment horizontal="left"/>
    </xf>
    <xf numFmtId="2" fontId="91" fillId="0" borderId="69" xfId="0" applyNumberFormat="1" applyFont="1" applyBorder="1" applyAlignment="1">
      <alignment horizontal="left"/>
    </xf>
    <xf numFmtId="2" fontId="22" fillId="42" borderId="69" xfId="0" applyNumberFormat="1" applyFont="1" applyFill="1" applyBorder="1"/>
    <xf numFmtId="4" fontId="94" fillId="43" borderId="69" xfId="0" applyNumberFormat="1" applyFont="1" applyFill="1" applyBorder="1" applyAlignment="1">
      <alignment horizontal="left"/>
    </xf>
    <xf numFmtId="2" fontId="94" fillId="0" borderId="0" xfId="0" applyNumberFormat="1" applyFont="1" applyAlignment="1">
      <alignment horizontal="left"/>
    </xf>
    <xf numFmtId="10" fontId="94" fillId="43" borderId="69" xfId="2" applyNumberFormat="1" applyFont="1" applyFill="1" applyBorder="1" applyAlignment="1">
      <alignment horizontal="right"/>
    </xf>
    <xf numFmtId="2" fontId="94" fillId="0" borderId="0" xfId="0" applyNumberFormat="1" applyFont="1" applyAlignment="1">
      <alignment horizontal="right"/>
    </xf>
    <xf numFmtId="2" fontId="47" fillId="0" borderId="0" xfId="0" applyNumberFormat="1" applyFont="1"/>
    <xf numFmtId="2" fontId="22" fillId="0" borderId="69" xfId="0" applyNumberFormat="1" applyFont="1" applyBorder="1"/>
    <xf numFmtId="166" fontId="94" fillId="0" borderId="69" xfId="2" applyNumberFormat="1" applyFont="1" applyFill="1" applyBorder="1" applyAlignment="1">
      <alignment horizontal="right"/>
    </xf>
    <xf numFmtId="4" fontId="94" fillId="35" borderId="69" xfId="2" applyNumberFormat="1" applyFont="1" applyFill="1" applyBorder="1" applyAlignment="1">
      <alignment horizontal="left"/>
    </xf>
    <xf numFmtId="10" fontId="94" fillId="44" borderId="69" xfId="2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left"/>
    </xf>
    <xf numFmtId="2" fontId="22" fillId="45" borderId="69" xfId="0" applyNumberFormat="1" applyFont="1" applyFill="1" applyBorder="1"/>
    <xf numFmtId="4" fontId="94" fillId="45" borderId="69" xfId="0" applyNumberFormat="1" applyFont="1" applyFill="1" applyBorder="1" applyAlignment="1">
      <alignment horizontal="left"/>
    </xf>
    <xf numFmtId="10" fontId="94" fillId="45" borderId="69" xfId="2" applyNumberFormat="1" applyFont="1" applyFill="1" applyBorder="1" applyAlignment="1">
      <alignment horizontal="right"/>
    </xf>
    <xf numFmtId="166" fontId="94" fillId="45" borderId="69" xfId="2" applyNumberFormat="1" applyFont="1" applyFill="1" applyBorder="1" applyAlignment="1">
      <alignment horizontal="right"/>
    </xf>
    <xf numFmtId="2" fontId="91" fillId="0" borderId="69" xfId="0" applyNumberFormat="1" applyFont="1" applyBorder="1" applyAlignment="1">
      <alignment horizontal="right"/>
    </xf>
    <xf numFmtId="2" fontId="95" fillId="0" borderId="0" xfId="0" applyNumberFormat="1" applyFont="1" applyAlignment="1">
      <alignment horizontal="right"/>
    </xf>
    <xf numFmtId="2" fontId="96" fillId="38" borderId="69" xfId="0" applyNumberFormat="1" applyFont="1" applyFill="1" applyBorder="1"/>
    <xf numFmtId="2" fontId="50" fillId="0" borderId="69" xfId="0" applyNumberFormat="1" applyFont="1" applyBorder="1"/>
    <xf numFmtId="4" fontId="97" fillId="38" borderId="69" xfId="0" applyNumberFormat="1" applyFont="1" applyFill="1" applyBorder="1" applyAlignment="1">
      <alignment horizontal="left"/>
    </xf>
    <xf numFmtId="2" fontId="98" fillId="0" borderId="0" xfId="0" applyNumberFormat="1" applyFont="1"/>
    <xf numFmtId="2" fontId="99" fillId="22" borderId="0" xfId="0" applyNumberFormat="1" applyFont="1" applyFill="1"/>
    <xf numFmtId="1" fontId="100" fillId="0" borderId="0" xfId="0" applyNumberFormat="1" applyFont="1" applyProtection="1">
      <protection locked="0"/>
    </xf>
    <xf numFmtId="1" fontId="101" fillId="0" borderId="0" xfId="0" applyNumberFormat="1" applyFont="1" applyProtection="1">
      <protection locked="0"/>
    </xf>
    <xf numFmtId="1" fontId="100" fillId="0" borderId="32" xfId="0" applyNumberFormat="1" applyFont="1" applyBorder="1" applyProtection="1">
      <protection locked="0"/>
    </xf>
    <xf numFmtId="1" fontId="101" fillId="0" borderId="33" xfId="0" applyNumberFormat="1" applyFont="1" applyBorder="1" applyProtection="1">
      <protection locked="0"/>
    </xf>
    <xf numFmtId="9" fontId="3" fillId="0" borderId="33" xfId="2" applyFont="1" applyBorder="1" applyAlignment="1" applyProtection="1">
      <alignment horizontal="center"/>
      <protection locked="0"/>
    </xf>
    <xf numFmtId="2" fontId="0" fillId="0" borderId="92" xfId="0" applyNumberFormat="1" applyBorder="1" applyProtection="1">
      <protection locked="0"/>
    </xf>
    <xf numFmtId="2" fontId="0" fillId="0" borderId="0" xfId="0" applyNumberFormat="1" applyProtection="1">
      <protection locked="0"/>
    </xf>
    <xf numFmtId="17" fontId="10" fillId="0" borderId="0" xfId="0" applyNumberFormat="1" applyFont="1" applyProtection="1">
      <protection locked="0"/>
    </xf>
    <xf numFmtId="17" fontId="47" fillId="0" borderId="36" xfId="0" applyNumberFormat="1" applyFont="1" applyBorder="1" applyAlignment="1" applyProtection="1">
      <alignment horizontal="center"/>
      <protection locked="0"/>
    </xf>
    <xf numFmtId="17" fontId="47" fillId="0" borderId="5" xfId="0" applyNumberFormat="1" applyFont="1" applyBorder="1" applyAlignment="1" applyProtection="1">
      <alignment horizontal="center"/>
      <protection locked="0"/>
    </xf>
    <xf numFmtId="17" fontId="47" fillId="0" borderId="93" xfId="0" applyNumberFormat="1" applyFont="1" applyBorder="1" applyAlignment="1" applyProtection="1">
      <alignment horizontal="center"/>
      <protection locked="0"/>
    </xf>
    <xf numFmtId="17" fontId="47" fillId="0" borderId="0" xfId="0" applyNumberFormat="1" applyFont="1" applyAlignment="1" applyProtection="1">
      <alignment horizontal="center"/>
      <protection locked="0"/>
    </xf>
    <xf numFmtId="2" fontId="102" fillId="0" borderId="0" xfId="0" applyNumberFormat="1" applyFont="1"/>
    <xf numFmtId="3" fontId="10" fillId="0" borderId="0" xfId="0" applyNumberFormat="1" applyFont="1" applyProtection="1">
      <protection locked="0"/>
    </xf>
    <xf numFmtId="3" fontId="22" fillId="0" borderId="5" xfId="0" applyNumberFormat="1" applyFont="1" applyBorder="1" applyProtection="1">
      <protection locked="0"/>
    </xf>
    <xf numFmtId="3" fontId="66" fillId="0" borderId="5" xfId="0" applyNumberFormat="1" applyFont="1" applyBorder="1" applyProtection="1">
      <protection locked="0"/>
    </xf>
    <xf numFmtId="3" fontId="66" fillId="0" borderId="93" xfId="0" applyNumberFormat="1" applyFont="1" applyBorder="1" applyProtection="1">
      <protection locked="0"/>
    </xf>
    <xf numFmtId="3" fontId="66" fillId="0" borderId="0" xfId="0" applyNumberFormat="1" applyFont="1" applyProtection="1">
      <protection locked="0"/>
    </xf>
    <xf numFmtId="3" fontId="10" fillId="0" borderId="0" xfId="2" applyNumberFormat="1" applyFont="1" applyFill="1" applyBorder="1" applyAlignment="1" applyProtection="1">
      <protection locked="0"/>
    </xf>
    <xf numFmtId="3" fontId="38" fillId="0" borderId="0" xfId="0" applyNumberFormat="1" applyFont="1" applyProtection="1">
      <protection locked="0"/>
    </xf>
    <xf numFmtId="3" fontId="22" fillId="0" borderId="93" xfId="2" applyNumberFormat="1" applyFont="1" applyFill="1" applyBorder="1" applyAlignment="1" applyProtection="1">
      <protection locked="0"/>
    </xf>
    <xf numFmtId="1" fontId="13" fillId="0" borderId="14" xfId="0" applyNumberFormat="1" applyFont="1" applyBorder="1" applyAlignment="1" applyProtection="1">
      <alignment horizontal="center"/>
      <protection locked="0"/>
    </xf>
    <xf numFmtId="10" fontId="10" fillId="0" borderId="0" xfId="2" applyNumberFormat="1" applyFont="1" applyFill="1" applyBorder="1" applyAlignment="1" applyProtection="1">
      <protection locked="0"/>
    </xf>
    <xf numFmtId="2" fontId="38" fillId="0" borderId="0" xfId="0" applyNumberFormat="1" applyFont="1" applyProtection="1">
      <protection locked="0"/>
    </xf>
    <xf numFmtId="10" fontId="22" fillId="0" borderId="93" xfId="2" applyNumberFormat="1" applyFont="1" applyFill="1" applyBorder="1" applyAlignment="1" applyProtection="1">
      <protection locked="0"/>
    </xf>
    <xf numFmtId="1" fontId="13" fillId="0" borderId="9" xfId="0" applyNumberFormat="1" applyFont="1" applyBorder="1" applyAlignment="1" applyProtection="1">
      <alignment horizontal="center"/>
      <protection locked="0"/>
    </xf>
    <xf numFmtId="9" fontId="103" fillId="0" borderId="0" xfId="2" applyFont="1" applyFill="1" applyBorder="1" applyAlignment="1" applyProtection="1">
      <protection locked="0"/>
    </xf>
    <xf numFmtId="166" fontId="66" fillId="0" borderId="0" xfId="2" applyNumberFormat="1" applyFont="1" applyFill="1" applyBorder="1" applyAlignment="1" applyProtection="1">
      <protection locked="0"/>
    </xf>
    <xf numFmtId="2" fontId="66" fillId="0" borderId="48" xfId="0" applyNumberFormat="1" applyFont="1" applyBorder="1" applyProtection="1">
      <protection locked="0"/>
    </xf>
    <xf numFmtId="2" fontId="66" fillId="0" borderId="94" xfId="0" applyNumberFormat="1" applyFont="1" applyBorder="1" applyProtection="1">
      <protection locked="0"/>
    </xf>
    <xf numFmtId="2" fontId="66" fillId="0" borderId="0" xfId="0" applyNumberFormat="1" applyFont="1" applyProtection="1">
      <protection locked="0"/>
    </xf>
    <xf numFmtId="9" fontId="12" fillId="0" borderId="0" xfId="2" applyFont="1" applyAlignment="1">
      <alignment horizontal="center"/>
    </xf>
    <xf numFmtId="2" fontId="12" fillId="3" borderId="95" xfId="0" applyNumberFormat="1" applyFont="1" applyFill="1" applyBorder="1" applyAlignment="1">
      <alignment horizontal="right"/>
    </xf>
    <xf numFmtId="2" fontId="85" fillId="0" borderId="96" xfId="0" applyNumberFormat="1" applyFont="1" applyBorder="1"/>
    <xf numFmtId="2" fontId="104" fillId="0" borderId="97" xfId="0" applyNumberFormat="1" applyFont="1" applyBorder="1"/>
    <xf numFmtId="2" fontId="50" fillId="0" borderId="3" xfId="0" applyNumberFormat="1" applyFont="1" applyBorder="1"/>
    <xf numFmtId="1" fontId="12" fillId="0" borderId="3" xfId="0" applyNumberFormat="1" applyFont="1" applyBorder="1" applyAlignment="1" applyProtection="1">
      <alignment horizontal="center"/>
      <protection locked="0"/>
    </xf>
    <xf numFmtId="3" fontId="69" fillId="0" borderId="98" xfId="0" applyNumberFormat="1" applyFont="1" applyBorder="1"/>
    <xf numFmtId="3" fontId="12" fillId="0" borderId="0" xfId="0" applyNumberFormat="1" applyFont="1" applyAlignment="1" applyProtection="1">
      <alignment horizontal="center"/>
      <protection locked="0"/>
    </xf>
    <xf numFmtId="1" fontId="13" fillId="0" borderId="99" xfId="0" applyNumberFormat="1" applyFont="1" applyBorder="1" applyAlignment="1" applyProtection="1">
      <alignment horizontal="center"/>
      <protection locked="0"/>
    </xf>
    <xf numFmtId="3" fontId="60" fillId="0" borderId="0" xfId="0" applyNumberFormat="1" applyFont="1" applyAlignment="1">
      <alignment horizontal="left"/>
    </xf>
    <xf numFmtId="3" fontId="13" fillId="0" borderId="0" xfId="0" applyNumberFormat="1" applyFont="1" applyAlignment="1" applyProtection="1">
      <alignment horizontal="center"/>
      <protection locked="0"/>
    </xf>
    <xf numFmtId="166" fontId="72" fillId="27" borderId="0" xfId="2" applyNumberFormat="1" applyFont="1" applyFill="1" applyBorder="1" applyAlignment="1" applyProtection="1">
      <protection locked="0"/>
    </xf>
    <xf numFmtId="3" fontId="72" fillId="27" borderId="0" xfId="0" applyNumberFormat="1" applyFont="1" applyFill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169" fontId="13" fillId="0" borderId="0" xfId="0" applyNumberFormat="1" applyFont="1" applyAlignment="1" applyProtection="1">
      <alignment horizontal="center"/>
      <protection locked="0"/>
    </xf>
    <xf numFmtId="2" fontId="3" fillId="0" borderId="0" xfId="0" applyNumberFormat="1" applyFont="1" applyAlignment="1">
      <alignment horizontal="center"/>
    </xf>
    <xf numFmtId="2" fontId="20" fillId="0" borderId="4" xfId="0" applyNumberFormat="1" applyFont="1" applyBorder="1" applyAlignment="1">
      <alignment horizontal="right"/>
    </xf>
    <xf numFmtId="2" fontId="20" fillId="0" borderId="0" xfId="0" applyNumberFormat="1" applyFont="1" applyAlignment="1">
      <alignment horizontal="right"/>
    </xf>
    <xf numFmtId="2" fontId="10" fillId="46" borderId="0" xfId="0" applyNumberFormat="1" applyFont="1" applyFill="1"/>
    <xf numFmtId="2" fontId="3" fillId="0" borderId="100" xfId="0" applyNumberFormat="1" applyFont="1" applyBorder="1"/>
    <xf numFmtId="2" fontId="3" fillId="0" borderId="19" xfId="0" applyNumberFormat="1" applyFont="1" applyBorder="1"/>
    <xf numFmtId="2" fontId="3" fillId="0" borderId="3" xfId="0" applyNumberFormat="1" applyFont="1" applyBorder="1"/>
    <xf numFmtId="1" fontId="10" fillId="0" borderId="63" xfId="0" applyNumberFormat="1" applyFont="1" applyBorder="1" applyAlignment="1">
      <alignment horizontal="right"/>
    </xf>
    <xf numFmtId="1" fontId="47" fillId="0" borderId="63" xfId="0" applyNumberFormat="1" applyFont="1" applyBorder="1" applyAlignment="1">
      <alignment horizontal="right"/>
    </xf>
    <xf numFmtId="2" fontId="10" fillId="0" borderId="63" xfId="0" applyNumberFormat="1" applyFont="1" applyBorder="1"/>
    <xf numFmtId="4" fontId="10" fillId="7" borderId="63" xfId="0" applyNumberFormat="1" applyFont="1" applyFill="1" applyBorder="1" applyAlignment="1">
      <alignment horizontal="left"/>
    </xf>
    <xf numFmtId="4" fontId="10" fillId="7" borderId="64" xfId="0" applyNumberFormat="1" applyFont="1" applyFill="1" applyBorder="1" applyAlignment="1">
      <alignment horizontal="left"/>
    </xf>
    <xf numFmtId="2" fontId="0" fillId="28" borderId="0" xfId="0" applyNumberFormat="1" applyFill="1"/>
    <xf numFmtId="1" fontId="10" fillId="6" borderId="63" xfId="0" applyNumberFormat="1" applyFont="1" applyFill="1" applyBorder="1" applyAlignment="1">
      <alignment horizontal="right"/>
    </xf>
    <xf numFmtId="9" fontId="10" fillId="6" borderId="63" xfId="2" applyFont="1" applyFill="1" applyBorder="1" applyAlignment="1">
      <alignment horizontal="right"/>
    </xf>
    <xf numFmtId="4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 applyAlignment="1">
      <alignment horizontal="right"/>
    </xf>
    <xf numFmtId="2" fontId="10" fillId="0" borderId="63" xfId="0" applyNumberFormat="1" applyFont="1" applyBorder="1" applyAlignment="1">
      <alignment horizontal="left"/>
    </xf>
    <xf numFmtId="1" fontId="10" fillId="7" borderId="63" xfId="0" applyNumberFormat="1" applyFont="1" applyFill="1" applyBorder="1" applyAlignment="1">
      <alignment horizontal="right"/>
    </xf>
    <xf numFmtId="9" fontId="65" fillId="7" borderId="63" xfId="2" applyFont="1" applyFill="1" applyBorder="1" applyAlignment="1" applyProtection="1">
      <alignment horizontal="right"/>
      <protection locked="0"/>
    </xf>
    <xf numFmtId="1" fontId="22" fillId="6" borderId="63" xfId="0" applyNumberFormat="1" applyFont="1" applyFill="1" applyBorder="1" applyAlignment="1">
      <alignment horizontal="right"/>
    </xf>
    <xf numFmtId="4" fontId="12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/>
    <xf numFmtId="4" fontId="0" fillId="0" borderId="0" xfId="0" applyNumberFormat="1"/>
    <xf numFmtId="1" fontId="10" fillId="40" borderId="63" xfId="0" applyNumberFormat="1" applyFont="1" applyFill="1" applyBorder="1" applyAlignment="1">
      <alignment horizontal="right"/>
    </xf>
    <xf numFmtId="1" fontId="12" fillId="40" borderId="63" xfId="0" applyNumberFormat="1" applyFont="1" applyFill="1" applyBorder="1" applyAlignment="1">
      <alignment horizontal="right"/>
    </xf>
    <xf numFmtId="2" fontId="85" fillId="17" borderId="63" xfId="0" applyNumberFormat="1" applyFont="1" applyFill="1" applyBorder="1"/>
    <xf numFmtId="1" fontId="13" fillId="31" borderId="69" xfId="0" applyNumberFormat="1" applyFont="1" applyFill="1" applyBorder="1" applyAlignment="1" applyProtection="1">
      <alignment horizontal="right"/>
      <protection locked="0"/>
    </xf>
    <xf numFmtId="4" fontId="35" fillId="31" borderId="69" xfId="0" applyNumberFormat="1" applyFont="1" applyFill="1" applyBorder="1" applyAlignment="1">
      <alignment horizontal="left"/>
    </xf>
    <xf numFmtId="1" fontId="13" fillId="7" borderId="63" xfId="0" applyNumberFormat="1" applyFont="1" applyFill="1" applyBorder="1"/>
    <xf numFmtId="4" fontId="47" fillId="7" borderId="63" xfId="0" applyNumberFormat="1" applyFont="1" applyFill="1" applyBorder="1" applyAlignment="1">
      <alignment horizontal="left"/>
    </xf>
    <xf numFmtId="1" fontId="3" fillId="6" borderId="63" xfId="0" applyNumberFormat="1" applyFont="1" applyFill="1" applyBorder="1" applyAlignment="1">
      <alignment horizontal="right"/>
    </xf>
    <xf numFmtId="4" fontId="65" fillId="6" borderId="63" xfId="0" applyNumberFormat="1" applyFont="1" applyFill="1" applyBorder="1" applyAlignment="1" applyProtection="1">
      <alignment horizontal="right"/>
      <protection locked="0"/>
    </xf>
    <xf numFmtId="1" fontId="12" fillId="7" borderId="63" xfId="0" applyNumberFormat="1" applyFont="1" applyFill="1" applyBorder="1" applyAlignment="1">
      <alignment horizontal="right"/>
    </xf>
    <xf numFmtId="2" fontId="32" fillId="47" borderId="63" xfId="0" applyNumberFormat="1" applyFont="1" applyFill="1" applyBorder="1" applyAlignment="1">
      <alignment horizontal="left"/>
    </xf>
    <xf numFmtId="1" fontId="32" fillId="47" borderId="63" xfId="0" applyNumberFormat="1" applyFont="1" applyFill="1" applyBorder="1" applyAlignment="1">
      <alignment horizontal="right"/>
    </xf>
    <xf numFmtId="4" fontId="32" fillId="47" borderId="63" xfId="0" applyNumberFormat="1" applyFont="1" applyFill="1" applyBorder="1" applyAlignment="1">
      <alignment horizontal="left"/>
    </xf>
    <xf numFmtId="4" fontId="32" fillId="0" borderId="63" xfId="0" applyNumberFormat="1" applyFont="1" applyBorder="1" applyAlignment="1">
      <alignment horizontal="left"/>
    </xf>
    <xf numFmtId="1" fontId="0" fillId="6" borderId="63" xfId="0" applyNumberFormat="1" applyFill="1" applyBorder="1"/>
    <xf numFmtId="4" fontId="47" fillId="6" borderId="63" xfId="0" applyNumberFormat="1" applyFont="1" applyFill="1" applyBorder="1" applyAlignment="1">
      <alignment horizontal="left"/>
    </xf>
    <xf numFmtId="1" fontId="3" fillId="7" borderId="63" xfId="0" applyNumberFormat="1" applyFont="1" applyFill="1" applyBorder="1"/>
    <xf numFmtId="4" fontId="65" fillId="7" borderId="63" xfId="0" applyNumberFormat="1" applyFont="1" applyFill="1" applyBorder="1" applyAlignment="1" applyProtection="1">
      <alignment horizontal="left"/>
      <protection locked="0"/>
    </xf>
    <xf numFmtId="4" fontId="10" fillId="7" borderId="64" xfId="0" applyNumberFormat="1" applyFont="1" applyFill="1" applyBorder="1" applyAlignment="1">
      <alignment horizontal="right"/>
    </xf>
    <xf numFmtId="2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right"/>
    </xf>
    <xf numFmtId="1" fontId="10" fillId="7" borderId="63" xfId="0" applyNumberFormat="1" applyFont="1" applyFill="1" applyBorder="1" applyAlignment="1">
      <alignment horizontal="center"/>
    </xf>
    <xf numFmtId="9" fontId="5" fillId="7" borderId="63" xfId="2" applyFont="1" applyFill="1" applyBorder="1" applyAlignment="1" applyProtection="1">
      <alignment horizontal="right"/>
      <protection locked="0"/>
    </xf>
    <xf numFmtId="2" fontId="10" fillId="7" borderId="63" xfId="0" applyNumberFormat="1" applyFont="1" applyFill="1" applyBorder="1" applyAlignment="1">
      <alignment horizontal="left"/>
    </xf>
    <xf numFmtId="1" fontId="10" fillId="6" borderId="71" xfId="0" applyNumberFormat="1" applyFont="1" applyFill="1" applyBorder="1" applyAlignment="1">
      <alignment horizontal="center"/>
    </xf>
    <xf numFmtId="9" fontId="5" fillId="6" borderId="71" xfId="2" applyFont="1" applyFill="1" applyBorder="1" applyAlignment="1" applyProtection="1">
      <alignment horizontal="right"/>
      <protection locked="0"/>
    </xf>
    <xf numFmtId="2" fontId="10" fillId="6" borderId="71" xfId="0" applyNumberFormat="1" applyFont="1" applyFill="1" applyBorder="1"/>
    <xf numFmtId="4" fontId="10" fillId="6" borderId="71" xfId="0" applyNumberFormat="1" applyFont="1" applyFill="1" applyBorder="1" applyAlignment="1">
      <alignment horizontal="left"/>
    </xf>
    <xf numFmtId="4" fontId="10" fillId="6" borderId="72" xfId="0" applyNumberFormat="1" applyFont="1" applyFill="1" applyBorder="1" applyAlignment="1">
      <alignment horizontal="right"/>
    </xf>
    <xf numFmtId="2" fontId="3" fillId="0" borderId="72" xfId="0" applyNumberFormat="1" applyFont="1" applyBorder="1"/>
    <xf numFmtId="1" fontId="3" fillId="0" borderId="72" xfId="0" applyNumberFormat="1" applyFont="1" applyBorder="1"/>
    <xf numFmtId="2" fontId="47" fillId="0" borderId="72" xfId="0" applyNumberFormat="1" applyFont="1" applyBorder="1" applyAlignment="1">
      <alignment horizontal="left"/>
    </xf>
    <xf numFmtId="4" fontId="10" fillId="0" borderId="72" xfId="0" applyNumberFormat="1" applyFont="1" applyBorder="1" applyAlignment="1">
      <alignment horizontal="left"/>
    </xf>
    <xf numFmtId="4" fontId="47" fillId="0" borderId="72" xfId="0" applyNumberFormat="1" applyFont="1" applyBorder="1" applyAlignment="1">
      <alignment horizontal="right"/>
    </xf>
    <xf numFmtId="2" fontId="10" fillId="0" borderId="6" xfId="0" applyNumberFormat="1" applyFont="1" applyBorder="1" applyAlignment="1">
      <alignment horizontal="right"/>
    </xf>
    <xf numFmtId="2" fontId="80" fillId="33" borderId="0" xfId="0" applyNumberFormat="1" applyFont="1" applyFill="1" applyAlignment="1">
      <alignment horizontal="right"/>
    </xf>
    <xf numFmtId="2" fontId="81" fillId="33" borderId="3" xfId="0" applyNumberFormat="1" applyFont="1" applyFill="1" applyBorder="1"/>
    <xf numFmtId="4" fontId="81" fillId="33" borderId="64" xfId="0" applyNumberFormat="1" applyFont="1" applyFill="1" applyBorder="1" applyAlignment="1">
      <alignment horizontal="left"/>
    </xf>
    <xf numFmtId="4" fontId="81" fillId="33" borderId="72" xfId="0" applyNumberFormat="1" applyFont="1" applyFill="1" applyBorder="1" applyAlignment="1">
      <alignment horizontal="left"/>
    </xf>
    <xf numFmtId="2" fontId="81" fillId="33" borderId="0" xfId="0" applyNumberFormat="1" applyFont="1" applyFill="1"/>
    <xf numFmtId="2" fontId="10" fillId="11" borderId="0" xfId="0" applyNumberFormat="1" applyFont="1" applyFill="1" applyAlignment="1">
      <alignment horizontal="right"/>
    </xf>
    <xf numFmtId="4" fontId="12" fillId="0" borderId="5" xfId="0" applyNumberFormat="1" applyFont="1" applyBorder="1"/>
    <xf numFmtId="4" fontId="12" fillId="0" borderId="73" xfId="0" applyNumberFormat="1" applyFont="1" applyBorder="1" applyAlignment="1">
      <alignment horizontal="left"/>
    </xf>
    <xf numFmtId="2" fontId="12" fillId="28" borderId="0" xfId="0" applyNumberFormat="1" applyFont="1" applyFill="1"/>
    <xf numFmtId="2" fontId="47" fillId="0" borderId="101" xfId="0" applyNumberFormat="1" applyFont="1" applyBorder="1" applyAlignment="1">
      <alignment horizontal="left"/>
    </xf>
    <xf numFmtId="4" fontId="12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 applyProtection="1">
      <alignment horizontal="left"/>
      <protection locked="0"/>
    </xf>
    <xf numFmtId="2" fontId="10" fillId="0" borderId="0" xfId="0" applyNumberFormat="1" applyFont="1" applyAlignment="1">
      <alignment horizontal="center"/>
    </xf>
    <xf numFmtId="2" fontId="96" fillId="0" borderId="0" xfId="0" applyNumberFormat="1" applyFont="1"/>
    <xf numFmtId="2" fontId="10" fillId="34" borderId="102" xfId="0" applyNumberFormat="1" applyFont="1" applyFill="1" applyBorder="1" applyAlignment="1">
      <alignment horizontal="left"/>
    </xf>
    <xf numFmtId="2" fontId="96" fillId="28" borderId="0" xfId="0" applyNumberFormat="1" applyFont="1" applyFill="1"/>
    <xf numFmtId="2" fontId="10" fillId="34" borderId="103" xfId="0" applyNumberFormat="1" applyFont="1" applyFill="1" applyBorder="1" applyAlignment="1">
      <alignment horizontal="left"/>
    </xf>
    <xf numFmtId="2" fontId="10" fillId="0" borderId="104" xfId="0" applyNumberFormat="1" applyFont="1" applyBorder="1" applyAlignment="1">
      <alignment horizontal="left"/>
    </xf>
    <xf numFmtId="10" fontId="3" fillId="0" borderId="105" xfId="2" applyNumberFormat="1" applyFont="1" applyFill="1" applyBorder="1" applyAlignment="1">
      <alignment horizontal="left"/>
    </xf>
    <xf numFmtId="2" fontId="10" fillId="37" borderId="106" xfId="0" applyNumberFormat="1" applyFont="1" applyFill="1" applyBorder="1" applyAlignment="1">
      <alignment horizontal="left"/>
    </xf>
    <xf numFmtId="4" fontId="12" fillId="37" borderId="79" xfId="0" applyNumberFormat="1" applyFont="1" applyFill="1" applyBorder="1" applyAlignment="1">
      <alignment horizontal="center"/>
    </xf>
    <xf numFmtId="2" fontId="10" fillId="37" borderId="107" xfId="0" applyNumberFormat="1" applyFont="1" applyFill="1" applyBorder="1" applyAlignment="1">
      <alignment horizontal="left"/>
    </xf>
    <xf numFmtId="10" fontId="12" fillId="37" borderId="81" xfId="2" applyNumberFormat="1" applyFont="1" applyFill="1" applyBorder="1" applyAlignment="1">
      <alignment horizontal="center"/>
    </xf>
    <xf numFmtId="2" fontId="10" fillId="0" borderId="73" xfId="0" applyNumberFormat="1" applyFont="1" applyBorder="1" applyAlignment="1">
      <alignment horizontal="left"/>
    </xf>
    <xf numFmtId="2" fontId="12" fillId="0" borderId="72" xfId="0" applyNumberFormat="1" applyFont="1" applyBorder="1" applyAlignment="1">
      <alignment horizontal="center"/>
    </xf>
    <xf numFmtId="4" fontId="12" fillId="38" borderId="83" xfId="0" applyNumberFormat="1" applyFont="1" applyFill="1" applyBorder="1" applyAlignment="1">
      <alignment horizontal="center"/>
    </xf>
    <xf numFmtId="2" fontId="10" fillId="0" borderId="82" xfId="0" applyNumberFormat="1" applyFont="1" applyBorder="1" applyAlignment="1">
      <alignment horizontal="left"/>
    </xf>
    <xf numFmtId="4" fontId="12" fillId="0" borderId="83" xfId="0" applyNumberFormat="1" applyFont="1" applyBorder="1" applyAlignment="1">
      <alignment horizontal="center"/>
    </xf>
    <xf numFmtId="2" fontId="10" fillId="38" borderId="0" xfId="0" applyNumberFormat="1" applyFont="1" applyFill="1" applyAlignment="1">
      <alignment horizontal="left"/>
    </xf>
    <xf numFmtId="10" fontId="12" fillId="38" borderId="0" xfId="2" applyNumberFormat="1" applyFont="1" applyFill="1" applyBorder="1" applyAlignment="1">
      <alignment horizontal="center"/>
    </xf>
    <xf numFmtId="4" fontId="12" fillId="38" borderId="85" xfId="2" applyNumberFormat="1" applyFont="1" applyFill="1" applyBorder="1" applyAlignment="1">
      <alignment horizontal="center"/>
    </xf>
    <xf numFmtId="10" fontId="12" fillId="38" borderId="83" xfId="2" applyNumberFormat="1" applyFont="1" applyFill="1" applyBorder="1" applyAlignment="1">
      <alignment horizontal="center"/>
    </xf>
    <xf numFmtId="4" fontId="3" fillId="0" borderId="89" xfId="0" applyNumberFormat="1" applyFont="1" applyBorder="1" applyAlignment="1">
      <alignment horizontal="left"/>
    </xf>
    <xf numFmtId="2" fontId="10" fillId="48" borderId="88" xfId="0" applyNumberFormat="1" applyFont="1" applyFill="1" applyBorder="1" applyAlignment="1">
      <alignment horizontal="left"/>
    </xf>
    <xf numFmtId="2" fontId="10" fillId="48" borderId="89" xfId="0" applyNumberFormat="1" applyFont="1" applyFill="1" applyBorder="1" applyAlignment="1">
      <alignment horizontal="left"/>
    </xf>
    <xf numFmtId="2" fontId="96" fillId="0" borderId="0" xfId="0" applyNumberFormat="1" applyFont="1" applyProtection="1">
      <protection locked="0"/>
    </xf>
    <xf numFmtId="2" fontId="3" fillId="48" borderId="89" xfId="0" applyNumberFormat="1" applyFont="1" applyFill="1" applyBorder="1" applyAlignment="1">
      <alignment horizontal="left"/>
    </xf>
    <xf numFmtId="2" fontId="47" fillId="7" borderId="88" xfId="0" applyNumberFormat="1" applyFont="1" applyFill="1" applyBorder="1" applyAlignment="1">
      <alignment horizontal="left"/>
    </xf>
    <xf numFmtId="2" fontId="10" fillId="48" borderId="90" xfId="0" applyNumberFormat="1" applyFont="1" applyFill="1" applyBorder="1" applyAlignment="1">
      <alignment horizontal="left"/>
    </xf>
    <xf numFmtId="4" fontId="47" fillId="48" borderId="91" xfId="0" applyNumberFormat="1" applyFont="1" applyFill="1" applyBorder="1" applyAlignment="1">
      <alignment horizontal="left"/>
    </xf>
    <xf numFmtId="2" fontId="106" fillId="27" borderId="0" xfId="0" applyNumberFormat="1" applyFont="1" applyFill="1"/>
    <xf numFmtId="2" fontId="106" fillId="49" borderId="0" xfId="0" applyNumberFormat="1" applyFont="1" applyFill="1"/>
    <xf numFmtId="169" fontId="106" fillId="27" borderId="0" xfId="0" applyNumberFormat="1" applyFont="1" applyFill="1"/>
    <xf numFmtId="2" fontId="107" fillId="0" borderId="0" xfId="0" applyNumberFormat="1" applyFont="1"/>
    <xf numFmtId="1" fontId="10" fillId="6" borderId="69" xfId="0" applyNumberFormat="1" applyFont="1" applyFill="1" applyBorder="1" applyAlignment="1">
      <alignment horizontal="right"/>
    </xf>
    <xf numFmtId="2" fontId="47" fillId="6" borderId="69" xfId="0" applyNumberFormat="1" applyFont="1" applyFill="1" applyBorder="1" applyAlignment="1">
      <alignment horizontal="right"/>
    </xf>
    <xf numFmtId="2" fontId="10" fillId="50" borderId="69" xfId="0" applyNumberFormat="1" applyFont="1" applyFill="1" applyBorder="1"/>
    <xf numFmtId="1" fontId="10" fillId="0" borderId="69" xfId="0" applyNumberFormat="1" applyFont="1" applyBorder="1" applyAlignment="1">
      <alignment horizontal="right"/>
    </xf>
    <xf numFmtId="9" fontId="10" fillId="0" borderId="69" xfId="2" applyFont="1" applyBorder="1" applyAlignment="1">
      <alignment horizontal="right"/>
    </xf>
    <xf numFmtId="2" fontId="10" fillId="28" borderId="69" xfId="0" applyNumberFormat="1" applyFont="1" applyFill="1" applyBorder="1"/>
    <xf numFmtId="2" fontId="12" fillId="6" borderId="69" xfId="0" applyNumberFormat="1" applyFont="1" applyFill="1" applyBorder="1" applyAlignment="1">
      <alignment horizontal="right"/>
    </xf>
    <xf numFmtId="2" fontId="10" fillId="6" borderId="108" xfId="0" applyNumberFormat="1" applyFont="1" applyFill="1" applyBorder="1"/>
    <xf numFmtId="2" fontId="10" fillId="0" borderId="108" xfId="0" applyNumberFormat="1" applyFont="1" applyBorder="1"/>
    <xf numFmtId="1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left"/>
    </xf>
    <xf numFmtId="169" fontId="108" fillId="6" borderId="69" xfId="0" applyNumberFormat="1" applyFont="1" applyFill="1" applyBorder="1"/>
    <xf numFmtId="2" fontId="22" fillId="50" borderId="69" xfId="0" applyNumberFormat="1" applyFont="1" applyFill="1" applyBorder="1" applyAlignment="1">
      <alignment horizontal="left"/>
    </xf>
    <xf numFmtId="2" fontId="22" fillId="0" borderId="0" xfId="0" applyNumberFormat="1" applyFont="1" applyAlignment="1">
      <alignment horizontal="left"/>
    </xf>
    <xf numFmtId="168" fontId="10" fillId="6" borderId="69" xfId="0" applyNumberFormat="1" applyFont="1" applyFill="1" applyBorder="1"/>
    <xf numFmtId="9" fontId="13" fillId="40" borderId="69" xfId="2" applyFont="1" applyFill="1" applyBorder="1" applyAlignment="1">
      <alignment horizontal="right"/>
    </xf>
    <xf numFmtId="2" fontId="22" fillId="6" borderId="69" xfId="0" applyNumberFormat="1" applyFont="1" applyFill="1" applyBorder="1"/>
    <xf numFmtId="2" fontId="22" fillId="7" borderId="64" xfId="0" applyNumberFormat="1" applyFont="1" applyFill="1" applyBorder="1" applyAlignment="1">
      <alignment horizontal="left"/>
    </xf>
    <xf numFmtId="2" fontId="22" fillId="50" borderId="69" xfId="0" applyNumberFormat="1" applyFont="1" applyFill="1" applyBorder="1"/>
    <xf numFmtId="1" fontId="22" fillId="40" borderId="69" xfId="0" applyNumberFormat="1" applyFont="1" applyFill="1" applyBorder="1" applyAlignment="1">
      <alignment horizontal="right"/>
    </xf>
    <xf numFmtId="1" fontId="108" fillId="40" borderId="69" xfId="0" applyNumberFormat="1" applyFont="1" applyFill="1" applyBorder="1" applyAlignment="1">
      <alignment horizontal="right"/>
    </xf>
    <xf numFmtId="2" fontId="66" fillId="17" borderId="69" xfId="0" applyNumberFormat="1" applyFont="1" applyFill="1" applyBorder="1"/>
    <xf numFmtId="2" fontId="22" fillId="40" borderId="69" xfId="0" applyNumberFormat="1" applyFont="1" applyFill="1" applyBorder="1" applyAlignment="1">
      <alignment horizontal="left"/>
    </xf>
    <xf numFmtId="2" fontId="66" fillId="51" borderId="69" xfId="0" applyNumberFormat="1" applyFont="1" applyFill="1" applyBorder="1"/>
    <xf numFmtId="2" fontId="108" fillId="0" borderId="0" xfId="0" applyNumberFormat="1" applyFont="1"/>
    <xf numFmtId="2" fontId="47" fillId="40" borderId="69" xfId="0" applyNumberFormat="1" applyFont="1" applyFill="1" applyBorder="1" applyAlignment="1">
      <alignment horizontal="left"/>
    </xf>
    <xf numFmtId="2" fontId="85" fillId="51" borderId="69" xfId="0" applyNumberFormat="1" applyFont="1" applyFill="1" applyBorder="1"/>
    <xf numFmtId="2" fontId="65" fillId="0" borderId="0" xfId="0" applyNumberFormat="1" applyFont="1"/>
    <xf numFmtId="2" fontId="13" fillId="0" borderId="69" xfId="0" applyNumberFormat="1" applyFont="1" applyBorder="1"/>
    <xf numFmtId="2" fontId="47" fillId="0" borderId="69" xfId="0" applyNumberFormat="1" applyFont="1" applyBorder="1" applyAlignment="1">
      <alignment horizontal="right"/>
    </xf>
    <xf numFmtId="2" fontId="47" fillId="28" borderId="69" xfId="0" applyNumberFormat="1" applyFont="1" applyFill="1" applyBorder="1"/>
    <xf numFmtId="1" fontId="3" fillId="0" borderId="69" xfId="0" applyNumberFormat="1" applyFont="1" applyBorder="1" applyAlignment="1">
      <alignment horizontal="right"/>
    </xf>
    <xf numFmtId="2" fontId="65" fillId="40" borderId="69" xfId="0" applyNumberFormat="1" applyFont="1" applyFill="1" applyBorder="1" applyAlignment="1">
      <alignment horizontal="right"/>
    </xf>
    <xf numFmtId="2" fontId="22" fillId="28" borderId="69" xfId="0" applyNumberFormat="1" applyFont="1" applyFill="1" applyBorder="1"/>
    <xf numFmtId="2" fontId="12" fillId="0" borderId="69" xfId="0" applyNumberFormat="1" applyFont="1" applyBorder="1" applyAlignment="1">
      <alignment horizontal="right"/>
    </xf>
    <xf numFmtId="168" fontId="10" fillId="0" borderId="69" xfId="0" applyNumberFormat="1" applyFont="1" applyBorder="1" applyAlignment="1">
      <alignment horizontal="right"/>
    </xf>
    <xf numFmtId="2" fontId="91" fillId="6" borderId="69" xfId="0" applyNumberFormat="1" applyFont="1" applyFill="1" applyBorder="1" applyAlignment="1">
      <alignment horizontal="left"/>
    </xf>
    <xf numFmtId="2" fontId="12" fillId="50" borderId="69" xfId="0" applyNumberFormat="1" applyFont="1" applyFill="1" applyBorder="1"/>
    <xf numFmtId="2" fontId="75" fillId="40" borderId="69" xfId="0" applyNumberFormat="1" applyFont="1" applyFill="1" applyBorder="1" applyAlignment="1">
      <alignment horizontal="right"/>
    </xf>
    <xf numFmtId="2" fontId="10" fillId="50" borderId="69" xfId="0" applyNumberFormat="1" applyFont="1" applyFill="1" applyBorder="1" applyAlignment="1">
      <alignment horizontal="left"/>
    </xf>
    <xf numFmtId="9" fontId="10" fillId="6" borderId="69" xfId="2" applyFont="1" applyFill="1" applyBorder="1" applyAlignment="1">
      <alignment horizontal="right"/>
    </xf>
    <xf numFmtId="2" fontId="10" fillId="28" borderId="69" xfId="0" applyNumberFormat="1" applyFont="1" applyFill="1" applyBorder="1" applyAlignment="1">
      <alignment horizontal="left"/>
    </xf>
    <xf numFmtId="2" fontId="12" fillId="28" borderId="69" xfId="0" applyNumberFormat="1" applyFont="1" applyFill="1" applyBorder="1"/>
    <xf numFmtId="2" fontId="93" fillId="0" borderId="0" xfId="0" applyNumberFormat="1" applyFont="1" applyAlignment="1">
      <alignment horizontal="center"/>
    </xf>
    <xf numFmtId="2" fontId="10" fillId="11" borderId="69" xfId="0" applyNumberFormat="1" applyFont="1" applyFill="1" applyBorder="1" applyAlignment="1">
      <alignment horizontal="right"/>
    </xf>
    <xf numFmtId="2" fontId="92" fillId="0" borderId="69" xfId="0" applyNumberFormat="1" applyFont="1" applyBorder="1" applyAlignment="1">
      <alignment horizontal="center"/>
    </xf>
    <xf numFmtId="2" fontId="96" fillId="0" borderId="69" xfId="0" applyNumberFormat="1" applyFont="1" applyBorder="1"/>
    <xf numFmtId="2" fontId="96" fillId="28" borderId="69" xfId="0" applyNumberFormat="1" applyFont="1" applyFill="1" applyBorder="1"/>
    <xf numFmtId="2" fontId="109" fillId="0" borderId="0" xfId="0" applyNumberFormat="1" applyFont="1"/>
    <xf numFmtId="10" fontId="94" fillId="0" borderId="69" xfId="2" applyNumberFormat="1" applyFont="1" applyFill="1" applyBorder="1" applyAlignment="1">
      <alignment horizontal="right"/>
    </xf>
    <xf numFmtId="2" fontId="94" fillId="0" borderId="69" xfId="0" applyNumberFormat="1" applyFont="1" applyBorder="1" applyAlignment="1">
      <alignment horizontal="right"/>
    </xf>
    <xf numFmtId="4" fontId="110" fillId="38" borderId="69" xfId="0" applyNumberFormat="1" applyFont="1" applyFill="1" applyBorder="1" applyAlignment="1">
      <alignment horizontal="left"/>
    </xf>
    <xf numFmtId="2" fontId="111" fillId="0" borderId="0" xfId="0" applyNumberFormat="1" applyFont="1"/>
    <xf numFmtId="2" fontId="21" fillId="52" borderId="0" xfId="0" applyNumberFormat="1" applyFont="1" applyFill="1"/>
    <xf numFmtId="2" fontId="112" fillId="0" borderId="0" xfId="0" applyNumberFormat="1" applyFont="1"/>
    <xf numFmtId="17" fontId="12" fillId="0" borderId="36" xfId="0" applyNumberFormat="1" applyFont="1" applyBorder="1" applyAlignment="1" applyProtection="1">
      <alignment horizontal="center"/>
      <protection locked="0"/>
    </xf>
    <xf numFmtId="17" fontId="12" fillId="0" borderId="5" xfId="0" applyNumberFormat="1" applyFont="1" applyBorder="1" applyAlignment="1" applyProtection="1">
      <alignment horizontal="center"/>
      <protection locked="0"/>
    </xf>
    <xf numFmtId="17" fontId="12" fillId="0" borderId="93" xfId="0" applyNumberFormat="1" applyFont="1" applyBorder="1" applyAlignment="1" applyProtection="1">
      <alignment horizontal="center"/>
      <protection locked="0"/>
    </xf>
    <xf numFmtId="17" fontId="12" fillId="0" borderId="0" xfId="0" applyNumberFormat="1" applyFont="1" applyAlignment="1" applyProtection="1">
      <alignment horizontal="center"/>
      <protection locked="0"/>
    </xf>
    <xf numFmtId="2" fontId="113" fillId="0" borderId="0" xfId="0" applyNumberFormat="1" applyFont="1"/>
    <xf numFmtId="2" fontId="85" fillId="0" borderId="0" xfId="0" applyNumberFormat="1" applyFont="1"/>
    <xf numFmtId="9" fontId="66" fillId="0" borderId="48" xfId="2" applyFont="1" applyBorder="1" applyAlignment="1" applyProtection="1">
      <protection locked="0"/>
    </xf>
    <xf numFmtId="9" fontId="12" fillId="0" borderId="4" xfId="2" applyFont="1" applyBorder="1" applyAlignment="1">
      <alignment horizontal="center"/>
    </xf>
    <xf numFmtId="2" fontId="0" fillId="0" borderId="96" xfId="0" applyNumberFormat="1" applyBorder="1"/>
    <xf numFmtId="2" fontId="0" fillId="0" borderId="109" xfId="0" applyNumberFormat="1" applyBorder="1"/>
    <xf numFmtId="2" fontId="52" fillId="38" borderId="97" xfId="0" applyNumberFormat="1" applyFont="1" applyFill="1" applyBorder="1"/>
    <xf numFmtId="1" fontId="12" fillId="38" borderId="19" xfId="0" applyNumberFormat="1" applyFont="1" applyFill="1" applyBorder="1" applyAlignment="1">
      <alignment horizontal="center"/>
    </xf>
    <xf numFmtId="4" fontId="69" fillId="0" borderId="98" xfId="0" applyNumberFormat="1" applyFont="1" applyBorder="1"/>
    <xf numFmtId="3" fontId="12" fillId="38" borderId="0" xfId="0" applyNumberFormat="1" applyFont="1" applyFill="1" applyAlignment="1">
      <alignment horizontal="center"/>
    </xf>
    <xf numFmtId="2" fontId="114" fillId="0" borderId="0" xfId="0" applyNumberFormat="1" applyFont="1"/>
    <xf numFmtId="1" fontId="13" fillId="38" borderId="110" xfId="0" applyNumberFormat="1" applyFont="1" applyFill="1" applyBorder="1" applyAlignment="1" applyProtection="1">
      <alignment horizontal="center"/>
      <protection locked="0"/>
    </xf>
    <xf numFmtId="3" fontId="13" fillId="38" borderId="0" xfId="0" applyNumberFormat="1" applyFont="1" applyFill="1" applyAlignment="1" applyProtection="1">
      <alignment horizontal="center"/>
      <protection locked="0"/>
    </xf>
    <xf numFmtId="1" fontId="13" fillId="38" borderId="111" xfId="0" applyNumberFormat="1" applyFont="1" applyFill="1" applyBorder="1" applyAlignment="1" applyProtection="1">
      <alignment horizontal="center"/>
      <protection locked="0"/>
    </xf>
    <xf numFmtId="1" fontId="5" fillId="8" borderId="0" xfId="0" applyNumberFormat="1" applyFont="1" applyFill="1" applyAlignment="1" applyProtection="1">
      <alignment horizontal="center"/>
      <protection locked="0"/>
    </xf>
    <xf numFmtId="2" fontId="116" fillId="0" borderId="0" xfId="0" applyNumberFormat="1" applyFont="1"/>
    <xf numFmtId="2" fontId="45" fillId="53" borderId="0" xfId="0" applyNumberFormat="1" applyFont="1" applyFill="1"/>
    <xf numFmtId="2" fontId="117" fillId="46" borderId="0" xfId="0" applyNumberFormat="1" applyFont="1" applyFill="1"/>
    <xf numFmtId="2" fontId="45" fillId="46" borderId="0" xfId="0" applyNumberFormat="1" applyFont="1" applyFill="1"/>
    <xf numFmtId="2" fontId="118" fillId="0" borderId="0" xfId="0" applyNumberFormat="1" applyFont="1"/>
    <xf numFmtId="2" fontId="3" fillId="28" borderId="3" xfId="0" applyNumberFormat="1" applyFont="1" applyFill="1" applyBorder="1"/>
    <xf numFmtId="1" fontId="47" fillId="7" borderId="63" xfId="0" applyNumberFormat="1" applyFont="1" applyFill="1" applyBorder="1" applyAlignment="1">
      <alignment horizontal="right"/>
    </xf>
    <xf numFmtId="4" fontId="10" fillId="7" borderId="63" xfId="0" applyNumberFormat="1" applyFont="1" applyFill="1" applyBorder="1" applyAlignment="1">
      <alignment horizontal="right"/>
    </xf>
    <xf numFmtId="2" fontId="10" fillId="28" borderId="64" xfId="0" applyNumberFormat="1" applyFont="1" applyFill="1" applyBorder="1" applyAlignment="1">
      <alignment horizontal="right"/>
    </xf>
    <xf numFmtId="4" fontId="10" fillId="6" borderId="63" xfId="0" applyNumberFormat="1" applyFont="1" applyFill="1" applyBorder="1"/>
    <xf numFmtId="2" fontId="10" fillId="50" borderId="64" xfId="0" applyNumberFormat="1" applyFont="1" applyFill="1" applyBorder="1"/>
    <xf numFmtId="4" fontId="10" fillId="7" borderId="63" xfId="0" applyNumberFormat="1" applyFont="1" applyFill="1" applyBorder="1"/>
    <xf numFmtId="9" fontId="10" fillId="0" borderId="63" xfId="2" applyFont="1" applyFill="1" applyBorder="1" applyAlignment="1">
      <alignment horizontal="right"/>
    </xf>
    <xf numFmtId="4" fontId="10" fillId="0" borderId="63" xfId="0" applyNumberFormat="1" applyFont="1" applyBorder="1"/>
    <xf numFmtId="1" fontId="12" fillId="6" borderId="63" xfId="0" applyNumberFormat="1" applyFont="1" applyFill="1" applyBorder="1"/>
    <xf numFmtId="1" fontId="47" fillId="40" borderId="63" xfId="0" applyNumberFormat="1" applyFont="1" applyFill="1" applyBorder="1" applyAlignment="1">
      <alignment horizontal="right"/>
    </xf>
    <xf numFmtId="4" fontId="85" fillId="17" borderId="63" xfId="0" applyNumberFormat="1" applyFont="1" applyFill="1" applyBorder="1"/>
    <xf numFmtId="2" fontId="85" fillId="51" borderId="64" xfId="0" applyNumberFormat="1" applyFont="1" applyFill="1" applyBorder="1"/>
    <xf numFmtId="4" fontId="119" fillId="17" borderId="63" xfId="0" applyNumberFormat="1" applyFont="1" applyFill="1" applyBorder="1"/>
    <xf numFmtId="1" fontId="13" fillId="0" borderId="63" xfId="0" applyNumberFormat="1" applyFont="1" applyBorder="1"/>
    <xf numFmtId="2" fontId="12" fillId="0" borderId="63" xfId="0" applyNumberFormat="1" applyFont="1" applyBorder="1" applyAlignment="1">
      <alignment horizontal="right"/>
    </xf>
    <xf numFmtId="4" fontId="12" fillId="0" borderId="63" xfId="0" applyNumberFormat="1" applyFont="1" applyBorder="1" applyAlignment="1">
      <alignment horizontal="right"/>
    </xf>
    <xf numFmtId="2" fontId="12" fillId="0" borderId="64" xfId="0" applyNumberFormat="1" applyFont="1" applyBorder="1" applyAlignment="1">
      <alignment horizontal="right"/>
    </xf>
    <xf numFmtId="1" fontId="10" fillId="6" borderId="63" xfId="0" applyNumberFormat="1" applyFont="1" applyFill="1" applyBorder="1"/>
    <xf numFmtId="4" fontId="13" fillId="6" borderId="63" xfId="0" applyNumberFormat="1" applyFont="1" applyFill="1" applyBorder="1" applyProtection="1">
      <protection locked="0"/>
    </xf>
    <xf numFmtId="1" fontId="3" fillId="0" borderId="63" xfId="0" applyNumberFormat="1" applyFont="1" applyBorder="1" applyAlignment="1">
      <alignment horizontal="right"/>
    </xf>
    <xf numFmtId="1" fontId="10" fillId="0" borderId="63" xfId="0" applyNumberFormat="1" applyFont="1" applyBorder="1"/>
    <xf numFmtId="1" fontId="12" fillId="6" borderId="63" xfId="0" applyNumberFormat="1" applyFont="1" applyFill="1" applyBorder="1" applyAlignment="1">
      <alignment horizontal="right"/>
    </xf>
    <xf numFmtId="2" fontId="10" fillId="0" borderId="64" xfId="0" applyNumberFormat="1" applyFont="1" applyBorder="1"/>
    <xf numFmtId="2" fontId="32" fillId="11" borderId="63" xfId="0" applyNumberFormat="1" applyFont="1" applyFill="1" applyBorder="1"/>
    <xf numFmtId="4" fontId="32" fillId="11" borderId="63" xfId="0" applyNumberFormat="1" applyFont="1" applyFill="1" applyBorder="1"/>
    <xf numFmtId="4" fontId="32" fillId="0" borderId="63" xfId="0" applyNumberFormat="1" applyFont="1" applyBorder="1"/>
    <xf numFmtId="1" fontId="0" fillId="7" borderId="63" xfId="0" applyNumberFormat="1" applyFill="1" applyBorder="1"/>
    <xf numFmtId="2" fontId="12" fillId="7" borderId="63" xfId="0" applyNumberFormat="1" applyFont="1" applyFill="1" applyBorder="1"/>
    <xf numFmtId="4" fontId="12" fillId="7" borderId="63" xfId="0" applyNumberFormat="1" applyFont="1" applyFill="1" applyBorder="1"/>
    <xf numFmtId="2" fontId="12" fillId="28" borderId="64" xfId="0" applyNumberFormat="1" applyFont="1" applyFill="1" applyBorder="1"/>
    <xf numFmtId="1" fontId="3" fillId="6" borderId="63" xfId="0" applyNumberFormat="1" applyFont="1" applyFill="1" applyBorder="1"/>
    <xf numFmtId="2" fontId="10" fillId="28" borderId="64" xfId="0" applyNumberFormat="1" applyFont="1" applyFill="1" applyBorder="1" applyAlignment="1">
      <alignment horizontal="left"/>
    </xf>
    <xf numFmtId="1" fontId="10" fillId="6" borderId="63" xfId="0" applyNumberFormat="1" applyFont="1" applyFill="1" applyBorder="1" applyAlignment="1">
      <alignment horizontal="center"/>
    </xf>
    <xf numFmtId="9" fontId="5" fillId="6" borderId="63" xfId="2" applyFont="1" applyFill="1" applyBorder="1" applyAlignment="1" applyProtection="1">
      <alignment horizontal="right"/>
      <protection locked="0"/>
    </xf>
    <xf numFmtId="4" fontId="10" fillId="6" borderId="63" xfId="0" applyNumberFormat="1" applyFont="1" applyFill="1" applyBorder="1" applyAlignment="1">
      <alignment horizontal="right"/>
    </xf>
    <xf numFmtId="2" fontId="10" fillId="50" borderId="64" xfId="0" applyNumberFormat="1" applyFont="1" applyFill="1" applyBorder="1" applyAlignment="1">
      <alignment horizontal="left"/>
    </xf>
    <xf numFmtId="2" fontId="3" fillId="6" borderId="71" xfId="0" applyNumberFormat="1" applyFont="1" applyFill="1" applyBorder="1"/>
    <xf numFmtId="2" fontId="12" fillId="6" borderId="71" xfId="0" applyNumberFormat="1" applyFont="1" applyFill="1" applyBorder="1"/>
    <xf numFmtId="4" fontId="12" fillId="6" borderId="71" xfId="0" applyNumberFormat="1" applyFont="1" applyFill="1" applyBorder="1"/>
    <xf numFmtId="2" fontId="12" fillId="50" borderId="72" xfId="0" applyNumberFormat="1" applyFont="1" applyFill="1" applyBorder="1"/>
    <xf numFmtId="2" fontId="10" fillId="0" borderId="72" xfId="0" applyNumberFormat="1" applyFont="1" applyBorder="1"/>
    <xf numFmtId="4" fontId="10" fillId="0" borderId="72" xfId="0" applyNumberFormat="1" applyFont="1" applyBorder="1"/>
    <xf numFmtId="2" fontId="10" fillId="28" borderId="72" xfId="0" applyNumberFormat="1" applyFont="1" applyFill="1" applyBorder="1"/>
    <xf numFmtId="2" fontId="21" fillId="33" borderId="0" xfId="0" applyNumberFormat="1" applyFont="1" applyFill="1"/>
    <xf numFmtId="2" fontId="21" fillId="33" borderId="0" xfId="0" applyNumberFormat="1" applyFont="1" applyFill="1" applyAlignment="1">
      <alignment horizontal="left"/>
    </xf>
    <xf numFmtId="2" fontId="20" fillId="33" borderId="0" xfId="0" applyNumberFormat="1" applyFont="1" applyFill="1"/>
    <xf numFmtId="4" fontId="20" fillId="33" borderId="72" xfId="0" applyNumberFormat="1" applyFont="1" applyFill="1" applyBorder="1" applyAlignment="1">
      <alignment horizontal="left"/>
    </xf>
    <xf numFmtId="2" fontId="120" fillId="33" borderId="0" xfId="0" applyNumberFormat="1" applyFont="1" applyFill="1"/>
    <xf numFmtId="2" fontId="10" fillId="11" borderId="0" xfId="0" applyNumberFormat="1" applyFont="1" applyFill="1" applyAlignment="1">
      <alignment horizontal="left"/>
    </xf>
    <xf numFmtId="4" fontId="47" fillId="0" borderId="0" xfId="0" applyNumberFormat="1" applyFont="1" applyAlignment="1">
      <alignment horizontal="left"/>
    </xf>
    <xf numFmtId="4" fontId="10" fillId="0" borderId="6" xfId="0" applyNumberFormat="1" applyFont="1" applyBorder="1" applyAlignment="1">
      <alignment horizontal="left"/>
    </xf>
    <xf numFmtId="4" fontId="10" fillId="0" borderId="6" xfId="0" applyNumberFormat="1" applyFont="1" applyBorder="1" applyAlignment="1" applyProtection="1">
      <alignment horizontal="left"/>
      <protection locked="0"/>
    </xf>
    <xf numFmtId="4" fontId="10" fillId="34" borderId="102" xfId="0" applyNumberFormat="1" applyFont="1" applyFill="1" applyBorder="1" applyAlignment="1">
      <alignment horizontal="left"/>
    </xf>
    <xf numFmtId="4" fontId="12" fillId="34" borderId="75" xfId="0" applyNumberFormat="1" applyFont="1" applyFill="1" applyBorder="1" applyAlignment="1">
      <alignment horizontal="left"/>
    </xf>
    <xf numFmtId="4" fontId="10" fillId="34" borderId="76" xfId="0" applyNumberFormat="1" applyFont="1" applyFill="1" applyBorder="1" applyAlignment="1">
      <alignment horizontal="left"/>
    </xf>
    <xf numFmtId="4" fontId="12" fillId="34" borderId="77" xfId="2" applyNumberFormat="1" applyFont="1" applyFill="1" applyBorder="1" applyAlignment="1">
      <alignment horizontal="center"/>
    </xf>
    <xf numFmtId="175" fontId="10" fillId="0" borderId="0" xfId="0" applyNumberFormat="1" applyFont="1" applyProtection="1">
      <protection locked="0"/>
    </xf>
    <xf numFmtId="175" fontId="12" fillId="0" borderId="0" xfId="0" applyNumberFormat="1" applyFont="1"/>
    <xf numFmtId="4" fontId="10" fillId="37" borderId="106" xfId="0" applyNumberFormat="1" applyFont="1" applyFill="1" applyBorder="1" applyAlignment="1">
      <alignment horizontal="left"/>
    </xf>
    <xf numFmtId="4" fontId="10" fillId="37" borderId="107" xfId="0" applyNumberFormat="1" applyFont="1" applyFill="1" applyBorder="1" applyAlignment="1">
      <alignment horizontal="left"/>
    </xf>
    <xf numFmtId="170" fontId="12" fillId="0" borderId="0" xfId="0" applyNumberFormat="1" applyFont="1"/>
    <xf numFmtId="4" fontId="10" fillId="38" borderId="112" xfId="0" applyNumberFormat="1" applyFont="1" applyFill="1" applyBorder="1" applyAlignment="1">
      <alignment horizontal="left"/>
    </xf>
    <xf numFmtId="4" fontId="10" fillId="38" borderId="84" xfId="0" applyNumberFormat="1" applyFont="1" applyFill="1" applyBorder="1" applyAlignment="1">
      <alignment horizontal="left"/>
    </xf>
    <xf numFmtId="4" fontId="10" fillId="0" borderId="0" xfId="0" applyNumberFormat="1" applyFont="1" applyAlignment="1">
      <alignment horizontal="left"/>
    </xf>
    <xf numFmtId="4" fontId="47" fillId="0" borderId="86" xfId="0" applyNumberFormat="1" applyFont="1" applyBorder="1" applyAlignment="1">
      <alignment horizontal="left"/>
    </xf>
    <xf numFmtId="4" fontId="10" fillId="0" borderId="87" xfId="0" applyNumberFormat="1" applyFont="1" applyBorder="1" applyAlignment="1">
      <alignment horizontal="left"/>
    </xf>
    <xf numFmtId="4" fontId="10" fillId="7" borderId="113" xfId="0" applyNumberFormat="1" applyFont="1" applyFill="1" applyBorder="1" applyAlignment="1">
      <alignment horizontal="left"/>
    </xf>
    <xf numFmtId="4" fontId="10" fillId="7" borderId="114" xfId="0" applyNumberFormat="1" applyFont="1" applyFill="1" applyBorder="1" applyAlignment="1">
      <alignment horizontal="left"/>
    </xf>
    <xf numFmtId="4" fontId="10" fillId="6" borderId="115" xfId="0" applyNumberFormat="1" applyFont="1" applyFill="1" applyBorder="1" applyAlignment="1">
      <alignment horizontal="left"/>
    </xf>
    <xf numFmtId="4" fontId="10" fillId="6" borderId="116" xfId="0" applyNumberFormat="1" applyFont="1" applyFill="1" applyBorder="1" applyAlignment="1">
      <alignment horizontal="left"/>
    </xf>
    <xf numFmtId="4" fontId="10" fillId="7" borderId="115" xfId="0" applyNumberFormat="1" applyFont="1" applyFill="1" applyBorder="1" applyAlignment="1">
      <alignment horizontal="left"/>
    </xf>
    <xf numFmtId="4" fontId="10" fillId="7" borderId="116" xfId="0" applyNumberFormat="1" applyFont="1" applyFill="1" applyBorder="1" applyAlignment="1">
      <alignment horizontal="left"/>
    </xf>
    <xf numFmtId="4" fontId="3" fillId="6" borderId="116" xfId="0" applyNumberFormat="1" applyFont="1" applyFill="1" applyBorder="1" applyAlignment="1">
      <alignment horizontal="left"/>
    </xf>
    <xf numFmtId="4" fontId="47" fillId="7" borderId="115" xfId="0" applyNumberFormat="1" applyFont="1" applyFill="1" applyBorder="1" applyAlignment="1">
      <alignment horizontal="left"/>
    </xf>
    <xf numFmtId="4" fontId="47" fillId="7" borderId="116" xfId="0" applyNumberFormat="1" applyFont="1" applyFill="1" applyBorder="1" applyAlignment="1">
      <alignment horizontal="left"/>
    </xf>
    <xf numFmtId="2" fontId="47" fillId="28" borderId="0" xfId="0" applyNumberFormat="1" applyFont="1" applyFill="1"/>
    <xf numFmtId="4" fontId="10" fillId="6" borderId="117" xfId="0" applyNumberFormat="1" applyFont="1" applyFill="1" applyBorder="1" applyAlignment="1">
      <alignment horizontal="left"/>
    </xf>
    <xf numFmtId="4" fontId="47" fillId="6" borderId="118" xfId="0" applyNumberFormat="1" applyFont="1" applyFill="1" applyBorder="1" applyAlignment="1">
      <alignment horizontal="left"/>
    </xf>
    <xf numFmtId="4" fontId="10" fillId="0" borderId="0" xfId="0" applyNumberFormat="1" applyFont="1"/>
    <xf numFmtId="2" fontId="96" fillId="0" borderId="0" xfId="0" applyNumberFormat="1" applyFont="1" applyAlignment="1">
      <alignment horizontal="right"/>
    </xf>
    <xf numFmtId="4" fontId="13" fillId="6" borderId="0" xfId="2" applyNumberFormat="1" applyFont="1" applyFill="1" applyAlignment="1">
      <alignment horizontal="center"/>
    </xf>
    <xf numFmtId="4" fontId="45" fillId="46" borderId="0" xfId="0" applyNumberFormat="1" applyFont="1" applyFill="1"/>
    <xf numFmtId="2" fontId="3" fillId="0" borderId="108" xfId="0" applyNumberFormat="1" applyFont="1" applyBorder="1"/>
    <xf numFmtId="4" fontId="3" fillId="0" borderId="108" xfId="0" applyNumberFormat="1" applyFont="1" applyBorder="1"/>
    <xf numFmtId="2" fontId="3" fillId="28" borderId="108" xfId="0" applyNumberFormat="1" applyFont="1" applyFill="1" applyBorder="1"/>
    <xf numFmtId="1" fontId="10" fillId="0" borderId="108" xfId="0" applyNumberFormat="1" applyFont="1" applyBorder="1" applyAlignment="1">
      <alignment horizontal="right"/>
    </xf>
    <xf numFmtId="2" fontId="47" fillId="0" borderId="108" xfId="0" applyNumberFormat="1" applyFont="1" applyBorder="1" applyAlignment="1">
      <alignment horizontal="right"/>
    </xf>
    <xf numFmtId="4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/>
    <xf numFmtId="2" fontId="10" fillId="28" borderId="108" xfId="0" applyNumberFormat="1" applyFont="1" applyFill="1" applyBorder="1"/>
    <xf numFmtId="1" fontId="10" fillId="6" borderId="108" xfId="0" applyNumberFormat="1" applyFont="1" applyFill="1" applyBorder="1" applyAlignment="1">
      <alignment horizontal="right"/>
    </xf>
    <xf numFmtId="9" fontId="10" fillId="6" borderId="108" xfId="2" applyFont="1" applyFill="1" applyBorder="1" applyAlignment="1">
      <alignment horizontal="right"/>
    </xf>
    <xf numFmtId="4" fontId="10" fillId="6" borderId="108" xfId="0" applyNumberFormat="1" applyFont="1" applyFill="1" applyBorder="1" applyAlignment="1">
      <alignment horizontal="left"/>
    </xf>
    <xf numFmtId="2" fontId="10" fillId="50" borderId="108" xfId="0" applyNumberFormat="1" applyFont="1" applyFill="1" applyBorder="1"/>
    <xf numFmtId="2" fontId="12" fillId="0" borderId="108" xfId="0" applyNumberFormat="1" applyFont="1" applyBorder="1" applyAlignment="1">
      <alignment horizontal="right"/>
    </xf>
    <xf numFmtId="2" fontId="10" fillId="6" borderId="108" xfId="0" applyNumberFormat="1" applyFont="1" applyFill="1" applyBorder="1" applyAlignment="1">
      <alignment horizontal="right"/>
    </xf>
    <xf numFmtId="4" fontId="10" fillId="6" borderId="108" xfId="0" applyNumberFormat="1" applyFont="1" applyFill="1" applyBorder="1"/>
    <xf numFmtId="4" fontId="10" fillId="0" borderId="69" xfId="0" applyNumberFormat="1" applyFont="1" applyBorder="1"/>
    <xf numFmtId="2" fontId="12" fillId="0" borderId="108" xfId="0" applyNumberFormat="1" applyFont="1" applyBorder="1"/>
    <xf numFmtId="2" fontId="10" fillId="0" borderId="108" xfId="0" applyNumberFormat="1" applyFont="1" applyBorder="1" applyAlignment="1">
      <alignment horizontal="right"/>
    </xf>
    <xf numFmtId="4" fontId="10" fillId="6" borderId="69" xfId="0" applyNumberFormat="1" applyFont="1" applyFill="1" applyBorder="1"/>
    <xf numFmtId="1" fontId="10" fillId="40" borderId="108" xfId="0" applyNumberFormat="1" applyFont="1" applyFill="1" applyBorder="1" applyAlignment="1">
      <alignment horizontal="right"/>
    </xf>
    <xf numFmtId="1" fontId="13" fillId="40" borderId="108" xfId="0" applyNumberFormat="1" applyFont="1" applyFill="1" applyBorder="1" applyAlignment="1">
      <alignment horizontal="right"/>
    </xf>
    <xf numFmtId="2" fontId="85" fillId="17" borderId="108" xfId="0" applyNumberFormat="1" applyFont="1" applyFill="1" applyBorder="1"/>
    <xf numFmtId="4" fontId="10" fillId="40" borderId="108" xfId="0" applyNumberFormat="1" applyFont="1" applyFill="1" applyBorder="1" applyAlignment="1">
      <alignment horizontal="left"/>
    </xf>
    <xf numFmtId="4" fontId="47" fillId="0" borderId="108" xfId="0" applyNumberFormat="1" applyFont="1" applyBorder="1"/>
    <xf numFmtId="2" fontId="85" fillId="51" borderId="108" xfId="0" applyNumberFormat="1" applyFont="1" applyFill="1" applyBorder="1"/>
    <xf numFmtId="4" fontId="47" fillId="40" borderId="69" xfId="0" applyNumberFormat="1" applyFont="1" applyFill="1" applyBorder="1" applyAlignment="1">
      <alignment horizontal="left"/>
    </xf>
    <xf numFmtId="4" fontId="47" fillId="0" borderId="0" xfId="0" applyNumberFormat="1" applyFont="1"/>
    <xf numFmtId="2" fontId="13" fillId="40" borderId="108" xfId="0" applyNumberFormat="1" applyFont="1" applyFill="1" applyBorder="1"/>
    <xf numFmtId="2" fontId="3" fillId="6" borderId="108" xfId="0" applyNumberFormat="1" applyFont="1" applyFill="1" applyBorder="1" applyAlignment="1">
      <alignment horizontal="right"/>
    </xf>
    <xf numFmtId="4" fontId="47" fillId="0" borderId="108" xfId="0" applyNumberFormat="1" applyFont="1" applyBorder="1" applyAlignment="1">
      <alignment horizontal="center"/>
    </xf>
    <xf numFmtId="4" fontId="10" fillId="0" borderId="69" xfId="0" applyNumberFormat="1" applyFont="1" applyBorder="1" applyAlignment="1">
      <alignment horizontal="left"/>
    </xf>
    <xf numFmtId="2" fontId="3" fillId="50" borderId="108" xfId="0" applyNumberFormat="1" applyFont="1" applyFill="1" applyBorder="1" applyAlignment="1">
      <alignment horizontal="right"/>
    </xf>
    <xf numFmtId="1" fontId="3" fillId="6" borderId="108" xfId="0" applyNumberFormat="1" applyFont="1" applyFill="1" applyBorder="1" applyAlignment="1">
      <alignment horizontal="right"/>
    </xf>
    <xf numFmtId="4" fontId="13" fillId="40" borderId="108" xfId="0" applyNumberFormat="1" applyFont="1" applyFill="1" applyBorder="1" applyAlignment="1">
      <alignment horizontal="right"/>
    </xf>
    <xf numFmtId="4" fontId="65" fillId="6" borderId="108" xfId="0" applyNumberFormat="1" applyFont="1" applyFill="1" applyBorder="1"/>
    <xf numFmtId="2" fontId="12" fillId="6" borderId="108" xfId="0" applyNumberFormat="1" applyFont="1" applyFill="1" applyBorder="1" applyAlignment="1">
      <alignment horizontal="right"/>
    </xf>
    <xf numFmtId="2" fontId="32" fillId="11" borderId="69" xfId="0" applyNumberFormat="1" applyFont="1" applyFill="1" applyBorder="1" applyAlignment="1">
      <alignment horizontal="right"/>
    </xf>
    <xf numFmtId="1" fontId="32" fillId="11" borderId="69" xfId="0" applyNumberFormat="1" applyFont="1" applyFill="1" applyBorder="1" applyAlignment="1">
      <alignment horizontal="right"/>
    </xf>
    <xf numFmtId="2" fontId="32" fillId="11" borderId="69" xfId="0" applyNumberFormat="1" applyFont="1" applyFill="1" applyBorder="1"/>
    <xf numFmtId="4" fontId="32" fillId="11" borderId="69" xfId="0" applyNumberFormat="1" applyFont="1" applyFill="1" applyBorder="1" applyAlignment="1">
      <alignment horizontal="left"/>
    </xf>
    <xf numFmtId="2" fontId="0" fillId="0" borderId="108" xfId="0" applyNumberFormat="1" applyBorder="1"/>
    <xf numFmtId="4" fontId="91" fillId="0" borderId="108" xfId="0" applyNumberFormat="1" applyFont="1" applyBorder="1" applyAlignment="1">
      <alignment horizontal="left"/>
    </xf>
    <xf numFmtId="2" fontId="12" fillId="28" borderId="108" xfId="0" applyNumberFormat="1" applyFont="1" applyFill="1" applyBorder="1"/>
    <xf numFmtId="2" fontId="3" fillId="6" borderId="108" xfId="0" applyNumberFormat="1" applyFont="1" applyFill="1" applyBorder="1"/>
    <xf numFmtId="4" fontId="10" fillId="6" borderId="108" xfId="0" applyNumberFormat="1" applyFont="1" applyFill="1" applyBorder="1" applyAlignment="1">
      <alignment horizontal="right"/>
    </xf>
    <xf numFmtId="10" fontId="10" fillId="0" borderId="108" xfId="0" applyNumberFormat="1" applyFont="1" applyBorder="1" applyAlignment="1">
      <alignment horizontal="right"/>
    </xf>
    <xf numFmtId="2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 applyAlignment="1">
      <alignment horizontal="right"/>
    </xf>
    <xf numFmtId="2" fontId="10" fillId="28" borderId="108" xfId="0" applyNumberFormat="1" applyFont="1" applyFill="1" applyBorder="1" applyAlignment="1">
      <alignment horizontal="left"/>
    </xf>
    <xf numFmtId="9" fontId="10" fillId="0" borderId="108" xfId="2" applyFont="1" applyBorder="1" applyAlignment="1">
      <alignment horizontal="right"/>
    </xf>
    <xf numFmtId="1" fontId="10" fillId="6" borderId="108" xfId="0" applyNumberFormat="1" applyFont="1" applyFill="1" applyBorder="1" applyAlignment="1">
      <alignment horizontal="center"/>
    </xf>
    <xf numFmtId="9" fontId="13" fillId="40" borderId="108" xfId="2" applyFont="1" applyFill="1" applyBorder="1" applyAlignment="1">
      <alignment horizontal="right"/>
    </xf>
    <xf numFmtId="2" fontId="10" fillId="6" borderId="108" xfId="0" applyNumberFormat="1" applyFont="1" applyFill="1" applyBorder="1" applyAlignment="1">
      <alignment horizontal="left"/>
    </xf>
    <xf numFmtId="2" fontId="10" fillId="50" borderId="108" xfId="0" applyNumberFormat="1" applyFont="1" applyFill="1" applyBorder="1" applyAlignment="1">
      <alignment horizontal="left"/>
    </xf>
    <xf numFmtId="1" fontId="10" fillId="0" borderId="108" xfId="0" applyNumberFormat="1" applyFont="1" applyBorder="1" applyAlignment="1">
      <alignment horizontal="center"/>
    </xf>
    <xf numFmtId="2" fontId="12" fillId="6" borderId="108" xfId="0" applyNumberFormat="1" applyFont="1" applyFill="1" applyBorder="1"/>
    <xf numFmtId="4" fontId="3" fillId="6" borderId="108" xfId="0" applyNumberFormat="1" applyFont="1" applyFill="1" applyBorder="1"/>
    <xf numFmtId="4" fontId="3" fillId="6" borderId="108" xfId="0" applyNumberFormat="1" applyFont="1" applyFill="1" applyBorder="1" applyAlignment="1">
      <alignment horizontal="right"/>
    </xf>
    <xf numFmtId="2" fontId="12" fillId="50" borderId="108" xfId="0" applyNumberFormat="1" applyFont="1" applyFill="1" applyBorder="1"/>
    <xf numFmtId="4" fontId="12" fillId="0" borderId="108" xfId="0" applyNumberFormat="1" applyFont="1" applyBorder="1"/>
    <xf numFmtId="4" fontId="92" fillId="0" borderId="108" xfId="0" applyNumberFormat="1" applyFont="1" applyBorder="1" applyAlignment="1">
      <alignment horizontal="center"/>
    </xf>
    <xf numFmtId="2" fontId="10" fillId="11" borderId="108" xfId="0" applyNumberFormat="1" applyFont="1" applyFill="1" applyBorder="1" applyAlignment="1">
      <alignment horizontal="left"/>
    </xf>
    <xf numFmtId="2" fontId="47" fillId="0" borderId="0" xfId="0" applyNumberFormat="1" applyFont="1" applyAlignment="1">
      <alignment horizontal="left"/>
    </xf>
    <xf numFmtId="2" fontId="47" fillId="42" borderId="108" xfId="0" applyNumberFormat="1" applyFont="1" applyFill="1" applyBorder="1"/>
    <xf numFmtId="2" fontId="94" fillId="43" borderId="69" xfId="0" applyNumberFormat="1" applyFont="1" applyFill="1" applyBorder="1" applyAlignment="1">
      <alignment horizontal="left"/>
    </xf>
    <xf numFmtId="2" fontId="47" fillId="0" borderId="108" xfId="0" applyNumberFormat="1" applyFont="1" applyBorder="1"/>
    <xf numFmtId="2" fontId="10" fillId="0" borderId="108" xfId="0" applyNumberFormat="1" applyFont="1" applyBorder="1" applyAlignment="1">
      <alignment horizontal="center"/>
    </xf>
    <xf numFmtId="2" fontId="96" fillId="0" borderId="108" xfId="0" applyNumberFormat="1" applyFont="1" applyBorder="1"/>
    <xf numFmtId="2" fontId="47" fillId="45" borderId="69" xfId="0" applyNumberFormat="1" applyFont="1" applyFill="1" applyBorder="1"/>
    <xf numFmtId="2" fontId="94" fillId="45" borderId="69" xfId="0" applyNumberFormat="1" applyFont="1" applyFill="1" applyBorder="1" applyAlignment="1">
      <alignment horizontal="left"/>
    </xf>
    <xf numFmtId="2" fontId="96" fillId="28" borderId="108" xfId="0" applyNumberFormat="1" applyFont="1" applyFill="1" applyBorder="1"/>
    <xf numFmtId="2" fontId="91" fillId="0" borderId="108" xfId="0" applyNumberFormat="1" applyFont="1" applyBorder="1" applyAlignment="1">
      <alignment horizontal="left"/>
    </xf>
    <xf numFmtId="2" fontId="91" fillId="0" borderId="108" xfId="0" applyNumberFormat="1" applyFont="1" applyBorder="1" applyAlignment="1">
      <alignment horizontal="right"/>
    </xf>
    <xf numFmtId="2" fontId="3" fillId="0" borderId="108" xfId="0" applyNumberFormat="1" applyFont="1" applyBorder="1" applyAlignment="1">
      <alignment horizontal="right"/>
    </xf>
    <xf numFmtId="2" fontId="96" fillId="38" borderId="108" xfId="0" applyNumberFormat="1" applyFont="1" applyFill="1" applyBorder="1"/>
    <xf numFmtId="2" fontId="121" fillId="38" borderId="108" xfId="0" applyNumberFormat="1" applyFont="1" applyFill="1" applyBorder="1" applyAlignment="1">
      <alignment horizontal="left"/>
    </xf>
    <xf numFmtId="2" fontId="21" fillId="28" borderId="108" xfId="0" applyNumberFormat="1" applyFont="1" applyFill="1" applyBorder="1"/>
    <xf numFmtId="2" fontId="122" fillId="3" borderId="0" xfId="0" applyNumberFormat="1" applyFont="1" applyFill="1"/>
    <xf numFmtId="2" fontId="10" fillId="8" borderId="23" xfId="0" applyNumberFormat="1" applyFont="1" applyFill="1" applyBorder="1"/>
    <xf numFmtId="2" fontId="10" fillId="22" borderId="23" xfId="0" applyNumberFormat="1" applyFont="1" applyFill="1" applyBorder="1"/>
    <xf numFmtId="2" fontId="10" fillId="22" borderId="122" xfId="0" applyNumberFormat="1" applyFont="1" applyFill="1" applyBorder="1"/>
    <xf numFmtId="2" fontId="2" fillId="0" borderId="0" xfId="3" applyNumberFormat="1" applyAlignment="1"/>
    <xf numFmtId="2" fontId="92" fillId="0" borderId="0" xfId="0" applyNumberFormat="1" applyFont="1"/>
    <xf numFmtId="168" fontId="10" fillId="0" borderId="0" xfId="0" applyNumberFormat="1" applyFont="1"/>
    <xf numFmtId="4" fontId="10" fillId="29" borderId="63" xfId="0" applyNumberFormat="1" applyFont="1" applyFill="1" applyBorder="1"/>
    <xf numFmtId="4" fontId="10" fillId="6" borderId="66" xfId="0" applyNumberFormat="1" applyFont="1" applyFill="1" applyBorder="1"/>
    <xf numFmtId="4" fontId="10" fillId="7" borderId="67" xfId="0" applyNumberFormat="1" applyFont="1" applyFill="1" applyBorder="1"/>
    <xf numFmtId="4" fontId="77" fillId="32" borderId="5" xfId="0" applyNumberFormat="1" applyFont="1" applyFill="1" applyBorder="1"/>
    <xf numFmtId="4" fontId="10" fillId="6" borderId="67" xfId="0" applyNumberFormat="1" applyFont="1" applyFill="1" applyBorder="1"/>
    <xf numFmtId="4" fontId="13" fillId="7" borderId="63" xfId="0" applyNumberFormat="1" applyFont="1" applyFill="1" applyBorder="1" applyProtection="1">
      <protection locked="0"/>
    </xf>
    <xf numFmtId="4" fontId="47" fillId="6" borderId="63" xfId="0" applyNumberFormat="1" applyFont="1" applyFill="1" applyBorder="1"/>
    <xf numFmtId="4" fontId="47" fillId="7" borderId="63" xfId="0" applyNumberFormat="1" applyFont="1" applyFill="1" applyBorder="1"/>
    <xf numFmtId="2" fontId="0" fillId="0" borderId="0" xfId="0" applyNumberFormat="1"/>
    <xf numFmtId="2" fontId="3" fillId="0" borderId="40" xfId="0" applyNumberFormat="1" applyFont="1" applyBorder="1"/>
    <xf numFmtId="2" fontId="0" fillId="0" borderId="41" xfId="0" applyNumberFormat="1" applyBorder="1"/>
    <xf numFmtId="2" fontId="30" fillId="0" borderId="0" xfId="0" applyNumberFormat="1" applyFont="1"/>
    <xf numFmtId="2" fontId="0" fillId="0" borderId="0" xfId="0" applyNumberFormat="1"/>
    <xf numFmtId="2" fontId="46" fillId="3" borderId="26" xfId="0" applyNumberFormat="1" applyFont="1" applyFill="1" applyBorder="1"/>
    <xf numFmtId="2" fontId="10" fillId="0" borderId="26" xfId="0" applyNumberFormat="1" applyFont="1" applyBorder="1"/>
    <xf numFmtId="2" fontId="49" fillId="0" borderId="9" xfId="0" applyNumberFormat="1" applyFont="1" applyBorder="1"/>
    <xf numFmtId="2" fontId="50" fillId="0" borderId="28" xfId="0" applyNumberFormat="1" applyFont="1" applyBorder="1"/>
    <xf numFmtId="2" fontId="12" fillId="0" borderId="9" xfId="0" applyNumberFormat="1" applyFont="1" applyBorder="1"/>
    <xf numFmtId="2" fontId="12" fillId="0" borderId="43" xfId="0" applyNumberFormat="1" applyFont="1" applyBorder="1"/>
    <xf numFmtId="2" fontId="67" fillId="25" borderId="45" xfId="0" applyNumberFormat="1" applyFont="1" applyFill="1" applyBorder="1"/>
    <xf numFmtId="2" fontId="20" fillId="0" borderId="45" xfId="0" applyNumberFormat="1" applyFont="1" applyBorder="1"/>
    <xf numFmtId="2" fontId="10" fillId="0" borderId="54" xfId="0" applyNumberFormat="1" applyFont="1" applyBorder="1" applyAlignment="1">
      <alignment horizontal="left"/>
    </xf>
    <xf numFmtId="2" fontId="50" fillId="0" borderId="2" xfId="0" applyNumberFormat="1" applyFont="1" applyBorder="1"/>
    <xf numFmtId="2" fontId="3" fillId="0" borderId="62" xfId="0" applyNumberFormat="1" applyFont="1" applyBorder="1"/>
    <xf numFmtId="2" fontId="3" fillId="0" borderId="0" xfId="0" applyNumberFormat="1" applyFont="1"/>
    <xf numFmtId="2" fontId="105" fillId="0" borderId="0" xfId="0" applyNumberFormat="1" applyFont="1"/>
    <xf numFmtId="2" fontId="7" fillId="0" borderId="0" xfId="0" applyNumberFormat="1" applyFont="1"/>
    <xf numFmtId="2" fontId="20" fillId="0" borderId="4" xfId="0" applyNumberFormat="1" applyFont="1" applyBorder="1"/>
    <xf numFmtId="2" fontId="50" fillId="0" borderId="4" xfId="0" applyNumberFormat="1" applyFont="1" applyBorder="1"/>
    <xf numFmtId="2" fontId="45" fillId="8" borderId="120" xfId="0" applyNumberFormat="1" applyFont="1" applyFill="1" applyBorder="1"/>
    <xf numFmtId="2" fontId="123" fillId="8" borderId="120" xfId="3" applyNumberFormat="1" applyFont="1" applyFill="1" applyBorder="1" applyAlignment="1"/>
    <xf numFmtId="2" fontId="112" fillId="0" borderId="0" xfId="0" applyNumberFormat="1" applyFont="1"/>
    <xf numFmtId="2" fontId="124" fillId="8" borderId="121" xfId="0" applyNumberFormat="1" applyFont="1" applyFill="1" applyBorder="1"/>
    <xf numFmtId="2" fontId="50" fillId="0" borderId="122" xfId="0" applyNumberFormat="1" applyFont="1" applyBorder="1"/>
    <xf numFmtId="2" fontId="124" fillId="54" borderId="0" xfId="0" applyNumberFormat="1" applyFont="1" applyFill="1"/>
    <xf numFmtId="2" fontId="3" fillId="38" borderId="62" xfId="0" applyNumberFormat="1" applyFont="1" applyFill="1" applyBorder="1"/>
    <xf numFmtId="2" fontId="115" fillId="8" borderId="0" xfId="0" applyNumberFormat="1" applyFont="1" applyFill="1"/>
    <xf numFmtId="2" fontId="20" fillId="0" borderId="0" xfId="0" applyNumberFormat="1" applyFont="1"/>
    <xf numFmtId="2" fontId="45" fillId="8" borderId="119" xfId="0" applyNumberFormat="1" applyFont="1" applyFill="1" applyBorder="1"/>
    <xf numFmtId="2" fontId="50" fillId="0" borderId="23" xfId="0" applyNumberFormat="1" applyFont="1" applyBorder="1"/>
    <xf numFmtId="17" fontId="127" fillId="6" borderId="0" xfId="0" applyNumberFormat="1" applyFont="1" applyFill="1" applyAlignment="1">
      <alignment horizontal="center"/>
    </xf>
    <xf numFmtId="10" fontId="127" fillId="6" borderId="0" xfId="2" applyNumberFormat="1" applyFont="1" applyFill="1" applyAlignment="1">
      <alignment horizontal="center"/>
    </xf>
    <xf numFmtId="2" fontId="127" fillId="6" borderId="0" xfId="0" applyNumberFormat="1" applyFont="1" applyFill="1" applyAlignment="1">
      <alignment horizontal="center"/>
    </xf>
    <xf numFmtId="178" fontId="10" fillId="0" borderId="69" xfId="2" applyNumberFormat="1" applyFont="1" applyBorder="1" applyAlignment="1">
      <alignment horizontal="left"/>
    </xf>
    <xf numFmtId="2" fontId="10" fillId="11" borderId="0" xfId="0" applyNumberFormat="1" applyFont="1" applyFill="1"/>
    <xf numFmtId="0" fontId="50" fillId="0" borderId="0" xfId="0" applyFont="1"/>
    <xf numFmtId="2" fontId="128" fillId="10" borderId="0" xfId="0" applyNumberFormat="1" applyFont="1" applyFill="1" applyAlignment="1">
      <alignment vertical="center"/>
    </xf>
    <xf numFmtId="2" fontId="130" fillId="10" borderId="0" xfId="0" applyNumberFormat="1" applyFont="1" applyFill="1"/>
    <xf numFmtId="2" fontId="101" fillId="0" borderId="33" xfId="0" applyNumberFormat="1" applyFont="1" applyBorder="1" applyProtection="1">
      <protection locked="0"/>
    </xf>
    <xf numFmtId="1" fontId="7" fillId="0" borderId="33" xfId="0" applyNumberFormat="1" applyFont="1" applyBorder="1" applyProtection="1">
      <protection locked="0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C6EC-89FB-4215-8AF6-3DA545D73733}">
  <dimension ref="A1:W470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/>
  <cols>
    <col min="1" max="1" width="13.7109375" customWidth="1"/>
    <col min="2" max="2" width="13.28515625" customWidth="1"/>
    <col min="3" max="3" width="26.140625" customWidth="1"/>
    <col min="4" max="4" width="37.28515625" bestFit="1" customWidth="1"/>
    <col min="5" max="5" width="36.28515625" customWidth="1"/>
    <col min="6" max="6" width="31.5703125" customWidth="1"/>
    <col min="7" max="7" width="18.140625" customWidth="1"/>
    <col min="8" max="8" width="28.42578125" customWidth="1"/>
    <col min="9" max="9" width="28" customWidth="1"/>
    <col min="10" max="10" width="20.5703125" customWidth="1"/>
    <col min="11" max="11" width="28.7109375" customWidth="1"/>
    <col min="12" max="12" width="28" customWidth="1"/>
    <col min="13" max="13" width="21.85546875" customWidth="1"/>
    <col min="14" max="14" width="32.7109375" customWidth="1"/>
    <col min="15" max="15" width="22.85546875" customWidth="1"/>
    <col min="16" max="16" width="18.42578125" customWidth="1"/>
    <col min="17" max="17" width="28.140625" customWidth="1"/>
    <col min="18" max="18" width="18.140625" customWidth="1"/>
    <col min="19" max="19" width="21.42578125" customWidth="1"/>
    <col min="20" max="20" width="23" customWidth="1"/>
    <col min="21" max="21" width="21" customWidth="1"/>
  </cols>
  <sheetData>
    <row r="1" spans="1:23" ht="20.25">
      <c r="A1" s="19"/>
      <c r="B1" s="20"/>
      <c r="C1" s="20"/>
      <c r="D1" s="21"/>
      <c r="E1" s="865">
        <v>46143</v>
      </c>
      <c r="F1" s="866">
        <v>3.5000000000000003E-2</v>
      </c>
      <c r="G1" s="867"/>
      <c r="H1" s="865">
        <v>46054</v>
      </c>
      <c r="I1" s="866">
        <v>0</v>
      </c>
      <c r="J1" s="867"/>
      <c r="K1" s="865">
        <v>45992</v>
      </c>
      <c r="L1" s="22"/>
      <c r="M1" s="21"/>
      <c r="N1" s="22"/>
      <c r="O1" s="23"/>
      <c r="P1" s="21"/>
      <c r="Q1" s="22"/>
      <c r="R1" s="23"/>
      <c r="S1" s="21"/>
      <c r="T1" s="22"/>
      <c r="U1" s="23"/>
      <c r="V1" s="21"/>
      <c r="W1" s="22"/>
    </row>
    <row r="2" spans="1:23" ht="27.75">
      <c r="A2" s="24" t="s">
        <v>387</v>
      </c>
      <c r="B2" s="25"/>
      <c r="C2" s="25"/>
      <c r="D2" s="25"/>
      <c r="E2" s="26"/>
      <c r="F2" s="27" t="s">
        <v>388</v>
      </c>
      <c r="G2" s="27"/>
      <c r="H2" s="27"/>
      <c r="I2" s="27"/>
      <c r="J2" s="28"/>
      <c r="K2" s="29"/>
      <c r="L2" s="30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3" ht="26.25">
      <c r="A3" s="32" t="s">
        <v>389</v>
      </c>
      <c r="B3" s="33"/>
      <c r="C3" s="33"/>
      <c r="D3" s="33"/>
      <c r="E3" s="33" t="s">
        <v>559</v>
      </c>
      <c r="F3" s="34"/>
      <c r="G3" s="3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3" ht="27.75">
      <c r="A4" s="871" t="s">
        <v>560</v>
      </c>
      <c r="B4" s="872"/>
      <c r="C4" s="872"/>
      <c r="D4" s="37"/>
      <c r="E4" s="37"/>
      <c r="F4" s="37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3" ht="15.75">
      <c r="A5" s="38" t="s">
        <v>390</v>
      </c>
      <c r="B5" s="39"/>
      <c r="C5" s="31"/>
      <c r="D5" s="40">
        <v>1</v>
      </c>
      <c r="E5" s="40">
        <v>2</v>
      </c>
      <c r="F5" s="40">
        <v>3</v>
      </c>
      <c r="G5" s="40">
        <v>4</v>
      </c>
      <c r="H5" s="40">
        <v>5</v>
      </c>
      <c r="I5" s="40">
        <v>6</v>
      </c>
      <c r="J5" s="40">
        <v>7</v>
      </c>
      <c r="K5" s="41">
        <v>8</v>
      </c>
      <c r="L5" s="40">
        <v>9</v>
      </c>
      <c r="M5" s="40">
        <v>10</v>
      </c>
      <c r="N5" s="40">
        <v>11</v>
      </c>
      <c r="O5" s="41">
        <v>12</v>
      </c>
      <c r="P5" s="40">
        <v>13</v>
      </c>
      <c r="Q5" s="41">
        <v>14</v>
      </c>
      <c r="R5" s="40">
        <v>15</v>
      </c>
      <c r="S5" s="40">
        <v>16</v>
      </c>
      <c r="T5" s="40">
        <v>17</v>
      </c>
      <c r="U5" s="40">
        <v>18</v>
      </c>
      <c r="V5" s="40">
        <v>19</v>
      </c>
      <c r="W5" s="40">
        <v>20</v>
      </c>
    </row>
    <row r="6" spans="1:23" ht="20.25">
      <c r="A6" s="42"/>
      <c r="B6" s="43"/>
      <c r="C6" s="43"/>
      <c r="D6" s="44"/>
      <c r="E6" s="45" t="s">
        <v>391</v>
      </c>
      <c r="F6" s="46">
        <v>665053</v>
      </c>
      <c r="G6" s="47" t="s">
        <v>392</v>
      </c>
      <c r="H6" s="869"/>
      <c r="I6" s="31"/>
      <c r="J6" s="31"/>
      <c r="K6" s="31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</row>
    <row r="7" spans="1:23" ht="23.25">
      <c r="A7" s="836" t="s">
        <v>393</v>
      </c>
      <c r="B7" s="837"/>
      <c r="C7" s="837"/>
      <c r="D7" s="31"/>
      <c r="E7" s="49" t="s">
        <v>394</v>
      </c>
      <c r="F7" s="50">
        <v>1469768</v>
      </c>
      <c r="G7" s="47" t="s">
        <v>392</v>
      </c>
      <c r="H7" s="869"/>
      <c r="I7" s="31"/>
      <c r="J7" s="31"/>
      <c r="K7" s="870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ht="23.25">
      <c r="A8" s="19" t="s">
        <v>395</v>
      </c>
      <c r="B8" s="51"/>
      <c r="C8" s="51"/>
      <c r="D8" s="31"/>
      <c r="E8" s="52"/>
      <c r="F8" s="52"/>
      <c r="G8" s="52"/>
      <c r="H8" s="31"/>
      <c r="I8" s="31"/>
      <c r="J8" s="31"/>
      <c r="K8" s="870"/>
      <c r="L8" s="53"/>
      <c r="M8" s="31"/>
      <c r="N8" s="31"/>
      <c r="O8" s="31"/>
      <c r="P8" s="31"/>
      <c r="Q8" s="22"/>
      <c r="R8" s="31"/>
      <c r="S8" s="31"/>
      <c r="T8" s="31"/>
      <c r="U8" s="31"/>
      <c r="V8" s="31"/>
      <c r="W8" s="31"/>
    </row>
    <row r="9" spans="1:23" ht="18">
      <c r="A9" s="54" t="s">
        <v>396</v>
      </c>
      <c r="B9" s="55"/>
      <c r="C9" s="55"/>
      <c r="D9" s="56"/>
      <c r="E9" s="57" t="s">
        <v>555</v>
      </c>
      <c r="F9" s="58">
        <f>776250/F7</f>
        <v>0.52814457791978053</v>
      </c>
      <c r="G9" s="59" t="s">
        <v>397</v>
      </c>
      <c r="H9" s="60"/>
      <c r="I9" s="61" t="s">
        <v>556</v>
      </c>
      <c r="J9" s="61"/>
      <c r="K9" s="870"/>
      <c r="L9" s="54"/>
      <c r="M9" s="56"/>
      <c r="N9" s="56"/>
      <c r="O9" s="56"/>
      <c r="P9" s="56"/>
      <c r="Q9" s="22"/>
      <c r="R9" s="56"/>
      <c r="S9" s="31"/>
      <c r="T9" s="56"/>
      <c r="U9" s="56"/>
      <c r="V9" s="56"/>
      <c r="W9" s="56"/>
    </row>
    <row r="10" spans="1:23" ht="23.25">
      <c r="A10" s="62"/>
      <c r="B10" s="51"/>
      <c r="C10" s="51"/>
      <c r="D10" s="31"/>
      <c r="E10" s="63" t="s">
        <v>398</v>
      </c>
      <c r="F10" s="64">
        <f>623001/F7</f>
        <v>0.42387710169223985</v>
      </c>
      <c r="G10" s="59" t="s">
        <v>397</v>
      </c>
      <c r="H10" s="65"/>
      <c r="I10" s="61" t="s">
        <v>557</v>
      </c>
      <c r="J10" s="61"/>
      <c r="L10" s="53"/>
      <c r="M10" s="31"/>
      <c r="N10" s="31"/>
      <c r="O10" s="31"/>
      <c r="P10" s="31"/>
      <c r="Q10" s="22"/>
      <c r="R10" s="31"/>
      <c r="S10" s="31"/>
      <c r="T10" s="31"/>
      <c r="U10" s="31"/>
      <c r="V10" s="31"/>
      <c r="W10" s="31"/>
    </row>
    <row r="11" spans="1:23" ht="23.25">
      <c r="A11" s="39"/>
      <c r="B11" s="51"/>
      <c r="C11" s="51"/>
      <c r="D11" s="31"/>
      <c r="E11" s="66" t="s">
        <v>399</v>
      </c>
      <c r="F11" s="67">
        <v>0.123</v>
      </c>
      <c r="G11" s="68" t="s">
        <v>558</v>
      </c>
      <c r="H11" s="31"/>
      <c r="I11" s="31"/>
      <c r="J11" s="31"/>
      <c r="L11" s="53"/>
      <c r="M11" s="31"/>
      <c r="N11" s="31"/>
      <c r="O11" s="31"/>
      <c r="P11" s="31"/>
      <c r="Q11" s="22"/>
      <c r="R11" s="31"/>
      <c r="S11" s="31"/>
      <c r="T11" s="31"/>
      <c r="U11" s="31"/>
      <c r="V11" s="31"/>
      <c r="W11" s="31"/>
    </row>
    <row r="12" spans="1:23" ht="23.25">
      <c r="A12" s="39"/>
      <c r="B12" s="31"/>
      <c r="C12" s="31"/>
      <c r="D12" s="31"/>
      <c r="E12" s="31"/>
      <c r="F12" s="69"/>
      <c r="G12" s="31"/>
      <c r="H12" s="31"/>
      <c r="I12" s="31"/>
      <c r="J12" s="51"/>
      <c r="K12" s="51" t="e">
        <f>F6-#REF!</f>
        <v>#REF!</v>
      </c>
      <c r="L12" s="31"/>
      <c r="M12" s="53"/>
      <c r="N12" s="31"/>
      <c r="O12" s="31"/>
      <c r="P12" s="31"/>
      <c r="Q12" s="22"/>
      <c r="R12" s="31"/>
      <c r="S12" s="31"/>
      <c r="T12" s="31"/>
      <c r="U12" s="31"/>
      <c r="V12" s="31"/>
      <c r="W12" s="31"/>
    </row>
    <row r="13" spans="1:23" ht="23.25" hidden="1">
      <c r="A13" s="70"/>
      <c r="B13" s="71"/>
      <c r="C13" s="31"/>
      <c r="D13" s="31"/>
      <c r="E13" s="31"/>
      <c r="F13" s="69"/>
      <c r="G13" s="31"/>
      <c r="H13" s="31"/>
      <c r="I13" s="31"/>
      <c r="J13" s="51"/>
      <c r="K13" s="51"/>
      <c r="L13" s="31"/>
      <c r="M13" s="53"/>
      <c r="N13" s="31"/>
      <c r="O13" s="31"/>
      <c r="P13" s="31"/>
      <c r="Q13" s="22"/>
      <c r="R13" s="31"/>
      <c r="S13" s="31"/>
      <c r="T13" s="31"/>
      <c r="U13" s="31"/>
      <c r="V13" s="31"/>
      <c r="W13" s="31"/>
    </row>
    <row r="14" spans="1:23" hidden="1">
      <c r="A14" s="70"/>
      <c r="B14" s="71"/>
      <c r="C14" s="31"/>
      <c r="D14" s="39"/>
      <c r="E14" s="39"/>
      <c r="F14" s="31"/>
      <c r="G14" s="31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</row>
    <row r="15" spans="1:23" ht="15.75" hidden="1">
      <c r="A15" s="70"/>
      <c r="B15" s="70"/>
      <c r="C15" s="51"/>
      <c r="D15" s="51"/>
      <c r="E15" s="31"/>
      <c r="F15" s="31"/>
      <c r="G15" s="31"/>
      <c r="H15" s="72"/>
      <c r="I15" s="73"/>
      <c r="J15" s="74"/>
      <c r="K15" s="74"/>
      <c r="L15" s="74"/>
      <c r="M15" s="74"/>
      <c r="N15" s="74"/>
      <c r="O15" s="74"/>
      <c r="P15" s="74"/>
      <c r="Q15" s="74"/>
      <c r="R15" s="40"/>
      <c r="S15" s="40"/>
      <c r="T15" s="40"/>
      <c r="U15" s="40"/>
      <c r="V15" s="40"/>
      <c r="W15" s="40"/>
    </row>
    <row r="16" spans="1:23" ht="18" hidden="1">
      <c r="A16" s="70"/>
      <c r="B16" s="70"/>
      <c r="C16" s="51"/>
      <c r="D16" s="75" t="s">
        <v>400</v>
      </c>
      <c r="E16" s="76"/>
      <c r="F16" s="31"/>
      <c r="G16" s="31"/>
      <c r="H16" s="22">
        <v>45658</v>
      </c>
      <c r="I16" s="77"/>
      <c r="J16" s="31"/>
      <c r="K16" s="78"/>
      <c r="L16" s="22">
        <v>45658</v>
      </c>
      <c r="M16" s="78"/>
      <c r="N16" s="78"/>
      <c r="O16" s="78"/>
      <c r="P16" s="22">
        <v>45658</v>
      </c>
      <c r="Q16" s="78"/>
      <c r="R16" s="39"/>
      <c r="S16" s="39"/>
      <c r="T16" s="22">
        <v>45658</v>
      </c>
      <c r="U16" s="39"/>
      <c r="V16" s="39"/>
      <c r="W16" s="39"/>
    </row>
    <row r="17" spans="1:23" ht="15.75" hidden="1">
      <c r="A17" s="70"/>
      <c r="B17" s="70"/>
      <c r="C17" s="51"/>
      <c r="D17" s="79" t="s">
        <v>401</v>
      </c>
      <c r="E17" s="80" t="s">
        <v>402</v>
      </c>
      <c r="F17" s="31"/>
      <c r="G17" s="31"/>
      <c r="H17" s="81"/>
      <c r="I17" s="82" t="s">
        <v>403</v>
      </c>
      <c r="J17" s="83" t="s">
        <v>404</v>
      </c>
      <c r="K17" s="84" t="s">
        <v>405</v>
      </c>
      <c r="L17" s="85" t="s">
        <v>406</v>
      </c>
      <c r="M17" s="86" t="s">
        <v>407</v>
      </c>
      <c r="N17" s="85" t="s">
        <v>408</v>
      </c>
      <c r="O17" s="85" t="s">
        <v>409</v>
      </c>
      <c r="P17" s="85" t="s">
        <v>410</v>
      </c>
      <c r="Q17" s="85" t="s">
        <v>411</v>
      </c>
      <c r="R17" s="87" t="s">
        <v>412</v>
      </c>
      <c r="S17" s="88">
        <v>1</v>
      </c>
      <c r="T17" s="88">
        <v>2</v>
      </c>
      <c r="U17" s="88">
        <v>3</v>
      </c>
      <c r="V17" s="88">
        <v>4</v>
      </c>
      <c r="W17" s="88">
        <v>5</v>
      </c>
    </row>
    <row r="18" spans="1:23" ht="15.75" hidden="1">
      <c r="A18" s="70"/>
      <c r="B18" s="70"/>
      <c r="C18" s="51"/>
      <c r="D18" s="89">
        <v>0</v>
      </c>
      <c r="E18" s="90">
        <v>0</v>
      </c>
      <c r="F18" s="31"/>
      <c r="G18" s="31"/>
      <c r="H18" s="91">
        <v>0</v>
      </c>
      <c r="I18" s="92">
        <f t="shared" ref="I18:I29" si="0">IF(OR(puntosproljor&lt;620,nina=1),W18,R18)</f>
        <v>207070.41153891236</v>
      </c>
      <c r="J18" s="93">
        <v>207070.41153891236</v>
      </c>
      <c r="K18" s="93">
        <v>147896.18150687192</v>
      </c>
      <c r="L18" s="93"/>
      <c r="M18" s="93"/>
      <c r="N18" s="93"/>
      <c r="O18" s="93"/>
      <c r="P18" s="93">
        <v>165386.9280206589</v>
      </c>
      <c r="Q18" s="93">
        <v>146546.6339336634</v>
      </c>
      <c r="R18" s="94">
        <f t="shared" ref="R18:R29" si="1">IF(PUNTOSbasicos&gt;971,Q18,P18)</f>
        <v>165386.9280206589</v>
      </c>
      <c r="S18" s="94">
        <f t="shared" ref="S18:S29" si="2">IF(PUNTOSbasicos&lt;972,J18,K18)</f>
        <v>207070.41153891236</v>
      </c>
      <c r="T18" s="94">
        <f t="shared" ref="T18:T29" si="3">IF(PUNTOSbasicos&lt;1170,S18,L18)</f>
        <v>207070.41153891236</v>
      </c>
      <c r="U18" s="94">
        <f t="shared" ref="U18:U29" si="4">IF(PUNTOSbasicos&lt;1401,T18,M18)</f>
        <v>207070.41153891236</v>
      </c>
      <c r="V18" s="94">
        <f t="shared" ref="V18:V29" si="5">IF(PUNTOSbasicos&lt;1943,U18,N18)</f>
        <v>207070.41153891236</v>
      </c>
      <c r="W18" s="94">
        <f t="shared" ref="W18:W29" si="6">IF(PUNTOSbasicos&lt;=2220,V18,O18)</f>
        <v>207070.41153891236</v>
      </c>
    </row>
    <row r="19" spans="1:23" ht="15.75" hidden="1">
      <c r="A19" s="70"/>
      <c r="B19" s="70"/>
      <c r="C19" s="51"/>
      <c r="D19" s="89">
        <v>1</v>
      </c>
      <c r="E19" s="95">
        <v>0.1</v>
      </c>
      <c r="F19" s="31"/>
      <c r="G19" s="31"/>
      <c r="H19" s="96">
        <v>0.1</v>
      </c>
      <c r="I19" s="92">
        <f t="shared" si="0"/>
        <v>253351.50628114733</v>
      </c>
      <c r="J19" s="93">
        <v>253351.50628114733</v>
      </c>
      <c r="K19" s="93">
        <v>151489.8919937209</v>
      </c>
      <c r="L19" s="93"/>
      <c r="M19" s="93"/>
      <c r="N19" s="93"/>
      <c r="O19" s="93"/>
      <c r="P19" s="93">
        <v>168980.63850750789</v>
      </c>
      <c r="Q19" s="93">
        <v>150140.34442051241</v>
      </c>
      <c r="R19" s="94">
        <f t="shared" si="1"/>
        <v>168980.63850750789</v>
      </c>
      <c r="S19" s="94">
        <f t="shared" si="2"/>
        <v>253351.50628114733</v>
      </c>
      <c r="T19" s="94">
        <f t="shared" si="3"/>
        <v>253351.50628114733</v>
      </c>
      <c r="U19" s="94">
        <f t="shared" si="4"/>
        <v>253351.50628114733</v>
      </c>
      <c r="V19" s="94">
        <f t="shared" si="5"/>
        <v>253351.50628114733</v>
      </c>
      <c r="W19" s="94">
        <f t="shared" si="6"/>
        <v>253351.50628114733</v>
      </c>
    </row>
    <row r="20" spans="1:23" ht="15.75" hidden="1">
      <c r="A20" s="70"/>
      <c r="B20" s="70"/>
      <c r="C20" s="51"/>
      <c r="D20" s="89">
        <v>2</v>
      </c>
      <c r="E20" s="95">
        <v>0.15</v>
      </c>
      <c r="F20" s="31"/>
      <c r="G20" s="31"/>
      <c r="H20" s="97">
        <v>0.15</v>
      </c>
      <c r="I20" s="92">
        <f t="shared" si="0"/>
        <v>282318.49020891357</v>
      </c>
      <c r="J20" s="93">
        <v>282318.49020891357</v>
      </c>
      <c r="K20" s="93">
        <v>183397.41554898664</v>
      </c>
      <c r="L20" s="93">
        <v>204414.52224700488</v>
      </c>
      <c r="M20" s="93">
        <v>174751.16160537963</v>
      </c>
      <c r="N20" s="93">
        <v>181830.5679428039</v>
      </c>
      <c r="O20" s="93"/>
      <c r="P20" s="93">
        <v>215261.73324974286</v>
      </c>
      <c r="Q20" s="93">
        <v>196422.70992317414</v>
      </c>
      <c r="R20" s="94">
        <f t="shared" si="1"/>
        <v>215261.73324974286</v>
      </c>
      <c r="S20" s="94">
        <f t="shared" si="2"/>
        <v>282318.49020891357</v>
      </c>
      <c r="T20" s="94">
        <f t="shared" si="3"/>
        <v>282318.49020891357</v>
      </c>
      <c r="U20" s="94">
        <f t="shared" si="4"/>
        <v>282318.49020891357</v>
      </c>
      <c r="V20" s="94">
        <f t="shared" si="5"/>
        <v>282318.49020891357</v>
      </c>
      <c r="W20" s="94">
        <f t="shared" si="6"/>
        <v>282318.49020891357</v>
      </c>
    </row>
    <row r="21" spans="1:23" ht="15.75" hidden="1">
      <c r="A21" s="70"/>
      <c r="B21" s="70"/>
      <c r="C21" s="51"/>
      <c r="D21" s="89">
        <v>5</v>
      </c>
      <c r="E21" s="95">
        <v>0.3</v>
      </c>
      <c r="F21" s="31"/>
      <c r="G21" s="31"/>
      <c r="H21" s="97">
        <v>0.3</v>
      </c>
      <c r="I21" s="92">
        <f t="shared" si="0"/>
        <v>294297.94875188579</v>
      </c>
      <c r="J21" s="93">
        <v>294297.94875188579</v>
      </c>
      <c r="K21" s="93">
        <v>188514.7677875089</v>
      </c>
      <c r="L21" s="93">
        <v>204414.52224700488</v>
      </c>
      <c r="M21" s="93">
        <v>174751.16160537963</v>
      </c>
      <c r="N21" s="93">
        <v>181830.5679428039</v>
      </c>
      <c r="O21" s="93"/>
      <c r="P21" s="93">
        <v>272215.94481625111</v>
      </c>
      <c r="Q21" s="93">
        <v>242703.80466540912</v>
      </c>
      <c r="R21" s="94">
        <f t="shared" si="1"/>
        <v>272215.94481625111</v>
      </c>
      <c r="S21" s="94">
        <f t="shared" si="2"/>
        <v>294297.94875188579</v>
      </c>
      <c r="T21" s="94">
        <f t="shared" si="3"/>
        <v>294297.94875188579</v>
      </c>
      <c r="U21" s="94">
        <f t="shared" si="4"/>
        <v>294297.94875188579</v>
      </c>
      <c r="V21" s="94">
        <f t="shared" si="5"/>
        <v>294297.94875188579</v>
      </c>
      <c r="W21" s="94">
        <f t="shared" si="6"/>
        <v>294297.94875188579</v>
      </c>
    </row>
    <row r="22" spans="1:23" ht="15.75" hidden="1">
      <c r="A22" s="70"/>
      <c r="B22" s="70"/>
      <c r="C22" s="51"/>
      <c r="D22" s="89">
        <v>7</v>
      </c>
      <c r="E22" s="95">
        <v>0.4</v>
      </c>
      <c r="F22" s="31"/>
      <c r="G22" s="31"/>
      <c r="H22" s="97">
        <v>0.4</v>
      </c>
      <c r="I22" s="92">
        <f t="shared" si="0"/>
        <v>274913.76920224132</v>
      </c>
      <c r="J22" s="93">
        <v>274913.76920224132</v>
      </c>
      <c r="K22" s="93">
        <v>193959.97621613264</v>
      </c>
      <c r="L22" s="93">
        <v>195115.09744404838</v>
      </c>
      <c r="M22" s="93">
        <v>177255.8304065039</v>
      </c>
      <c r="N22" s="93">
        <v>181830.5679428039</v>
      </c>
      <c r="O22" s="93">
        <v>167673.02602838216</v>
      </c>
      <c r="P22" s="93">
        <v>293668.92234064458</v>
      </c>
      <c r="Q22" s="93">
        <v>247561.92177687434</v>
      </c>
      <c r="R22" s="94">
        <f t="shared" si="1"/>
        <v>293668.92234064458</v>
      </c>
      <c r="S22" s="94">
        <f t="shared" si="2"/>
        <v>274913.76920224132</v>
      </c>
      <c r="T22" s="94">
        <f t="shared" si="3"/>
        <v>274913.76920224132</v>
      </c>
      <c r="U22" s="94">
        <f t="shared" si="4"/>
        <v>274913.76920224132</v>
      </c>
      <c r="V22" s="94">
        <f t="shared" si="5"/>
        <v>274913.76920224132</v>
      </c>
      <c r="W22" s="94">
        <f t="shared" si="6"/>
        <v>274913.76920224132</v>
      </c>
    </row>
    <row r="23" spans="1:23" ht="15.75" hidden="1">
      <c r="A23" s="70"/>
      <c r="B23" s="70"/>
      <c r="C23" s="51"/>
      <c r="D23" s="89">
        <v>10</v>
      </c>
      <c r="E23" s="95">
        <v>0.5</v>
      </c>
      <c r="F23" s="31"/>
      <c r="G23" s="31"/>
      <c r="H23" s="97">
        <v>0.5</v>
      </c>
      <c r="I23" s="92">
        <f t="shared" si="0"/>
        <v>251718.57913277359</v>
      </c>
      <c r="J23" s="93">
        <v>251718.57913277359</v>
      </c>
      <c r="K23" s="93">
        <v>201038.11179313014</v>
      </c>
      <c r="L23" s="93">
        <v>195115.09744404838</v>
      </c>
      <c r="M23" s="93">
        <v>177255.8304065039</v>
      </c>
      <c r="N23" s="93">
        <v>181830.5679428039</v>
      </c>
      <c r="O23" s="93">
        <v>154671.87610230289</v>
      </c>
      <c r="P23" s="93">
        <v>306082.9809495653</v>
      </c>
      <c r="Q23" s="93">
        <v>259867.96574952133</v>
      </c>
      <c r="R23" s="94">
        <f t="shared" si="1"/>
        <v>306082.9809495653</v>
      </c>
      <c r="S23" s="94">
        <f t="shared" si="2"/>
        <v>251718.57913277359</v>
      </c>
      <c r="T23" s="94">
        <f t="shared" si="3"/>
        <v>251718.57913277359</v>
      </c>
      <c r="U23" s="94">
        <f t="shared" si="4"/>
        <v>251718.57913277359</v>
      </c>
      <c r="V23" s="94">
        <f t="shared" si="5"/>
        <v>251718.57913277359</v>
      </c>
      <c r="W23" s="94">
        <f t="shared" si="6"/>
        <v>251718.57913277359</v>
      </c>
    </row>
    <row r="24" spans="1:23" ht="15.75" hidden="1">
      <c r="A24" s="70"/>
      <c r="B24" s="70"/>
      <c r="C24" s="51"/>
      <c r="D24" s="89">
        <v>12</v>
      </c>
      <c r="E24" s="95">
        <v>0.6</v>
      </c>
      <c r="F24" s="31"/>
      <c r="G24" s="31"/>
      <c r="H24" s="97">
        <v>0.6</v>
      </c>
      <c r="I24" s="92">
        <f t="shared" si="0"/>
        <v>252589.05002509736</v>
      </c>
      <c r="J24" s="93">
        <v>252589.05002509736</v>
      </c>
      <c r="K24" s="93">
        <v>198491.50789792312</v>
      </c>
      <c r="L24" s="93">
        <v>198491.50789792312</v>
      </c>
      <c r="M24" s="93">
        <v>178454.15748892914</v>
      </c>
      <c r="N24" s="93">
        <v>172313.84310687316</v>
      </c>
      <c r="O24" s="93">
        <v>162295.16790237615</v>
      </c>
      <c r="P24" s="93">
        <v>318497.03955848608</v>
      </c>
      <c r="Q24" s="93">
        <v>265311.90341771836</v>
      </c>
      <c r="R24" s="94">
        <f t="shared" si="1"/>
        <v>318497.03955848608</v>
      </c>
      <c r="S24" s="94">
        <f t="shared" si="2"/>
        <v>252589.05002509736</v>
      </c>
      <c r="T24" s="94">
        <f t="shared" si="3"/>
        <v>252589.05002509736</v>
      </c>
      <c r="U24" s="94">
        <f t="shared" si="4"/>
        <v>252589.05002509736</v>
      </c>
      <c r="V24" s="94">
        <f t="shared" si="5"/>
        <v>252589.05002509736</v>
      </c>
      <c r="W24" s="94">
        <f t="shared" si="6"/>
        <v>252589.05002509736</v>
      </c>
    </row>
    <row r="25" spans="1:23" ht="15.75" hidden="1">
      <c r="A25" s="70"/>
      <c r="B25" s="70"/>
      <c r="C25" s="51"/>
      <c r="D25" s="89">
        <v>15</v>
      </c>
      <c r="E25" s="95">
        <v>0.7</v>
      </c>
      <c r="F25" s="31"/>
      <c r="G25" s="31"/>
      <c r="H25" s="97">
        <v>0.7</v>
      </c>
      <c r="I25" s="92">
        <f t="shared" si="0"/>
        <v>232727.06455499487</v>
      </c>
      <c r="J25" s="93">
        <v>232727.06455499487</v>
      </c>
      <c r="K25" s="93">
        <v>207311.85601999488</v>
      </c>
      <c r="L25" s="93">
        <v>231596.08777518736</v>
      </c>
      <c r="M25" s="93">
        <v>175035.81194097165</v>
      </c>
      <c r="N25" s="93">
        <v>172313.84310687316</v>
      </c>
      <c r="O25" s="93">
        <v>162295.16790237615</v>
      </c>
      <c r="P25" s="93">
        <v>310941.09806103056</v>
      </c>
      <c r="Q25" s="93">
        <v>270757.1118463421</v>
      </c>
      <c r="R25" s="94">
        <f t="shared" si="1"/>
        <v>310941.09806103056</v>
      </c>
      <c r="S25" s="94">
        <f t="shared" si="2"/>
        <v>232727.06455499487</v>
      </c>
      <c r="T25" s="94">
        <f t="shared" si="3"/>
        <v>232727.06455499487</v>
      </c>
      <c r="U25" s="94">
        <f t="shared" si="4"/>
        <v>232727.06455499487</v>
      </c>
      <c r="V25" s="94">
        <f t="shared" si="5"/>
        <v>232727.06455499487</v>
      </c>
      <c r="W25" s="94">
        <f t="shared" si="6"/>
        <v>232727.06455499487</v>
      </c>
    </row>
    <row r="26" spans="1:23" ht="15.75" hidden="1">
      <c r="A26" s="70"/>
      <c r="B26" s="70"/>
      <c r="C26" s="51"/>
      <c r="D26" s="89">
        <v>17</v>
      </c>
      <c r="E26" s="95">
        <v>0.8</v>
      </c>
      <c r="F26" s="31"/>
      <c r="G26" s="31"/>
      <c r="H26" s="97">
        <v>0.8</v>
      </c>
      <c r="I26" s="92">
        <f t="shared" si="0"/>
        <v>262892.37556518632</v>
      </c>
      <c r="J26" s="93">
        <v>262892.37556518632</v>
      </c>
      <c r="K26" s="93">
        <v>228547.53351141411</v>
      </c>
      <c r="L26" s="93">
        <v>246297.5151522581</v>
      </c>
      <c r="M26" s="93">
        <v>213694.88564356012</v>
      </c>
      <c r="N26" s="93">
        <v>203893.51047203736</v>
      </c>
      <c r="O26" s="93">
        <v>168829.41801672464</v>
      </c>
      <c r="P26" s="93">
        <v>321394.37333147606</v>
      </c>
      <c r="Q26" s="93">
        <v>274241.53693649056</v>
      </c>
      <c r="R26" s="94">
        <f t="shared" si="1"/>
        <v>321394.37333147606</v>
      </c>
      <c r="S26" s="94">
        <f t="shared" si="2"/>
        <v>262892.37556518632</v>
      </c>
      <c r="T26" s="94">
        <f t="shared" si="3"/>
        <v>262892.37556518632</v>
      </c>
      <c r="U26" s="94">
        <f t="shared" si="4"/>
        <v>262892.37556518632</v>
      </c>
      <c r="V26" s="94">
        <f t="shared" si="5"/>
        <v>262892.37556518632</v>
      </c>
      <c r="W26" s="94">
        <f t="shared" si="6"/>
        <v>262892.37556518632</v>
      </c>
    </row>
    <row r="27" spans="1:23" ht="15.75" hidden="1">
      <c r="A27" s="70"/>
      <c r="B27" s="70"/>
      <c r="C27" s="51"/>
      <c r="D27" s="89">
        <v>20</v>
      </c>
      <c r="E27" s="95">
        <v>1</v>
      </c>
      <c r="F27" s="31"/>
      <c r="G27" s="31"/>
      <c r="H27" s="97">
        <v>1</v>
      </c>
      <c r="I27" s="92">
        <f t="shared" si="0"/>
        <v>304214.96312224283</v>
      </c>
      <c r="J27" s="93">
        <v>304214.96312224283</v>
      </c>
      <c r="K27" s="93">
        <v>258321.45031016661</v>
      </c>
      <c r="L27" s="93">
        <v>249670.1133248526</v>
      </c>
      <c r="M27" s="93">
        <v>208750.35682307588</v>
      </c>
      <c r="N27" s="93">
        <v>213076.02531573287</v>
      </c>
      <c r="O27" s="93">
        <v>167656.50614283441</v>
      </c>
      <c r="P27" s="93">
        <v>331707.86495497904</v>
      </c>
      <c r="Q27" s="93">
        <v>277528.99416049285</v>
      </c>
      <c r="R27" s="94">
        <f t="shared" si="1"/>
        <v>331707.86495497904</v>
      </c>
      <c r="S27" s="94">
        <f t="shared" si="2"/>
        <v>304214.96312224283</v>
      </c>
      <c r="T27" s="94">
        <f t="shared" si="3"/>
        <v>304214.96312224283</v>
      </c>
      <c r="U27" s="94">
        <f t="shared" si="4"/>
        <v>304214.96312224283</v>
      </c>
      <c r="V27" s="94">
        <f t="shared" si="5"/>
        <v>304214.96312224283</v>
      </c>
      <c r="W27" s="94">
        <f t="shared" si="6"/>
        <v>304214.96312224283</v>
      </c>
    </row>
    <row r="28" spans="1:23" ht="15.75" hidden="1">
      <c r="A28" s="70"/>
      <c r="B28" s="70"/>
      <c r="C28" s="51"/>
      <c r="D28" s="89">
        <v>22</v>
      </c>
      <c r="E28" s="95">
        <v>1.1000000000000001</v>
      </c>
      <c r="F28" s="31"/>
      <c r="G28" s="31"/>
      <c r="H28" s="97">
        <v>1.1000000000000001</v>
      </c>
      <c r="I28" s="92">
        <f t="shared" si="0"/>
        <v>330710.31801998027</v>
      </c>
      <c r="J28" s="93">
        <v>330710.31801998027</v>
      </c>
      <c r="K28" s="93">
        <v>279517.73422835657</v>
      </c>
      <c r="L28" s="93">
        <v>243895.7779457006</v>
      </c>
      <c r="M28" s="93">
        <v>208750.35682307588</v>
      </c>
      <c r="N28" s="93">
        <v>216644.32059404688</v>
      </c>
      <c r="O28" s="93">
        <v>171116.78678487465</v>
      </c>
      <c r="P28" s="93">
        <v>340467.2165765668</v>
      </c>
      <c r="Q28" s="93">
        <v>282828.0651400403</v>
      </c>
      <c r="R28" s="94">
        <f t="shared" si="1"/>
        <v>340467.2165765668</v>
      </c>
      <c r="S28" s="94">
        <f t="shared" si="2"/>
        <v>330710.31801998027</v>
      </c>
      <c r="T28" s="94">
        <f t="shared" si="3"/>
        <v>330710.31801998027</v>
      </c>
      <c r="U28" s="94">
        <f t="shared" si="4"/>
        <v>330710.31801998027</v>
      </c>
      <c r="V28" s="94">
        <f t="shared" si="5"/>
        <v>330710.31801998027</v>
      </c>
      <c r="W28" s="94">
        <f t="shared" si="6"/>
        <v>330710.31801998027</v>
      </c>
    </row>
    <row r="29" spans="1:23" ht="15.75" hidden="1">
      <c r="A29" s="70"/>
      <c r="B29" s="70"/>
      <c r="C29" s="51"/>
      <c r="D29" s="89">
        <v>24</v>
      </c>
      <c r="E29" s="95">
        <v>1.2</v>
      </c>
      <c r="F29" s="31"/>
      <c r="G29" s="31"/>
      <c r="H29" s="97">
        <v>1.2</v>
      </c>
      <c r="I29" s="92">
        <f t="shared" si="0"/>
        <v>339145.62573274679</v>
      </c>
      <c r="J29" s="93">
        <v>339145.62573274679</v>
      </c>
      <c r="K29" s="93">
        <v>284707.51981120359</v>
      </c>
      <c r="L29" s="93">
        <v>261198.4519163286</v>
      </c>
      <c r="M29" s="93">
        <v>210481.13252430936</v>
      </c>
      <c r="N29" s="93">
        <v>220104.60123608712</v>
      </c>
      <c r="O29" s="93">
        <v>171116.78678487465</v>
      </c>
      <c r="P29" s="93">
        <v>342196.72151737352</v>
      </c>
      <c r="Q29" s="93">
        <v>284773.59935339459</v>
      </c>
      <c r="R29" s="94">
        <f t="shared" si="1"/>
        <v>342196.72151737352</v>
      </c>
      <c r="S29" s="94">
        <f t="shared" si="2"/>
        <v>339145.62573274679</v>
      </c>
      <c r="T29" s="94">
        <f t="shared" si="3"/>
        <v>339145.62573274679</v>
      </c>
      <c r="U29" s="94">
        <f t="shared" si="4"/>
        <v>339145.62573274679</v>
      </c>
      <c r="V29" s="94">
        <f t="shared" si="5"/>
        <v>339145.62573274679</v>
      </c>
      <c r="W29" s="94">
        <f t="shared" si="6"/>
        <v>339145.62573274679</v>
      </c>
    </row>
    <row r="30" spans="1:23" ht="15.75" hidden="1">
      <c r="A30" s="70"/>
      <c r="B30" s="70"/>
      <c r="C30" s="51"/>
      <c r="D30" s="51"/>
      <c r="E30" s="31"/>
      <c r="F30" s="31"/>
      <c r="G30" s="31"/>
      <c r="H30" s="72"/>
      <c r="I30" s="73"/>
      <c r="J30" s="74"/>
      <c r="K30" s="74"/>
      <c r="L30" s="74"/>
      <c r="M30" s="74"/>
      <c r="N30" s="74"/>
      <c r="O30" s="74"/>
      <c r="P30" s="74"/>
      <c r="Q30" s="74"/>
      <c r="R30" s="40"/>
      <c r="S30" s="40"/>
      <c r="T30" s="40"/>
      <c r="U30" s="40"/>
      <c r="V30" s="40"/>
      <c r="W30" s="40"/>
    </row>
    <row r="31" spans="1:23" ht="15.75" hidden="1">
      <c r="A31" s="70"/>
      <c r="B31" s="70"/>
      <c r="C31" s="51"/>
      <c r="D31" s="51"/>
      <c r="E31" s="31"/>
      <c r="F31" s="31"/>
      <c r="G31" s="31"/>
      <c r="H31" s="72"/>
      <c r="I31" s="73"/>
      <c r="J31" s="74"/>
      <c r="K31" s="74"/>
      <c r="L31" s="74"/>
      <c r="M31" s="74"/>
      <c r="N31" s="74"/>
      <c r="O31" s="74"/>
      <c r="P31" s="74"/>
      <c r="Q31" s="74"/>
      <c r="R31" s="40"/>
      <c r="S31" s="40"/>
      <c r="T31" s="40"/>
      <c r="U31" s="40"/>
      <c r="V31" s="40"/>
      <c r="W31" s="40"/>
    </row>
    <row r="32" spans="1:23" ht="15.75" hidden="1">
      <c r="A32" s="70"/>
      <c r="B32" s="70"/>
      <c r="C32" s="51"/>
      <c r="D32" s="51"/>
      <c r="E32" s="31"/>
      <c r="F32" s="31"/>
      <c r="G32" s="31"/>
      <c r="H32" s="51"/>
      <c r="I32" s="51"/>
      <c r="J32" s="31"/>
      <c r="K32" s="31"/>
      <c r="L32" s="81"/>
      <c r="M32" s="77"/>
      <c r="N32" s="78"/>
      <c r="O32" s="78"/>
      <c r="P32" s="78"/>
      <c r="Q32" s="78"/>
      <c r="R32" s="78"/>
      <c r="S32" s="78"/>
      <c r="T32" s="78"/>
      <c r="U32" s="78"/>
      <c r="V32" s="98"/>
      <c r="W32" s="98"/>
    </row>
    <row r="33" spans="1:23" ht="15.75" hidden="1">
      <c r="A33" s="70"/>
      <c r="B33" s="70"/>
      <c r="C33" s="51"/>
      <c r="D33" s="51"/>
      <c r="E33" s="31"/>
      <c r="F33" s="31"/>
      <c r="G33" s="31"/>
      <c r="H33" s="51"/>
      <c r="I33" s="51"/>
      <c r="J33" s="31"/>
      <c r="K33" s="31"/>
      <c r="L33" s="81"/>
      <c r="M33" s="77"/>
      <c r="N33" s="78"/>
      <c r="O33" s="78"/>
      <c r="P33" s="78"/>
      <c r="Q33" s="78"/>
      <c r="R33" s="78"/>
      <c r="S33" s="78"/>
      <c r="T33" s="78"/>
      <c r="U33" s="78"/>
      <c r="V33" s="98"/>
      <c r="W33" s="98"/>
    </row>
    <row r="34" spans="1:23" ht="23.25" hidden="1">
      <c r="A34" s="70"/>
      <c r="B34" s="70"/>
      <c r="C34" s="51"/>
      <c r="D34" s="99">
        <f>1.53/1.47-1</f>
        <v>4.081632653061229E-2</v>
      </c>
      <c r="E34" s="31"/>
      <c r="F34" s="100"/>
      <c r="G34" s="101"/>
      <c r="H34" s="102"/>
      <c r="I34" s="102"/>
      <c r="J34" s="101"/>
      <c r="K34" s="101"/>
      <c r="L34" s="103"/>
      <c r="M34" s="104"/>
      <c r="N34" s="104"/>
      <c r="O34" s="104"/>
      <c r="P34" s="104"/>
      <c r="Q34" s="31"/>
      <c r="R34" s="31"/>
      <c r="S34" s="31"/>
      <c r="T34" s="31"/>
      <c r="U34" s="31"/>
      <c r="V34" s="31"/>
      <c r="W34" s="31"/>
    </row>
    <row r="35" spans="1:23" ht="20.25" hidden="1">
      <c r="A35" s="105"/>
      <c r="B35" s="70"/>
      <c r="C35" s="51"/>
      <c r="D35" s="51"/>
      <c r="E35" s="31"/>
      <c r="F35" s="106"/>
      <c r="G35" s="104" t="s">
        <v>413</v>
      </c>
      <c r="H35" s="107" t="s">
        <v>414</v>
      </c>
      <c r="I35" s="104" t="s">
        <v>415</v>
      </c>
      <c r="J35" s="108" t="s">
        <v>416</v>
      </c>
      <c r="K35" s="104"/>
      <c r="L35" s="109"/>
      <c r="M35" s="110"/>
      <c r="N35" s="109" t="s">
        <v>417</v>
      </c>
      <c r="O35" s="111"/>
      <c r="P35" s="112">
        <v>0.24</v>
      </c>
      <c r="Q35" s="31"/>
      <c r="R35" s="31"/>
      <c r="S35" s="31"/>
      <c r="T35" s="31"/>
      <c r="U35" s="31"/>
      <c r="V35" s="31"/>
      <c r="W35" s="31"/>
    </row>
    <row r="36" spans="1:23" ht="20.25" hidden="1">
      <c r="A36" s="113" t="s">
        <v>418</v>
      </c>
      <c r="B36" s="113"/>
      <c r="C36" s="114"/>
      <c r="D36" s="114"/>
      <c r="E36" s="31"/>
      <c r="F36" s="115"/>
      <c r="G36" s="104" t="s">
        <v>419</v>
      </c>
      <c r="H36" s="107" t="s">
        <v>420</v>
      </c>
      <c r="I36" s="104" t="s">
        <v>421</v>
      </c>
      <c r="J36" s="108" t="s">
        <v>416</v>
      </c>
      <c r="K36" s="104"/>
      <c r="L36" s="116"/>
      <c r="M36" s="110"/>
      <c r="N36" s="116" t="s">
        <v>422</v>
      </c>
      <c r="O36" s="117"/>
      <c r="P36" s="112">
        <v>0.26</v>
      </c>
      <c r="Q36" s="31"/>
      <c r="R36" s="31"/>
      <c r="S36" s="31"/>
      <c r="T36" s="31"/>
      <c r="U36" s="31"/>
      <c r="V36" s="31"/>
      <c r="W36" s="31"/>
    </row>
    <row r="37" spans="1:23" ht="20.25" hidden="1">
      <c r="A37" s="71"/>
      <c r="B37" s="71"/>
      <c r="C37" s="31"/>
      <c r="D37" s="51"/>
      <c r="E37" s="31"/>
      <c r="F37" s="115"/>
      <c r="G37" s="118" t="s">
        <v>423</v>
      </c>
      <c r="H37" s="119" t="s">
        <v>424</v>
      </c>
      <c r="I37" s="120" t="s">
        <v>425</v>
      </c>
      <c r="J37" s="78" t="s">
        <v>426</v>
      </c>
      <c r="K37" s="31"/>
      <c r="L37" s="116"/>
      <c r="M37" s="110"/>
      <c r="N37" s="116" t="s">
        <v>427</v>
      </c>
      <c r="O37" s="117"/>
      <c r="P37" s="121" t="s">
        <v>428</v>
      </c>
      <c r="Q37" s="31"/>
      <c r="R37" s="31"/>
      <c r="S37" s="31"/>
      <c r="T37" s="31"/>
      <c r="U37" s="31"/>
      <c r="V37" s="31"/>
      <c r="W37" s="31"/>
    </row>
    <row r="38" spans="1:23" ht="15.75" hidden="1">
      <c r="A38" s="71"/>
      <c r="B38" s="122"/>
      <c r="C38" s="123"/>
      <c r="D38" s="31"/>
      <c r="E38" s="31"/>
      <c r="F38" s="124"/>
      <c r="G38" s="125"/>
      <c r="H38" s="126"/>
      <c r="I38" s="126"/>
      <c r="J38" s="125"/>
      <c r="K38" s="125"/>
      <c r="L38" s="127"/>
      <c r="M38" s="31"/>
      <c r="N38" s="31"/>
      <c r="O38" s="31"/>
      <c r="P38" s="31"/>
      <c r="Q38" s="31"/>
      <c r="R38" s="31"/>
      <c r="S38" s="31"/>
      <c r="T38" s="31"/>
      <c r="U38" s="128"/>
      <c r="V38" s="128"/>
      <c r="W38" s="128"/>
    </row>
    <row r="39" spans="1:23" ht="20.25" hidden="1">
      <c r="A39" s="71"/>
      <c r="B39" s="129"/>
      <c r="C39" s="130"/>
      <c r="D39" s="130"/>
      <c r="E39" s="31"/>
      <c r="F39" s="838" t="s">
        <v>429</v>
      </c>
      <c r="G39" s="837"/>
      <c r="H39" s="837"/>
      <c r="I39" s="131"/>
      <c r="J39" s="132"/>
      <c r="K39" s="131"/>
      <c r="L39" s="31"/>
      <c r="M39" s="31"/>
      <c r="N39" s="31"/>
      <c r="O39" s="31"/>
      <c r="P39" s="31"/>
      <c r="Q39" s="31"/>
      <c r="R39" s="31"/>
      <c r="S39" s="31"/>
      <c r="T39" s="31"/>
      <c r="U39" s="133"/>
      <c r="V39" s="133"/>
      <c r="W39" s="133"/>
    </row>
    <row r="40" spans="1:23" hidden="1">
      <c r="A40" s="71"/>
      <c r="B40" s="134"/>
      <c r="C40" s="135">
        <f>1.47*1.07+0.13+1.47*0.07</f>
        <v>1.8058000000000001</v>
      </c>
      <c r="D40" s="136">
        <f>1.47*1.14</f>
        <v>1.6757999999999997</v>
      </c>
      <c r="E40" s="31"/>
      <c r="F40" s="839" t="s">
        <v>430</v>
      </c>
      <c r="G40" s="837"/>
      <c r="H40" s="31"/>
      <c r="I40" s="51"/>
      <c r="J40" s="137"/>
      <c r="K40" s="31"/>
      <c r="L40" s="31"/>
      <c r="M40" s="31"/>
      <c r="N40" s="138"/>
      <c r="O40" s="31"/>
      <c r="P40" s="31"/>
      <c r="Q40" s="138"/>
      <c r="R40" s="31"/>
      <c r="S40" s="138"/>
      <c r="T40" s="31"/>
      <c r="U40" s="31"/>
      <c r="V40" s="31"/>
      <c r="W40" s="31"/>
    </row>
    <row r="41" spans="1:23" ht="25.5" hidden="1">
      <c r="A41" s="71"/>
      <c r="B41" s="71"/>
      <c r="C41" s="139">
        <f>1.53*1.07</f>
        <v>1.6371000000000002</v>
      </c>
      <c r="D41" s="140">
        <f>1.53*1.14</f>
        <v>1.7442</v>
      </c>
      <c r="E41" s="31"/>
      <c r="F41" s="840" t="s">
        <v>431</v>
      </c>
      <c r="G41" s="841"/>
      <c r="H41" s="141"/>
      <c r="I41" s="51"/>
      <c r="J41" s="137"/>
      <c r="K41" s="31"/>
      <c r="L41" s="136"/>
      <c r="M41" s="31"/>
      <c r="N41" s="138"/>
      <c r="O41" s="31"/>
      <c r="P41" s="31"/>
      <c r="Q41" s="138"/>
      <c r="R41" s="31"/>
      <c r="S41" s="138"/>
      <c r="T41" s="31"/>
      <c r="U41" s="31"/>
      <c r="V41" s="31"/>
      <c r="W41" s="142" t="s">
        <v>432</v>
      </c>
    </row>
    <row r="42" spans="1:23" hidden="1">
      <c r="A42" s="71"/>
      <c r="B42" s="31"/>
      <c r="C42" s="143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136"/>
      <c r="R42" s="31"/>
      <c r="S42" s="31"/>
      <c r="T42" s="31"/>
      <c r="U42" s="31"/>
      <c r="V42" s="31"/>
      <c r="W42" s="31"/>
    </row>
    <row r="43" spans="1:23" hidden="1">
      <c r="A43" s="71"/>
      <c r="B43" s="71"/>
      <c r="C43" s="31" t="s">
        <v>433</v>
      </c>
      <c r="D43" s="144">
        <v>264.02777523499992</v>
      </c>
      <c r="E43" s="31" t="s">
        <v>552</v>
      </c>
      <c r="F43" s="144">
        <v>273.2688</v>
      </c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</row>
    <row r="44" spans="1:23" hidden="1">
      <c r="A44" s="71"/>
      <c r="B44" s="71"/>
      <c r="C44" s="31" t="s">
        <v>434</v>
      </c>
      <c r="D44" s="144">
        <v>456.22564546749987</v>
      </c>
      <c r="E44" s="31" t="s">
        <v>553</v>
      </c>
      <c r="F44" s="144">
        <v>472.19349999999997</v>
      </c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</row>
    <row r="45" spans="1:23" hidden="1">
      <c r="A45" s="71"/>
      <c r="B45" s="71"/>
      <c r="C45" s="31"/>
      <c r="D45" s="144"/>
      <c r="E45" s="31"/>
      <c r="F45" s="144"/>
      <c r="G45" s="833"/>
      <c r="H45" s="833"/>
      <c r="I45" s="833"/>
      <c r="J45" s="833"/>
      <c r="K45" s="833"/>
      <c r="L45" s="833"/>
      <c r="M45" s="833"/>
      <c r="N45" s="833"/>
      <c r="O45" s="833"/>
      <c r="P45" s="833"/>
      <c r="Q45" s="833"/>
      <c r="R45" s="833"/>
      <c r="S45" s="833"/>
      <c r="T45" s="833"/>
      <c r="U45" s="833"/>
      <c r="V45" s="833"/>
      <c r="W45" s="833"/>
    </row>
    <row r="46" spans="1:23" hidden="1">
      <c r="A46" s="71"/>
      <c r="B46" s="71"/>
      <c r="C46" s="31" t="s">
        <v>554</v>
      </c>
      <c r="D46" s="144">
        <f>0.035</f>
        <v>3.5000000000000003E-2</v>
      </c>
      <c r="E46" s="31"/>
      <c r="F46" s="144"/>
      <c r="G46" s="833"/>
      <c r="H46" s="833"/>
      <c r="I46" s="833"/>
      <c r="J46" s="833"/>
      <c r="K46" s="833"/>
      <c r="L46" s="833"/>
      <c r="M46" s="833"/>
      <c r="N46" s="833"/>
      <c r="O46" s="833"/>
      <c r="P46" s="833"/>
      <c r="Q46" s="833"/>
      <c r="R46" s="833"/>
      <c r="S46" s="833"/>
      <c r="T46" s="833"/>
      <c r="U46" s="833"/>
      <c r="V46" s="833"/>
      <c r="W46" s="833"/>
    </row>
    <row r="47" spans="1:23" hidden="1">
      <c r="A47" s="71"/>
      <c r="B47" s="71"/>
      <c r="C47" s="31"/>
      <c r="D47" s="144"/>
      <c r="E47" s="31"/>
      <c r="F47" s="144"/>
      <c r="G47" s="833"/>
      <c r="H47" s="833"/>
      <c r="I47" s="833"/>
      <c r="J47" s="833"/>
      <c r="K47" s="833"/>
      <c r="L47" s="833"/>
      <c r="M47" s="833"/>
      <c r="N47" s="833"/>
      <c r="O47" s="833"/>
      <c r="P47" s="833"/>
      <c r="Q47" s="833"/>
      <c r="R47" s="833"/>
      <c r="S47" s="833"/>
      <c r="T47" s="833"/>
      <c r="U47" s="833"/>
      <c r="V47" s="833"/>
      <c r="W47" s="833"/>
    </row>
    <row r="48" spans="1:23" hidden="1">
      <c r="A48" s="71"/>
      <c r="B48" s="71"/>
      <c r="C48" s="31"/>
      <c r="D48" s="144"/>
      <c r="E48" s="31"/>
      <c r="F48" s="144"/>
      <c r="G48" s="833"/>
      <c r="H48" s="833"/>
      <c r="I48" s="833"/>
      <c r="J48" s="833"/>
      <c r="K48" s="833"/>
      <c r="L48" s="833"/>
      <c r="M48" s="833"/>
      <c r="N48" s="833"/>
      <c r="O48" s="833"/>
      <c r="P48" s="833"/>
      <c r="Q48" s="833"/>
      <c r="R48" s="833"/>
      <c r="S48" s="833"/>
      <c r="T48" s="833"/>
      <c r="U48" s="833"/>
      <c r="V48" s="833"/>
      <c r="W48" s="833"/>
    </row>
    <row r="49" spans="1:23" hidden="1">
      <c r="A49" s="71"/>
      <c r="B49" s="145"/>
      <c r="C49" s="31"/>
      <c r="D49" s="31"/>
      <c r="E49" s="146"/>
      <c r="F49" s="31"/>
      <c r="G49" s="31"/>
      <c r="H49" s="147"/>
      <c r="I49" s="31"/>
      <c r="J49" s="31"/>
      <c r="K49" s="31"/>
      <c r="L49" s="31"/>
      <c r="M49" s="148">
        <f>1+0.05/1.18</f>
        <v>1.0423728813559323</v>
      </c>
      <c r="N49" s="148">
        <f>1+0.08/1.18</f>
        <v>1.0677966101694916</v>
      </c>
      <c r="O49" s="148">
        <f>1+0.1/1.18</f>
        <v>1.0847457627118644</v>
      </c>
      <c r="P49" s="148">
        <f>1+0.17/1.18</f>
        <v>1.1440677966101696</v>
      </c>
      <c r="Q49" s="148">
        <f>1+0.25/1.18</f>
        <v>1.2118644067796611</v>
      </c>
      <c r="R49" s="31"/>
      <c r="S49" s="31"/>
      <c r="T49" s="31"/>
      <c r="U49" s="31"/>
      <c r="V49" s="31"/>
      <c r="W49" s="31"/>
    </row>
    <row r="50" spans="1:23" ht="16.5" thickBot="1">
      <c r="A50" s="149"/>
      <c r="B50" s="150" t="s">
        <v>435</v>
      </c>
      <c r="C50" s="31"/>
      <c r="D50" s="31"/>
      <c r="E50" s="31"/>
      <c r="F50" s="151"/>
      <c r="G50" s="39"/>
      <c r="H50" s="152"/>
      <c r="I50" s="31"/>
      <c r="J50" s="31"/>
      <c r="K50" s="147"/>
      <c r="L50" s="31"/>
      <c r="M50" s="148"/>
      <c r="N50" s="148"/>
      <c r="O50" s="148"/>
      <c r="P50" s="148"/>
      <c r="Q50" s="148"/>
      <c r="R50" s="31"/>
      <c r="S50" s="31"/>
      <c r="T50" s="31"/>
      <c r="U50" s="31"/>
      <c r="V50" s="31"/>
      <c r="W50" s="31"/>
    </row>
    <row r="51" spans="1:23" ht="16.5" thickBot="1">
      <c r="A51" s="149"/>
      <c r="B51" s="153" t="s">
        <v>436</v>
      </c>
      <c r="C51" s="31"/>
      <c r="D51" s="31"/>
      <c r="E51" s="31"/>
      <c r="F51" s="154"/>
      <c r="G51" s="155" t="s">
        <v>437</v>
      </c>
      <c r="H51" s="31"/>
      <c r="I51" s="154"/>
      <c r="J51" s="155" t="s">
        <v>437</v>
      </c>
      <c r="K51" s="152"/>
      <c r="L51" s="31"/>
      <c r="M51" s="31"/>
      <c r="N51" s="147"/>
      <c r="O51" s="31"/>
      <c r="P51" s="31"/>
      <c r="Q51" s="31"/>
      <c r="R51" s="31"/>
      <c r="S51" s="31"/>
      <c r="T51" s="31"/>
      <c r="U51" s="31"/>
      <c r="V51" s="31"/>
      <c r="W51" s="31"/>
    </row>
    <row r="52" spans="1:23" ht="16.5" thickBot="1">
      <c r="A52" s="156"/>
      <c r="B52" s="157" t="s">
        <v>438</v>
      </c>
      <c r="C52" s="31"/>
      <c r="D52" s="31"/>
      <c r="E52" s="31"/>
      <c r="F52" s="158"/>
      <c r="G52" s="159">
        <v>2.5000000000000001E-2</v>
      </c>
      <c r="H52" s="31"/>
      <c r="I52" s="158"/>
      <c r="J52" s="159">
        <v>2.3E-2</v>
      </c>
      <c r="K52" s="31"/>
      <c r="L52" s="31"/>
      <c r="M52" s="39"/>
      <c r="N52" s="147"/>
      <c r="O52" s="31"/>
      <c r="P52" s="31"/>
      <c r="Q52" s="31"/>
      <c r="R52" s="31"/>
      <c r="S52" s="31"/>
      <c r="T52" s="31"/>
      <c r="U52" s="31"/>
      <c r="V52" s="31"/>
      <c r="W52" s="31"/>
    </row>
    <row r="53" spans="1:23" ht="21" thickBot="1">
      <c r="A53" s="160"/>
      <c r="B53" s="157" t="s">
        <v>439</v>
      </c>
      <c r="C53" s="31"/>
      <c r="D53" s="31"/>
      <c r="E53" s="161" t="s">
        <v>440</v>
      </c>
      <c r="F53" s="162">
        <f>indicedic25</f>
        <v>264.02777523499992</v>
      </c>
      <c r="G53" s="155" t="s">
        <v>441</v>
      </c>
      <c r="H53" s="161" t="s">
        <v>440</v>
      </c>
      <c r="I53" s="162">
        <f>indicedic25</f>
        <v>264.02777523499992</v>
      </c>
      <c r="J53" s="155" t="s">
        <v>441</v>
      </c>
      <c r="K53" s="161" t="s">
        <v>440</v>
      </c>
      <c r="L53" s="162">
        <f>indicedic25</f>
        <v>264.02777523499992</v>
      </c>
      <c r="M53" s="155" t="s">
        <v>441</v>
      </c>
      <c r="N53" s="161"/>
      <c r="O53" s="31"/>
      <c r="P53" s="147"/>
      <c r="Q53" s="31"/>
      <c r="R53" s="31"/>
      <c r="S53" s="31"/>
      <c r="T53" s="31"/>
      <c r="U53" s="31"/>
      <c r="V53" s="31"/>
      <c r="W53" s="31"/>
    </row>
    <row r="54" spans="1:23" ht="20.25">
      <c r="A54" s="31"/>
      <c r="B54" s="31"/>
      <c r="C54" s="31"/>
      <c r="D54" s="31"/>
      <c r="E54" s="163" t="s">
        <v>442</v>
      </c>
      <c r="F54" s="164">
        <f>Indiceproljordic25</f>
        <v>456.22564546749987</v>
      </c>
      <c r="G54" s="165">
        <f>F53/I53-1</f>
        <v>0</v>
      </c>
      <c r="H54" s="163" t="s">
        <v>442</v>
      </c>
      <c r="I54" s="164">
        <f>Indiceproljordic25</f>
        <v>456.22564546749987</v>
      </c>
      <c r="J54" s="165">
        <f>I53/L53-1</f>
        <v>0</v>
      </c>
      <c r="K54" s="163" t="s">
        <v>442</v>
      </c>
      <c r="L54" s="164">
        <f>Indiceproljordic25</f>
        <v>456.22564546749987</v>
      </c>
      <c r="M54" s="165" t="e">
        <f>L53/#REF!-1</f>
        <v>#REF!</v>
      </c>
      <c r="N54" s="163"/>
      <c r="O54" s="31"/>
      <c r="P54" s="147"/>
      <c r="Q54" s="31"/>
      <c r="R54" s="31"/>
      <c r="S54" s="31"/>
    </row>
    <row r="55" spans="1:23" ht="28.5">
      <c r="A55" s="31"/>
      <c r="B55" s="31"/>
      <c r="C55" s="166" t="s">
        <v>432</v>
      </c>
      <c r="D55" s="31"/>
      <c r="E55" s="167"/>
      <c r="F55" s="31"/>
      <c r="G55" s="31" t="s">
        <v>443</v>
      </c>
      <c r="H55" s="31"/>
      <c r="I55" s="31"/>
      <c r="J55" s="31"/>
      <c r="K55" s="147"/>
      <c r="L55" s="39"/>
      <c r="M55" s="39"/>
      <c r="N55" s="39"/>
      <c r="O55" s="39"/>
      <c r="P55" s="39"/>
      <c r="Q55" s="39"/>
      <c r="R55" s="39"/>
      <c r="S55" s="168"/>
    </row>
    <row r="56" spans="1:23" ht="15.75">
      <c r="A56" s="836" t="s">
        <v>444</v>
      </c>
      <c r="B56" s="837"/>
      <c r="C56" s="837"/>
      <c r="D56" s="837"/>
      <c r="E56" s="167"/>
      <c r="F56" s="31"/>
      <c r="G56" s="31"/>
      <c r="H56" s="31"/>
      <c r="I56" s="31"/>
      <c r="J56" s="31"/>
      <c r="K56" s="147"/>
      <c r="L56" s="31"/>
      <c r="M56" s="31"/>
      <c r="N56" s="31"/>
      <c r="O56" s="31"/>
      <c r="P56" s="31"/>
      <c r="Q56" s="31"/>
      <c r="R56" s="31"/>
      <c r="S56" s="169"/>
    </row>
    <row r="57" spans="1:23" ht="18">
      <c r="A57" s="170" t="s">
        <v>0</v>
      </c>
      <c r="B57" s="171" t="s">
        <v>445</v>
      </c>
      <c r="C57" s="171" t="s">
        <v>446</v>
      </c>
      <c r="D57" s="172" t="s">
        <v>447</v>
      </c>
      <c r="E57" s="83" t="s">
        <v>448</v>
      </c>
      <c r="F57" s="172" t="s">
        <v>449</v>
      </c>
      <c r="G57" s="51" t="s">
        <v>450</v>
      </c>
      <c r="H57" s="173" t="s">
        <v>451</v>
      </c>
      <c r="I57" s="174" t="s">
        <v>452</v>
      </c>
      <c r="J57" s="147"/>
      <c r="K57" s="31"/>
      <c r="L57" s="31"/>
      <c r="M57" s="31"/>
      <c r="N57" s="31"/>
      <c r="O57" s="31"/>
      <c r="P57" s="31"/>
      <c r="Q57" s="31"/>
      <c r="R57" s="175"/>
      <c r="S57" s="110"/>
    </row>
    <row r="58" spans="1:23" ht="18.75" thickBot="1">
      <c r="A58" s="176">
        <v>749</v>
      </c>
      <c r="B58" s="177">
        <f>LOOKUP(A58,numcargo,punbascargo)</f>
        <v>971</v>
      </c>
      <c r="C58" s="177">
        <f>LOOKUP(A58,numcargo,puntardifcargo)</f>
        <v>0</v>
      </c>
      <c r="D58" s="178">
        <f>LOOKUP(A58,numcargo,punproljorcargo)</f>
        <v>0</v>
      </c>
      <c r="E58" s="179">
        <f>LOOKUP(A58,numcargo,compbas16)</f>
        <v>414.7</v>
      </c>
      <c r="F58" s="180">
        <f>IF(AND(D62=1,LOOKUP(A58,numcargo,adicnina)&gt;0),LOOKUP(A58,numcargo,adicnina),0)</f>
        <v>0</v>
      </c>
      <c r="G58" s="180">
        <f>LOOKUP(A58,numcargo,adicdir2016)</f>
        <v>0</v>
      </c>
      <c r="H58" s="181">
        <f>LOOKUP(A58,numcargo,adicdir2022)</f>
        <v>0</v>
      </c>
      <c r="I58" s="182">
        <f>IF(AND(exten=1,LOOKUP(A58,numcargo,punexten)&gt;0),LOOKUP(A58,numcargo,punexten),0)</f>
        <v>0</v>
      </c>
      <c r="J58" s="147"/>
      <c r="K58" s="31"/>
      <c r="L58" s="31"/>
      <c r="M58" s="31"/>
      <c r="N58" s="31"/>
      <c r="O58" s="31"/>
      <c r="P58" s="31"/>
      <c r="Q58" s="31"/>
      <c r="R58" s="133"/>
      <c r="S58" s="110"/>
    </row>
    <row r="59" spans="1:23">
      <c r="A59" s="183" t="s">
        <v>453</v>
      </c>
      <c r="B59" s="184"/>
      <c r="C59" s="185" t="str">
        <f>LOOKUP(A58,numcargo,nombrecargo)</f>
        <v>Maestro De Ciclo</v>
      </c>
      <c r="D59" s="184"/>
      <c r="E59" s="186"/>
      <c r="F59" s="39"/>
      <c r="G59" s="39"/>
      <c r="H59" s="187" t="str">
        <f>A58&amp;""</f>
        <v>749</v>
      </c>
      <c r="I59" s="873" t="str">
        <f>C59</f>
        <v>Maestro De Ciclo</v>
      </c>
      <c r="J59" s="188"/>
      <c r="K59" s="189">
        <f>porantigcargo</f>
        <v>0</v>
      </c>
      <c r="L59" s="190"/>
      <c r="M59" s="191"/>
      <c r="N59" s="191"/>
      <c r="O59" s="191"/>
      <c r="P59" s="191"/>
      <c r="Q59" s="31"/>
      <c r="R59" s="31"/>
      <c r="S59" s="31"/>
    </row>
    <row r="60" spans="1:23" ht="15.75">
      <c r="A60" s="192" t="s">
        <v>454</v>
      </c>
      <c r="B60" s="192"/>
      <c r="C60" s="192"/>
      <c r="D60" s="192"/>
      <c r="E60" s="31"/>
      <c r="F60" s="39"/>
      <c r="G60" s="39"/>
      <c r="H60" s="193">
        <v>45992</v>
      </c>
      <c r="I60" s="194">
        <v>46054</v>
      </c>
      <c r="J60" s="194" t="s">
        <v>561</v>
      </c>
      <c r="K60" s="195"/>
      <c r="L60" s="196"/>
      <c r="M60" s="197"/>
      <c r="N60" s="197"/>
      <c r="O60" s="197"/>
      <c r="P60" s="197"/>
      <c r="Q60" s="197"/>
      <c r="R60" s="197"/>
      <c r="S60" s="197"/>
    </row>
    <row r="61" spans="1:23" ht="21" thickBot="1">
      <c r="A61" s="198"/>
      <c r="B61" s="31"/>
      <c r="C61" s="31"/>
      <c r="D61" s="199"/>
      <c r="E61" s="200"/>
      <c r="F61" s="39"/>
      <c r="G61" s="201"/>
      <c r="H61" s="202">
        <f>K66</f>
        <v>687207</v>
      </c>
      <c r="I61" s="203">
        <f>H66</f>
        <v>750000</v>
      </c>
      <c r="J61" s="204">
        <f>E66</f>
        <v>776250</v>
      </c>
      <c r="K61" s="205"/>
      <c r="L61" s="206"/>
      <c r="M61" s="207"/>
      <c r="N61" s="207"/>
      <c r="O61" s="207"/>
      <c r="P61" s="207"/>
      <c r="Q61" s="207"/>
      <c r="R61" s="207"/>
      <c r="S61" s="207"/>
    </row>
    <row r="62" spans="1:23" ht="16.5" thickTop="1">
      <c r="A62" s="31"/>
      <c r="B62" s="834" t="s">
        <v>455</v>
      </c>
      <c r="C62" s="835"/>
      <c r="D62" s="208">
        <v>0</v>
      </c>
      <c r="E62" s="209" t="s">
        <v>456</v>
      </c>
      <c r="F62" s="39"/>
      <c r="G62" s="201"/>
      <c r="H62" s="210" t="s">
        <v>457</v>
      </c>
      <c r="I62" s="211">
        <f>I61-$H61</f>
        <v>62793</v>
      </c>
      <c r="J62" s="211">
        <f t="shared" ref="I62:K62" si="7">J61-$H61</f>
        <v>89043</v>
      </c>
      <c r="K62" s="212"/>
      <c r="L62" s="213"/>
      <c r="M62" s="214"/>
      <c r="N62" s="214"/>
      <c r="O62" s="214"/>
      <c r="P62" s="214"/>
      <c r="Q62" s="214"/>
      <c r="R62" s="214"/>
      <c r="S62" s="214"/>
    </row>
    <row r="63" spans="1:23" ht="18">
      <c r="A63" s="31"/>
      <c r="B63" s="843" t="s">
        <v>458</v>
      </c>
      <c r="C63" s="841"/>
      <c r="D63" s="215">
        <v>0</v>
      </c>
      <c r="E63" s="31" t="s">
        <v>459</v>
      </c>
      <c r="F63" s="39"/>
      <c r="G63" s="39"/>
      <c r="H63" s="216" t="s">
        <v>460</v>
      </c>
      <c r="I63" s="217">
        <f t="shared" ref="I63:K63" si="8">I62/$H61</f>
        <v>9.1374214756252486E-2</v>
      </c>
      <c r="J63" s="217">
        <f t="shared" si="8"/>
        <v>0.12957231227272131</v>
      </c>
      <c r="K63" s="218"/>
      <c r="L63" s="219"/>
      <c r="M63" s="220"/>
      <c r="N63" s="220"/>
      <c r="O63" s="220"/>
      <c r="P63" s="220"/>
      <c r="Q63" s="220"/>
      <c r="R63" s="220"/>
      <c r="S63" s="220"/>
    </row>
    <row r="64" spans="1:23" ht="16.5" thickBot="1">
      <c r="A64" s="31"/>
      <c r="B64" s="221"/>
      <c r="C64" s="31"/>
      <c r="D64" s="222">
        <f>LOOKUP(D63,escalaañosantig,escalaporcantig)</f>
        <v>0</v>
      </c>
      <c r="E64" s="39"/>
      <c r="F64" s="39"/>
      <c r="G64" s="39"/>
      <c r="H64" s="223" t="s">
        <v>461</v>
      </c>
      <c r="I64" s="224"/>
      <c r="J64" s="224"/>
      <c r="K64" s="225"/>
      <c r="L64" s="190"/>
      <c r="M64" s="191"/>
      <c r="N64" s="191"/>
      <c r="O64" s="191"/>
      <c r="P64" s="191"/>
      <c r="Q64" s="191"/>
      <c r="R64" s="191"/>
      <c r="S64" s="191"/>
    </row>
    <row r="65" spans="1:19" ht="24.75" thickTop="1" thickBot="1">
      <c r="A65" s="31"/>
      <c r="B65" s="844" t="s">
        <v>462</v>
      </c>
      <c r="C65" s="837"/>
      <c r="D65" s="226">
        <v>0</v>
      </c>
      <c r="E65" s="227" t="s">
        <v>463</v>
      </c>
      <c r="F65" s="228"/>
      <c r="G65" s="87"/>
      <c r="H65" s="227" t="s">
        <v>463</v>
      </c>
      <c r="I65" s="228"/>
      <c r="J65" s="87"/>
      <c r="K65" s="227" t="s">
        <v>463</v>
      </c>
      <c r="L65" s="228"/>
      <c r="M65" s="31"/>
      <c r="N65" s="31"/>
      <c r="O65" s="31"/>
      <c r="P65" s="31"/>
      <c r="Q65" s="31"/>
      <c r="R65" s="31"/>
      <c r="S65" s="31"/>
    </row>
    <row r="66" spans="1:19" ht="21" thickBot="1">
      <c r="A66" s="31"/>
      <c r="B66" s="845" t="s">
        <v>464</v>
      </c>
      <c r="C66" s="837"/>
      <c r="D66" s="229">
        <f>PUNTOSbasicos</f>
        <v>971</v>
      </c>
      <c r="E66" s="230">
        <f>F102</f>
        <v>776250</v>
      </c>
      <c r="F66" s="231"/>
      <c r="G66" s="31"/>
      <c r="H66" s="230">
        <f>I102</f>
        <v>750000</v>
      </c>
      <c r="I66" s="231"/>
      <c r="J66" s="31"/>
      <c r="K66" s="230">
        <f>L102</f>
        <v>687207</v>
      </c>
      <c r="L66" s="231"/>
      <c r="M66" s="31"/>
      <c r="N66" s="31"/>
      <c r="O66" s="31"/>
      <c r="P66" s="31"/>
      <c r="Q66" s="31"/>
      <c r="R66" s="31"/>
      <c r="S66" s="31"/>
    </row>
    <row r="67" spans="1:19" ht="16.5" thickTop="1">
      <c r="A67" s="31"/>
      <c r="B67" s="846" t="s">
        <v>465</v>
      </c>
      <c r="C67" s="847"/>
      <c r="D67" s="232">
        <f>D58</f>
        <v>0</v>
      </c>
      <c r="E67" s="233" t="s">
        <v>466</v>
      </c>
      <c r="F67" s="234"/>
      <c r="G67" s="31"/>
      <c r="H67" s="233" t="s">
        <v>466</v>
      </c>
      <c r="I67" s="234"/>
      <c r="J67" s="31"/>
      <c r="K67" s="233" t="s">
        <v>466</v>
      </c>
      <c r="L67" s="234"/>
      <c r="M67" s="31"/>
      <c r="N67" s="31"/>
      <c r="O67" s="31"/>
      <c r="P67" s="31"/>
      <c r="Q67" s="31"/>
      <c r="R67" s="31"/>
      <c r="S67" s="39"/>
    </row>
    <row r="68" spans="1:19" ht="21" thickBot="1">
      <c r="A68" s="123"/>
      <c r="B68" s="235" t="s">
        <v>467</v>
      </c>
      <c r="C68" s="236"/>
      <c r="D68" s="237">
        <v>0</v>
      </c>
      <c r="E68" s="238">
        <f>E66-E90-E91-E92</f>
        <v>644806.03499999992</v>
      </c>
      <c r="F68" s="239"/>
      <c r="G68" s="123"/>
      <c r="H68" s="238">
        <f>H66-H90-H91-H92</f>
        <v>623001</v>
      </c>
      <c r="I68" s="239"/>
      <c r="J68" s="123"/>
      <c r="K68" s="238">
        <f>K66-K90-K91-K92</f>
        <v>623001</v>
      </c>
      <c r="L68" s="239"/>
      <c r="M68" s="123"/>
      <c r="N68" s="123"/>
      <c r="O68" s="123"/>
      <c r="P68" s="98"/>
      <c r="Q68" s="123"/>
      <c r="R68" s="123"/>
      <c r="S68" s="123"/>
    </row>
    <row r="69" spans="1:19" ht="18.75" thickTop="1">
      <c r="A69" s="123"/>
      <c r="B69" s="123"/>
      <c r="C69" s="123"/>
      <c r="D69" s="240"/>
      <c r="E69" s="240"/>
      <c r="F69" s="240"/>
      <c r="G69" s="123"/>
      <c r="H69" s="240"/>
      <c r="I69" s="240"/>
      <c r="J69" s="123"/>
      <c r="K69" s="22">
        <v>45992</v>
      </c>
      <c r="L69" s="39"/>
      <c r="M69" s="39"/>
      <c r="N69" s="39"/>
      <c r="O69" s="39"/>
      <c r="P69" s="39"/>
      <c r="Q69" s="39"/>
      <c r="R69" s="39"/>
      <c r="S69" s="39"/>
    </row>
    <row r="70" spans="1:19" ht="20.25">
      <c r="A70" s="123"/>
      <c r="B70" s="186"/>
      <c r="C70" s="186"/>
      <c r="D70" s="186"/>
      <c r="E70" s="865">
        <v>46143</v>
      </c>
      <c r="F70" s="866">
        <v>3.5000000000000003E-2</v>
      </c>
      <c r="G70" s="867"/>
      <c r="H70" s="865">
        <v>46054</v>
      </c>
      <c r="I70" s="866">
        <v>0</v>
      </c>
      <c r="J70" s="867"/>
      <c r="K70" s="865">
        <v>45992</v>
      </c>
      <c r="L70" s="23"/>
      <c r="M70" s="98"/>
      <c r="N70" s="123"/>
      <c r="O70" s="123"/>
      <c r="P70" s="123"/>
      <c r="Q70" s="123"/>
      <c r="R70" s="123"/>
      <c r="S70" s="123"/>
    </row>
    <row r="71" spans="1:19" ht="15.75">
      <c r="A71" s="123"/>
      <c r="B71" s="241" t="s">
        <v>468</v>
      </c>
      <c r="C71" s="242" t="s">
        <v>469</v>
      </c>
      <c r="D71" s="243" t="s">
        <v>470</v>
      </c>
      <c r="E71" s="243" t="s">
        <v>471</v>
      </c>
      <c r="F71" s="243" t="s">
        <v>472</v>
      </c>
      <c r="G71" s="244"/>
      <c r="H71" s="243" t="s">
        <v>471</v>
      </c>
      <c r="I71" s="243" t="s">
        <v>472</v>
      </c>
      <c r="J71" s="244"/>
      <c r="K71" s="243" t="s">
        <v>471</v>
      </c>
      <c r="L71" s="243" t="s">
        <v>472</v>
      </c>
      <c r="M71" s="244"/>
      <c r="N71" s="123"/>
      <c r="O71" s="123"/>
      <c r="P71" s="123"/>
      <c r="Q71" s="123"/>
      <c r="R71" s="123"/>
      <c r="S71" s="123"/>
    </row>
    <row r="72" spans="1:19" ht="15.75">
      <c r="A72" s="123"/>
      <c r="B72" s="245">
        <v>1</v>
      </c>
      <c r="C72" s="246"/>
      <c r="D72" s="246" t="s">
        <v>473</v>
      </c>
      <c r="E72" s="664">
        <f t="shared" ref="E72:E87" si="9">E139</f>
        <v>265344.0048</v>
      </c>
      <c r="F72" s="246"/>
      <c r="G72" s="247"/>
      <c r="H72" s="246">
        <f t="shared" ref="H72:H87" si="10">H139</f>
        <v>256370.96975318494</v>
      </c>
      <c r="I72" s="246"/>
      <c r="J72" s="247"/>
      <c r="K72" s="246">
        <f t="shared" ref="K72:K87" si="11">K139</f>
        <v>256370.96975318494</v>
      </c>
      <c r="L72" s="246"/>
      <c r="M72" s="247"/>
      <c r="N72" s="123"/>
      <c r="O72" s="123"/>
      <c r="P72" s="123"/>
      <c r="Q72" s="123"/>
      <c r="R72" s="123"/>
      <c r="S72" s="39"/>
    </row>
    <row r="73" spans="1:19" ht="15.75">
      <c r="A73" s="123"/>
      <c r="B73" s="248">
        <v>2</v>
      </c>
      <c r="C73" s="249"/>
      <c r="D73" s="249" t="s">
        <v>474</v>
      </c>
      <c r="E73" s="662">
        <f t="shared" si="9"/>
        <v>113324.57136</v>
      </c>
      <c r="F73" s="249"/>
      <c r="G73" s="247"/>
      <c r="H73" s="249">
        <f t="shared" si="10"/>
        <v>109492.31838995447</v>
      </c>
      <c r="I73" s="249"/>
      <c r="J73" s="247"/>
      <c r="K73" s="249">
        <f t="shared" si="11"/>
        <v>109492.31838995447</v>
      </c>
      <c r="L73" s="249"/>
      <c r="M73" s="247"/>
      <c r="N73" s="123"/>
      <c r="O73" s="123"/>
      <c r="P73" s="123"/>
      <c r="Q73" s="123"/>
      <c r="R73" s="123"/>
      <c r="S73" s="123"/>
    </row>
    <row r="74" spans="1:19" ht="15.75">
      <c r="A74" s="123"/>
      <c r="B74" s="250" t="s">
        <v>475</v>
      </c>
      <c r="C74" s="251"/>
      <c r="D74" s="251" t="s">
        <v>467</v>
      </c>
      <c r="E74" s="825">
        <f t="shared" si="9"/>
        <v>0</v>
      </c>
      <c r="F74" s="251"/>
      <c r="G74" s="252"/>
      <c r="H74" s="251">
        <f t="shared" si="10"/>
        <v>0</v>
      </c>
      <c r="I74" s="251"/>
      <c r="J74" s="252"/>
      <c r="K74" s="251">
        <f t="shared" si="11"/>
        <v>0</v>
      </c>
      <c r="L74" s="251"/>
      <c r="M74" s="252"/>
      <c r="N74" s="123"/>
      <c r="O74" s="123"/>
      <c r="P74" s="123"/>
      <c r="Q74" s="123"/>
      <c r="R74" s="123"/>
      <c r="S74" s="123"/>
    </row>
    <row r="75" spans="1:19" ht="15.75">
      <c r="A75" s="123"/>
      <c r="B75" s="253" t="s">
        <v>476</v>
      </c>
      <c r="C75" s="246"/>
      <c r="D75" s="246" t="s">
        <v>477</v>
      </c>
      <c r="E75" s="664">
        <f t="shared" si="9"/>
        <v>0</v>
      </c>
      <c r="F75" s="246">
        <f>468108*1.1</f>
        <v>514918.80000000005</v>
      </c>
      <c r="G75" s="247"/>
      <c r="H75" s="246">
        <f t="shared" si="10"/>
        <v>0</v>
      </c>
      <c r="I75" s="246">
        <f>468108*1.1</f>
        <v>514918.80000000005</v>
      </c>
      <c r="J75" s="247"/>
      <c r="K75" s="246">
        <f t="shared" si="11"/>
        <v>0</v>
      </c>
      <c r="L75" s="246">
        <f>468108*1.1</f>
        <v>514918.80000000005</v>
      </c>
      <c r="M75" s="247"/>
      <c r="N75" s="123"/>
      <c r="O75" s="123"/>
      <c r="P75" s="123"/>
      <c r="Q75" s="123"/>
      <c r="R75" s="123"/>
      <c r="S75" s="123"/>
    </row>
    <row r="76" spans="1:19" ht="15.75">
      <c r="A76" s="123"/>
      <c r="B76" s="248">
        <v>5</v>
      </c>
      <c r="C76" s="249"/>
      <c r="D76" s="249" t="s">
        <v>478</v>
      </c>
      <c r="E76" s="662">
        <f t="shared" si="9"/>
        <v>0</v>
      </c>
      <c r="F76" s="249"/>
      <c r="G76" s="247"/>
      <c r="H76" s="249">
        <f t="shared" si="10"/>
        <v>0</v>
      </c>
      <c r="I76" s="249"/>
      <c r="J76" s="247"/>
      <c r="K76" s="249">
        <f t="shared" si="11"/>
        <v>0</v>
      </c>
      <c r="L76" s="249"/>
      <c r="M76" s="247"/>
      <c r="N76" s="123"/>
      <c r="O76" s="123"/>
      <c r="P76" s="123"/>
      <c r="Q76" s="123"/>
      <c r="R76" s="123"/>
      <c r="S76" s="123"/>
    </row>
    <row r="77" spans="1:19" ht="15.75">
      <c r="A77" s="123"/>
      <c r="B77" s="253">
        <v>6</v>
      </c>
      <c r="C77" s="246"/>
      <c r="D77" s="246" t="s">
        <v>479</v>
      </c>
      <c r="E77" s="664">
        <f t="shared" si="9"/>
        <v>214317.87594277429</v>
      </c>
      <c r="F77" s="246"/>
      <c r="G77" s="247"/>
      <c r="H77" s="246">
        <f t="shared" si="10"/>
        <v>207070.41153891236</v>
      </c>
      <c r="I77" s="246"/>
      <c r="J77" s="247"/>
      <c r="K77" s="246">
        <f t="shared" si="11"/>
        <v>207070.41153891236</v>
      </c>
      <c r="L77" s="246"/>
      <c r="M77" s="247"/>
      <c r="N77" s="123"/>
      <c r="O77" s="123"/>
      <c r="P77" s="123"/>
      <c r="Q77" s="123"/>
      <c r="R77" s="123"/>
      <c r="S77" s="123"/>
    </row>
    <row r="78" spans="1:19" ht="15.75">
      <c r="A78" s="123"/>
      <c r="B78" s="248">
        <v>10</v>
      </c>
      <c r="C78" s="254">
        <f>C145</f>
        <v>0</v>
      </c>
      <c r="D78" s="249" t="s">
        <v>480</v>
      </c>
      <c r="E78" s="662">
        <f t="shared" si="9"/>
        <v>0</v>
      </c>
      <c r="F78" s="249"/>
      <c r="G78" s="247"/>
      <c r="H78" s="249">
        <f t="shared" si="10"/>
        <v>0</v>
      </c>
      <c r="I78" s="249"/>
      <c r="J78" s="247"/>
      <c r="K78" s="249">
        <f t="shared" si="11"/>
        <v>0</v>
      </c>
      <c r="L78" s="249"/>
      <c r="M78" s="247"/>
      <c r="N78" s="123"/>
      <c r="O78" s="123"/>
      <c r="P78" s="123"/>
      <c r="Q78" s="123"/>
      <c r="R78" s="123"/>
      <c r="S78" s="123"/>
    </row>
    <row r="79" spans="1:19" ht="15.75">
      <c r="A79" s="123"/>
      <c r="B79" s="253">
        <v>14</v>
      </c>
      <c r="C79" s="255">
        <v>7.0000000000000007E-2</v>
      </c>
      <c r="D79" s="246" t="s">
        <v>481</v>
      </c>
      <c r="E79" s="664">
        <f t="shared" si="9"/>
        <v>15002.251315994203</v>
      </c>
      <c r="F79" s="246"/>
      <c r="G79" s="256">
        <f t="shared" ref="G79:G84" si="12">G146</f>
        <v>157226.64368802353</v>
      </c>
      <c r="H79" s="246">
        <f t="shared" si="10"/>
        <v>14494.928807723867</v>
      </c>
      <c r="I79" s="246"/>
      <c r="J79" s="256">
        <f t="shared" ref="J79:J84" si="13">J146</f>
        <v>151909.87113031338</v>
      </c>
      <c r="K79" s="246">
        <f t="shared" si="11"/>
        <v>14494.928807723867</v>
      </c>
      <c r="L79" s="246"/>
      <c r="M79" s="256">
        <f t="shared" ref="M79:M84" si="14">M146</f>
        <v>151909.87113031338</v>
      </c>
      <c r="N79" s="123"/>
      <c r="O79" s="123"/>
      <c r="P79" s="123"/>
      <c r="Q79" s="123"/>
      <c r="R79" s="123"/>
      <c r="S79" s="123"/>
    </row>
    <row r="80" spans="1:19" ht="15.75">
      <c r="A80" s="123"/>
      <c r="B80" s="248">
        <v>188</v>
      </c>
      <c r="C80" s="254">
        <v>7.0000000000000007E-2</v>
      </c>
      <c r="D80" s="249" t="s">
        <v>482</v>
      </c>
      <c r="E80" s="662">
        <f t="shared" si="9"/>
        <v>39079.251739361651</v>
      </c>
      <c r="F80" s="249"/>
      <c r="G80" s="257"/>
      <c r="H80" s="249">
        <f t="shared" si="10"/>
        <v>37757.731149141699</v>
      </c>
      <c r="I80" s="249"/>
      <c r="J80" s="257"/>
      <c r="K80" s="249">
        <f t="shared" si="11"/>
        <v>37757.731149141699</v>
      </c>
      <c r="L80" s="249"/>
      <c r="M80" s="257"/>
      <c r="N80" s="123"/>
      <c r="O80" s="123"/>
      <c r="P80" s="123"/>
      <c r="Q80" s="123"/>
      <c r="R80" s="123"/>
      <c r="S80" s="123"/>
    </row>
    <row r="81" spans="1:19" ht="15.75">
      <c r="A81" s="123"/>
      <c r="B81" s="253">
        <v>52</v>
      </c>
      <c r="C81" s="246"/>
      <c r="D81" s="246" t="s">
        <v>483</v>
      </c>
      <c r="E81" s="664">
        <f t="shared" si="9"/>
        <v>0</v>
      </c>
      <c r="F81" s="246"/>
      <c r="G81" s="257">
        <f t="shared" si="12"/>
        <v>556948.05904994207</v>
      </c>
      <c r="H81" s="246">
        <f t="shared" si="10"/>
        <v>0</v>
      </c>
      <c r="I81" s="246"/>
      <c r="J81" s="257">
        <f t="shared" si="13"/>
        <v>538114.06671491987</v>
      </c>
      <c r="K81" s="246">
        <f t="shared" si="11"/>
        <v>0</v>
      </c>
      <c r="L81" s="246"/>
      <c r="M81" s="257">
        <f t="shared" si="14"/>
        <v>538114.06671491987</v>
      </c>
      <c r="N81" s="123"/>
      <c r="O81" s="123"/>
      <c r="P81" s="123"/>
      <c r="Q81" s="123"/>
      <c r="R81" s="123"/>
      <c r="S81" s="123"/>
    </row>
    <row r="82" spans="1:19" ht="15.75">
      <c r="A82" s="123"/>
      <c r="B82" s="248">
        <v>16</v>
      </c>
      <c r="C82" s="249"/>
      <c r="D82" s="249" t="s">
        <v>484</v>
      </c>
      <c r="E82" s="662">
        <f t="shared" si="9"/>
        <v>0</v>
      </c>
      <c r="F82" s="249"/>
      <c r="G82" s="257">
        <f t="shared" si="12"/>
        <v>51957.082281292351</v>
      </c>
      <c r="H82" s="249">
        <f t="shared" si="10"/>
        <v>0</v>
      </c>
      <c r="I82" s="249"/>
      <c r="J82" s="257">
        <f t="shared" si="13"/>
        <v>50200.149964389449</v>
      </c>
      <c r="K82" s="249">
        <f t="shared" si="11"/>
        <v>0</v>
      </c>
      <c r="L82" s="249"/>
      <c r="M82" s="257">
        <f t="shared" si="14"/>
        <v>50200.149964389449</v>
      </c>
      <c r="N82" s="123"/>
      <c r="O82" s="123"/>
      <c r="P82" s="123"/>
      <c r="Q82" s="123"/>
      <c r="R82" s="123"/>
      <c r="S82" s="123"/>
    </row>
    <row r="83" spans="1:19" ht="16.5" thickBot="1">
      <c r="A83" s="123"/>
      <c r="B83" s="253">
        <v>78</v>
      </c>
      <c r="C83" s="258">
        <v>0</v>
      </c>
      <c r="D83" s="246" t="s">
        <v>485</v>
      </c>
      <c r="E83" s="664">
        <f t="shared" si="9"/>
        <v>0</v>
      </c>
      <c r="F83" s="246"/>
      <c r="G83" s="257">
        <f t="shared" si="12"/>
        <v>644806.03499999992</v>
      </c>
      <c r="H83" s="246">
        <f t="shared" si="10"/>
        <v>0</v>
      </c>
      <c r="I83" s="246"/>
      <c r="J83" s="257">
        <f t="shared" si="13"/>
        <v>623001</v>
      </c>
      <c r="K83" s="246">
        <f t="shared" si="11"/>
        <v>0</v>
      </c>
      <c r="L83" s="246"/>
      <c r="M83" s="257">
        <f t="shared" si="14"/>
        <v>623001</v>
      </c>
      <c r="N83" s="123"/>
      <c r="O83" s="123"/>
      <c r="P83" s="123"/>
      <c r="Q83" s="123"/>
      <c r="R83" s="123"/>
      <c r="S83" s="123"/>
    </row>
    <row r="84" spans="1:19" ht="16.5" thickBot="1">
      <c r="A84" s="259"/>
      <c r="B84" s="260">
        <v>185</v>
      </c>
      <c r="C84" s="261"/>
      <c r="D84" s="261" t="s">
        <v>486</v>
      </c>
      <c r="E84" s="826">
        <f t="shared" si="9"/>
        <v>157226.64368802353</v>
      </c>
      <c r="F84" s="261"/>
      <c r="G84" s="262">
        <f t="shared" si="12"/>
        <v>157226.64368802353</v>
      </c>
      <c r="H84" s="261">
        <f t="shared" si="10"/>
        <v>151909.87113031338</v>
      </c>
      <c r="I84" s="261"/>
      <c r="J84" s="262">
        <f t="shared" si="13"/>
        <v>151909.87113031338</v>
      </c>
      <c r="K84" s="261">
        <f t="shared" si="11"/>
        <v>151909.87113031338</v>
      </c>
      <c r="L84" s="261"/>
      <c r="M84" s="262">
        <f t="shared" si="14"/>
        <v>151909.87113031338</v>
      </c>
      <c r="N84" s="259"/>
      <c r="O84" s="259"/>
      <c r="P84" s="259"/>
      <c r="Q84" s="259"/>
      <c r="R84" s="259"/>
      <c r="S84" s="259"/>
    </row>
    <row r="85" spans="1:19" ht="16.5" thickBot="1">
      <c r="A85" s="123"/>
      <c r="B85" s="245">
        <v>117</v>
      </c>
      <c r="C85" s="263">
        <v>1</v>
      </c>
      <c r="D85" s="264" t="s">
        <v>487</v>
      </c>
      <c r="E85" s="827">
        <f t="shared" si="9"/>
        <v>22379.804999999997</v>
      </c>
      <c r="F85" s="264"/>
      <c r="G85" s="265"/>
      <c r="H85" s="264">
        <f t="shared" si="10"/>
        <v>21623</v>
      </c>
      <c r="I85" s="264"/>
      <c r="J85" s="265"/>
      <c r="K85" s="264">
        <f t="shared" si="11"/>
        <v>21623</v>
      </c>
      <c r="L85" s="264"/>
      <c r="M85" s="265"/>
      <c r="N85" s="123"/>
      <c r="O85" s="123"/>
      <c r="P85" s="123"/>
      <c r="Q85" s="123"/>
      <c r="R85" s="123"/>
      <c r="S85" s="123"/>
    </row>
    <row r="86" spans="1:19" ht="16.5" thickBot="1">
      <c r="A86" s="123"/>
      <c r="B86" s="266">
        <v>25</v>
      </c>
      <c r="C86" s="267">
        <v>1</v>
      </c>
      <c r="D86" s="268" t="s">
        <v>488</v>
      </c>
      <c r="E86" s="828">
        <f t="shared" si="9"/>
        <v>0</v>
      </c>
      <c r="F86" s="269"/>
      <c r="G86" s="270"/>
      <c r="H86" s="269">
        <f t="shared" si="10"/>
        <v>0</v>
      </c>
      <c r="I86" s="269"/>
      <c r="J86" s="270"/>
      <c r="K86" s="269">
        <f t="shared" si="11"/>
        <v>0</v>
      </c>
      <c r="L86" s="269"/>
      <c r="M86" s="270"/>
      <c r="N86" s="123"/>
      <c r="O86" s="123"/>
      <c r="P86" s="123"/>
      <c r="Q86" s="123"/>
      <c r="R86" s="123"/>
      <c r="S86" s="123"/>
    </row>
    <row r="87" spans="1:19" ht="15.75">
      <c r="A87" s="123"/>
      <c r="B87" s="271">
        <v>29</v>
      </c>
      <c r="C87" s="272">
        <f>cantkm</f>
        <v>0</v>
      </c>
      <c r="D87" s="273" t="s">
        <v>489</v>
      </c>
      <c r="E87" s="829">
        <f t="shared" si="9"/>
        <v>0</v>
      </c>
      <c r="F87" s="273"/>
      <c r="G87" s="265">
        <f>G154</f>
        <v>832601.61</v>
      </c>
      <c r="H87" s="273">
        <f t="shared" si="10"/>
        <v>0</v>
      </c>
      <c r="I87" s="273"/>
      <c r="J87" s="265">
        <f>J154</f>
        <v>804446</v>
      </c>
      <c r="K87" s="273">
        <f t="shared" si="11"/>
        <v>0</v>
      </c>
      <c r="L87" s="273"/>
      <c r="M87" s="265">
        <f>M154</f>
        <v>804446</v>
      </c>
      <c r="N87" s="123"/>
      <c r="O87" s="123"/>
      <c r="P87" s="123"/>
      <c r="Q87" s="123"/>
      <c r="R87" s="123"/>
      <c r="S87" s="123"/>
    </row>
    <row r="88" spans="1:19" ht="15.75">
      <c r="A88" s="123"/>
      <c r="B88" s="253" t="s">
        <v>490</v>
      </c>
      <c r="C88" s="246" t="s">
        <v>491</v>
      </c>
      <c r="D88" s="246"/>
      <c r="E88" s="830">
        <v>0</v>
      </c>
      <c r="F88" s="246"/>
      <c r="G88" s="257">
        <f>G155</f>
        <v>382239.3144284981</v>
      </c>
      <c r="H88" s="274">
        <v>0</v>
      </c>
      <c r="I88" s="246"/>
      <c r="J88" s="257">
        <f>J155</f>
        <v>369313.41773946746</v>
      </c>
      <c r="K88" s="274">
        <v>0</v>
      </c>
      <c r="L88" s="246"/>
      <c r="M88" s="257">
        <f>M155</f>
        <v>369313.41773946746</v>
      </c>
      <c r="N88" s="123"/>
      <c r="O88" s="123"/>
      <c r="P88" s="123"/>
      <c r="Q88" s="123"/>
      <c r="R88" s="123"/>
      <c r="S88" s="123"/>
    </row>
    <row r="89" spans="1:19" ht="15.75">
      <c r="A89" s="123"/>
      <c r="B89" s="248"/>
      <c r="C89" s="249"/>
      <c r="D89" s="275" t="s">
        <v>492</v>
      </c>
      <c r="E89" s="831">
        <f>E156</f>
        <v>826674.40384615376</v>
      </c>
      <c r="F89" s="275"/>
      <c r="G89" s="276"/>
      <c r="H89" s="275">
        <f>H156</f>
        <v>798719.23076923075</v>
      </c>
      <c r="I89" s="275"/>
      <c r="J89" s="276"/>
      <c r="K89" s="275">
        <f>K156</f>
        <v>798719.23076923075</v>
      </c>
      <c r="L89" s="275"/>
      <c r="M89" s="276"/>
      <c r="N89" s="123"/>
      <c r="O89" s="123"/>
      <c r="P89" s="123"/>
      <c r="Q89" s="123"/>
      <c r="R89" s="123"/>
      <c r="S89" s="123"/>
    </row>
    <row r="90" spans="1:19" ht="15.75">
      <c r="A90" s="123"/>
      <c r="B90" s="253">
        <v>184</v>
      </c>
      <c r="C90" s="277">
        <v>1</v>
      </c>
      <c r="D90" s="246" t="s">
        <v>493</v>
      </c>
      <c r="E90" s="664">
        <f>E157</f>
        <v>36752.400000000001</v>
      </c>
      <c r="F90" s="246"/>
      <c r="G90" s="247"/>
      <c r="H90" s="246">
        <f>H157</f>
        <v>36752.400000000001</v>
      </c>
      <c r="I90" s="246"/>
      <c r="J90" s="247"/>
      <c r="K90" s="246">
        <f>K157</f>
        <v>36752.400000000001</v>
      </c>
      <c r="L90" s="246"/>
      <c r="M90" s="247"/>
      <c r="N90" s="123"/>
      <c r="O90" s="123"/>
      <c r="P90" s="123"/>
      <c r="Q90" s="123"/>
      <c r="R90" s="123"/>
      <c r="S90" s="123"/>
    </row>
    <row r="91" spans="1:19" ht="16.5" thickBot="1">
      <c r="A91" s="123"/>
      <c r="B91" s="248">
        <v>204</v>
      </c>
      <c r="C91" s="278">
        <v>1</v>
      </c>
      <c r="D91" s="249" t="s">
        <v>494</v>
      </c>
      <c r="E91" s="664">
        <f>E158</f>
        <v>27453.599999999999</v>
      </c>
      <c r="F91" s="246"/>
      <c r="G91" s="247"/>
      <c r="H91" s="246">
        <f>H158</f>
        <v>27453.599999999999</v>
      </c>
      <c r="I91" s="246"/>
      <c r="J91" s="247"/>
      <c r="K91" s="246">
        <f>K158</f>
        <v>27453.599999999999</v>
      </c>
      <c r="L91" s="246"/>
      <c r="M91" s="247"/>
      <c r="N91" s="123"/>
      <c r="O91" s="123"/>
      <c r="P91" s="123"/>
      <c r="Q91" s="123"/>
      <c r="R91" s="123"/>
      <c r="S91" s="123"/>
    </row>
    <row r="92" spans="1:19" ht="16.5" thickBot="1">
      <c r="A92" s="123"/>
      <c r="B92" s="279" t="s">
        <v>495</v>
      </c>
      <c r="C92" s="280">
        <v>1</v>
      </c>
      <c r="D92" s="281" t="s">
        <v>496</v>
      </c>
      <c r="E92" s="282">
        <f>E159</f>
        <v>67237.965000000084</v>
      </c>
      <c r="F92" s="249"/>
      <c r="G92" s="247"/>
      <c r="H92" s="282">
        <f>H159</f>
        <v>62793</v>
      </c>
      <c r="I92" s="249"/>
      <c r="J92" s="247"/>
      <c r="K92" s="283"/>
      <c r="L92" s="249"/>
      <c r="M92" s="247"/>
      <c r="N92" s="123"/>
      <c r="O92" s="123"/>
      <c r="P92" s="123"/>
      <c r="Q92" s="123"/>
      <c r="R92" s="123"/>
      <c r="S92" s="123"/>
    </row>
    <row r="93" spans="1:19" ht="15.75">
      <c r="A93" s="123"/>
      <c r="B93" s="253"/>
      <c r="C93" s="246"/>
      <c r="D93" s="284" t="s">
        <v>497</v>
      </c>
      <c r="E93" s="832">
        <f>E160</f>
        <v>958118.36884615384</v>
      </c>
      <c r="F93" s="284"/>
      <c r="G93" s="285"/>
      <c r="H93" s="284">
        <f>H160</f>
        <v>925718.23076923075</v>
      </c>
      <c r="I93" s="284"/>
      <c r="J93" s="285"/>
      <c r="K93" s="284">
        <f>K160</f>
        <v>862925.23076923075</v>
      </c>
      <c r="L93" s="284"/>
      <c r="M93" s="285"/>
      <c r="N93" s="123"/>
      <c r="O93" s="123"/>
      <c r="P93" s="123"/>
      <c r="Q93" s="123"/>
      <c r="R93" s="123"/>
      <c r="S93" s="123"/>
    </row>
    <row r="94" spans="1:19" ht="15.75">
      <c r="A94" s="123"/>
      <c r="B94" s="248">
        <v>440</v>
      </c>
      <c r="C94" s="249"/>
      <c r="D94" s="273" t="s">
        <v>498</v>
      </c>
      <c r="E94" s="677">
        <v>0</v>
      </c>
      <c r="F94" s="249">
        <f t="shared" ref="F94:F100" si="15">F161</f>
        <v>0</v>
      </c>
      <c r="G94" s="247"/>
      <c r="H94" s="286">
        <v>0</v>
      </c>
      <c r="I94" s="249">
        <f t="shared" ref="I94:I100" si="16">I161</f>
        <v>0</v>
      </c>
      <c r="J94" s="247"/>
      <c r="K94" s="286">
        <v>0</v>
      </c>
      <c r="L94" s="249">
        <f t="shared" ref="L94:L100" si="17">L161</f>
        <v>0</v>
      </c>
      <c r="M94" s="247"/>
      <c r="N94" s="123"/>
      <c r="O94" s="123"/>
      <c r="P94" s="123"/>
      <c r="Q94" s="123"/>
      <c r="R94" s="123"/>
      <c r="S94" s="123"/>
    </row>
    <row r="95" spans="1:19" ht="15.75">
      <c r="A95" s="123"/>
      <c r="B95" s="253">
        <v>502</v>
      </c>
      <c r="C95" s="287" t="s">
        <v>499</v>
      </c>
      <c r="D95" s="246" t="s">
        <v>500</v>
      </c>
      <c r="E95" s="664"/>
      <c r="F95" s="246">
        <f t="shared" si="15"/>
        <v>-157068.13673076921</v>
      </c>
      <c r="G95" s="247"/>
      <c r="H95" s="246"/>
      <c r="I95" s="246">
        <f t="shared" si="16"/>
        <v>-151756.65384615384</v>
      </c>
      <c r="J95" s="247"/>
      <c r="K95" s="246"/>
      <c r="L95" s="246">
        <f t="shared" si="17"/>
        <v>-151756.65384615384</v>
      </c>
      <c r="M95" s="247"/>
      <c r="N95" s="123"/>
      <c r="O95" s="123"/>
      <c r="P95" s="123"/>
      <c r="Q95" s="123"/>
      <c r="R95" s="123"/>
      <c r="S95" s="123"/>
    </row>
    <row r="96" spans="1:19" ht="15.75">
      <c r="A96" s="123"/>
      <c r="B96" s="253">
        <v>505</v>
      </c>
      <c r="C96" s="288">
        <v>0.03</v>
      </c>
      <c r="D96" s="246" t="s">
        <v>501</v>
      </c>
      <c r="E96" s="664"/>
      <c r="F96" s="246">
        <f t="shared" si="15"/>
        <v>-24800.232115384613</v>
      </c>
      <c r="G96" s="247"/>
      <c r="H96" s="246"/>
      <c r="I96" s="246">
        <f t="shared" si="16"/>
        <v>-23961.576923076922</v>
      </c>
      <c r="J96" s="247"/>
      <c r="K96" s="246"/>
      <c r="L96" s="246">
        <f t="shared" si="17"/>
        <v>-23961.576923076922</v>
      </c>
      <c r="M96" s="247"/>
      <c r="N96" s="123"/>
      <c r="O96" s="123"/>
      <c r="P96" s="123"/>
      <c r="Q96" s="123"/>
      <c r="R96" s="123"/>
      <c r="S96" s="123"/>
    </row>
    <row r="97" spans="1:19" ht="15.75">
      <c r="A97" s="123"/>
      <c r="B97" s="248">
        <v>510</v>
      </c>
      <c r="C97" s="249"/>
      <c r="D97" s="249" t="s">
        <v>502</v>
      </c>
      <c r="E97" s="677">
        <v>0</v>
      </c>
      <c r="F97" s="249">
        <f t="shared" si="15"/>
        <v>0</v>
      </c>
      <c r="G97" s="247"/>
      <c r="H97" s="286">
        <v>0</v>
      </c>
      <c r="I97" s="249">
        <f t="shared" si="16"/>
        <v>0</v>
      </c>
      <c r="J97" s="247"/>
      <c r="K97" s="286">
        <v>0</v>
      </c>
      <c r="L97" s="249">
        <f t="shared" si="17"/>
        <v>0</v>
      </c>
      <c r="M97" s="247"/>
      <c r="N97" s="123"/>
      <c r="O97" s="123"/>
      <c r="P97" s="123"/>
      <c r="Q97" s="123"/>
      <c r="R97" s="123"/>
      <c r="S97" s="123"/>
    </row>
    <row r="98" spans="1:19" ht="15.75">
      <c r="A98" s="123"/>
      <c r="B98" s="253">
        <v>332</v>
      </c>
      <c r="C98" s="289">
        <v>0</v>
      </c>
      <c r="D98" s="246" t="s">
        <v>503</v>
      </c>
      <c r="E98" s="664">
        <f>E165</f>
        <v>0</v>
      </c>
      <c r="F98" s="246">
        <f t="shared" si="15"/>
        <v>0</v>
      </c>
      <c r="G98" s="247"/>
      <c r="H98" s="246"/>
      <c r="I98" s="246">
        <f t="shared" si="16"/>
        <v>0</v>
      </c>
      <c r="J98" s="247"/>
      <c r="K98" s="246"/>
      <c r="L98" s="246">
        <f t="shared" si="17"/>
        <v>0</v>
      </c>
      <c r="M98" s="247"/>
      <c r="N98" s="123"/>
      <c r="O98" s="123"/>
      <c r="P98" s="123"/>
      <c r="Q98" s="123"/>
      <c r="R98" s="123"/>
      <c r="S98" s="123"/>
    </row>
    <row r="99" spans="1:19" ht="15.75">
      <c r="A99" s="123"/>
      <c r="B99" s="290"/>
      <c r="C99" s="289"/>
      <c r="D99" s="249" t="s">
        <v>504</v>
      </c>
      <c r="E99" s="677">
        <v>0</v>
      </c>
      <c r="F99" s="249">
        <f t="shared" si="15"/>
        <v>0</v>
      </c>
      <c r="G99" s="247"/>
      <c r="H99" s="286">
        <v>0</v>
      </c>
      <c r="I99" s="249">
        <f t="shared" si="16"/>
        <v>0</v>
      </c>
      <c r="J99" s="247"/>
      <c r="K99" s="286">
        <v>0</v>
      </c>
      <c r="L99" s="249">
        <f t="shared" si="17"/>
        <v>0</v>
      </c>
      <c r="M99" s="247"/>
      <c r="N99" s="123"/>
      <c r="O99" s="123"/>
      <c r="P99" s="123"/>
      <c r="Q99" s="123"/>
      <c r="R99" s="123"/>
      <c r="S99" s="123"/>
    </row>
    <row r="100" spans="1:19" ht="15.75">
      <c r="A100" s="123"/>
      <c r="B100" s="291"/>
      <c r="C100" s="292"/>
      <c r="D100" s="293" t="s">
        <v>505</v>
      </c>
      <c r="E100" s="294"/>
      <c r="F100" s="294">
        <f t="shared" si="15"/>
        <v>-181868.36884615384</v>
      </c>
      <c r="G100" s="295"/>
      <c r="H100" s="293"/>
      <c r="I100" s="294">
        <f t="shared" si="16"/>
        <v>-175718.23076923075</v>
      </c>
      <c r="J100" s="295"/>
      <c r="K100" s="293"/>
      <c r="L100" s="294">
        <f t="shared" si="17"/>
        <v>-175718.23076923075</v>
      </c>
      <c r="M100" s="295"/>
      <c r="N100" s="123"/>
      <c r="O100" s="123"/>
      <c r="P100" s="123"/>
      <c r="Q100" s="123"/>
      <c r="R100" s="123"/>
      <c r="S100" s="123"/>
    </row>
    <row r="101" spans="1:19" ht="15.75">
      <c r="A101" s="123"/>
      <c r="B101" s="296"/>
      <c r="C101" s="31"/>
      <c r="D101" s="31"/>
      <c r="E101" s="737"/>
      <c r="F101" s="31"/>
      <c r="G101" s="297"/>
      <c r="H101" s="31"/>
      <c r="I101" s="31"/>
      <c r="J101" s="297"/>
      <c r="K101" s="31"/>
      <c r="L101" s="31"/>
      <c r="M101" s="297"/>
      <c r="N101" s="123"/>
      <c r="O101" s="123"/>
      <c r="P101" s="123"/>
      <c r="Q101" s="123"/>
      <c r="R101" s="123"/>
      <c r="S101" s="123"/>
    </row>
    <row r="102" spans="1:19" ht="19.5">
      <c r="A102" s="298"/>
      <c r="B102" s="298"/>
      <c r="C102" s="298"/>
      <c r="D102" s="299"/>
      <c r="E102" s="300" t="str">
        <f t="shared" ref="E102:F102" si="18">E169</f>
        <v>Sueldo líquido</v>
      </c>
      <c r="F102" s="301">
        <f t="shared" si="18"/>
        <v>776250</v>
      </c>
      <c r="G102" s="298"/>
      <c r="H102" s="300" t="str">
        <f t="shared" ref="H102:I102" si="19">H169</f>
        <v>Sueldo líquido</v>
      </c>
      <c r="I102" s="301">
        <f t="shared" si="19"/>
        <v>750000</v>
      </c>
      <c r="J102" s="298"/>
      <c r="K102" s="300" t="str">
        <f t="shared" ref="K102:L102" si="20">K169</f>
        <v>Sueldo líquido</v>
      </c>
      <c r="L102" s="301">
        <f t="shared" si="20"/>
        <v>687207</v>
      </c>
      <c r="M102" s="298"/>
      <c r="N102" s="298"/>
      <c r="O102" s="298"/>
      <c r="P102" s="298"/>
      <c r="Q102" s="298"/>
      <c r="R102" s="298"/>
      <c r="S102" s="298"/>
    </row>
    <row r="103" spans="1:19" ht="15.75">
      <c r="A103" s="123"/>
      <c r="B103" s="31"/>
      <c r="C103" s="31"/>
      <c r="D103" s="191"/>
      <c r="E103" s="302"/>
      <c r="F103" s="303"/>
      <c r="G103" s="297"/>
      <c r="H103" s="302"/>
      <c r="I103" s="303"/>
      <c r="J103" s="297"/>
      <c r="K103" s="302"/>
      <c r="L103" s="303"/>
      <c r="M103" s="297"/>
      <c r="N103" s="123"/>
      <c r="O103" s="123"/>
      <c r="P103" s="123"/>
      <c r="Q103" s="123"/>
      <c r="R103" s="123"/>
      <c r="S103" s="123"/>
    </row>
    <row r="104" spans="1:19" ht="15.75">
      <c r="A104" s="123"/>
      <c r="B104" s="31"/>
      <c r="C104" s="31"/>
      <c r="D104" s="191"/>
      <c r="E104" s="304"/>
      <c r="F104" s="304"/>
      <c r="G104" s="297"/>
      <c r="H104" s="304"/>
      <c r="I104" s="304"/>
      <c r="J104" s="297"/>
      <c r="K104" s="304"/>
      <c r="L104" s="304"/>
      <c r="M104" s="297"/>
      <c r="N104" s="123"/>
      <c r="O104" s="123"/>
      <c r="P104" s="123"/>
      <c r="Q104" s="123"/>
      <c r="R104" s="123"/>
      <c r="S104" s="123"/>
    </row>
    <row r="105" spans="1:19" ht="15.75">
      <c r="A105" s="123"/>
      <c r="B105" s="31"/>
      <c r="C105" s="39"/>
      <c r="D105" s="87"/>
      <c r="E105" s="304" t="str">
        <f>E172</f>
        <v>Total remunerativos</v>
      </c>
      <c r="F105" s="304"/>
      <c r="G105" s="297"/>
      <c r="H105" s="304" t="str">
        <f>H172</f>
        <v>Total remunerativos</v>
      </c>
      <c r="I105" s="304"/>
      <c r="J105" s="297"/>
      <c r="K105" s="304" t="str">
        <f>K172</f>
        <v>Total remunerativos</v>
      </c>
      <c r="L105" s="304"/>
      <c r="M105" s="297"/>
      <c r="N105" s="123"/>
      <c r="O105" s="123"/>
      <c r="P105" s="123"/>
      <c r="Q105" s="123"/>
      <c r="R105" s="123"/>
      <c r="S105" s="123"/>
    </row>
    <row r="106" spans="1:19" ht="18">
      <c r="A106" s="123"/>
      <c r="B106" s="31"/>
      <c r="C106" s="31"/>
      <c r="D106" s="305"/>
      <c r="E106" s="304">
        <f t="shared" ref="E106:F109" si="21">E173</f>
        <v>658441.89509996853</v>
      </c>
      <c r="F106" s="304">
        <f t="shared" si="21"/>
        <v>0</v>
      </c>
      <c r="G106" s="297"/>
      <c r="H106" s="304">
        <f t="shared" ref="H106:I109" si="22">H173</f>
        <v>636175.66865979542</v>
      </c>
      <c r="I106" s="304">
        <f t="shared" si="22"/>
        <v>0</v>
      </c>
      <c r="J106" s="297"/>
      <c r="K106" s="304">
        <f t="shared" ref="K106:L109" si="23">K173</f>
        <v>636175.66865979542</v>
      </c>
      <c r="L106" s="304">
        <f t="shared" si="23"/>
        <v>0</v>
      </c>
      <c r="M106" s="297"/>
      <c r="N106" s="123"/>
      <c r="O106" s="123"/>
      <c r="P106" s="123"/>
      <c r="Q106" s="123"/>
      <c r="R106" s="123"/>
      <c r="S106" s="123"/>
    </row>
    <row r="107" spans="1:19" ht="16.5" thickBot="1">
      <c r="A107" s="123"/>
      <c r="B107" s="31"/>
      <c r="C107" s="31"/>
      <c r="D107" s="31"/>
      <c r="E107" s="296">
        <f t="shared" si="21"/>
        <v>0</v>
      </c>
      <c r="F107" s="296">
        <f t="shared" si="21"/>
        <v>0</v>
      </c>
      <c r="G107" s="297"/>
      <c r="H107" s="296">
        <f t="shared" si="22"/>
        <v>0</v>
      </c>
      <c r="I107" s="296">
        <f t="shared" si="22"/>
        <v>0</v>
      </c>
      <c r="J107" s="297"/>
      <c r="K107" s="296">
        <f t="shared" si="23"/>
        <v>0</v>
      </c>
      <c r="L107" s="296">
        <f t="shared" si="23"/>
        <v>0</v>
      </c>
      <c r="M107" s="297"/>
      <c r="N107" s="123"/>
      <c r="O107" s="123"/>
      <c r="P107" s="123"/>
      <c r="Q107" s="123"/>
      <c r="R107" s="123"/>
      <c r="S107" s="123"/>
    </row>
    <row r="108" spans="1:19" ht="18">
      <c r="A108" s="123"/>
      <c r="B108" s="31"/>
      <c r="C108" s="31"/>
      <c r="D108" s="31"/>
      <c r="E108" s="306" t="str">
        <f t="shared" si="21"/>
        <v>Aumento del mes</v>
      </c>
      <c r="F108" s="307">
        <f t="shared" si="21"/>
        <v>26250</v>
      </c>
      <c r="G108" s="297"/>
      <c r="H108" s="306" t="str">
        <f t="shared" si="22"/>
        <v>Aumento del mes</v>
      </c>
      <c r="I108" s="307">
        <f t="shared" si="22"/>
        <v>62793</v>
      </c>
      <c r="J108" s="297"/>
      <c r="K108" s="306" t="str">
        <f t="shared" si="23"/>
        <v>Aumento del mes</v>
      </c>
      <c r="L108" s="307">
        <f t="shared" si="23"/>
        <v>0</v>
      </c>
      <c r="M108" s="297"/>
      <c r="N108" s="123"/>
      <c r="O108" s="123"/>
      <c r="P108" s="123"/>
      <c r="Q108" s="123"/>
      <c r="R108" s="123"/>
      <c r="S108" s="123"/>
    </row>
    <row r="109" spans="1:19" ht="18.75" thickBot="1">
      <c r="A109" s="123"/>
      <c r="B109" s="31"/>
      <c r="C109" s="31"/>
      <c r="D109" s="31"/>
      <c r="E109" s="308" t="str">
        <f t="shared" si="21"/>
        <v>Porc resp a anterior</v>
      </c>
      <c r="F109" s="309">
        <f t="shared" si="21"/>
        <v>3.5000000000000003E-2</v>
      </c>
      <c r="G109" s="297"/>
      <c r="H109" s="308" t="str">
        <f t="shared" si="22"/>
        <v>Porc resp a anterior</v>
      </c>
      <c r="I109" s="309">
        <f t="shared" si="22"/>
        <v>9.1374214756252486E-2</v>
      </c>
      <c r="J109" s="297"/>
      <c r="K109" s="308" t="str">
        <f t="shared" si="23"/>
        <v>Porc resp a anterior</v>
      </c>
      <c r="L109" s="309">
        <f t="shared" si="23"/>
        <v>0</v>
      </c>
      <c r="M109" s="297"/>
      <c r="N109" s="123"/>
      <c r="O109" s="123"/>
      <c r="P109" s="123"/>
      <c r="Q109" s="123"/>
      <c r="R109" s="123"/>
      <c r="S109" s="123"/>
    </row>
    <row r="110" spans="1:19" ht="16.5" thickBot="1">
      <c r="A110" s="123"/>
      <c r="B110" s="31"/>
      <c r="C110" s="31"/>
      <c r="D110" s="31"/>
      <c r="E110" s="310"/>
      <c r="F110" s="311"/>
      <c r="G110" s="297"/>
      <c r="H110" s="310"/>
      <c r="I110" s="311"/>
      <c r="J110" s="297"/>
      <c r="K110" s="310"/>
      <c r="L110" s="311"/>
      <c r="M110" s="297"/>
      <c r="N110" s="123"/>
      <c r="O110" s="123"/>
      <c r="P110" s="123"/>
      <c r="Q110" s="123"/>
      <c r="R110" s="123"/>
      <c r="S110" s="123"/>
    </row>
    <row r="111" spans="1:19" ht="18.75" thickBot="1">
      <c r="A111" s="123"/>
      <c r="B111" s="31"/>
      <c r="C111" s="31"/>
      <c r="D111" s="31"/>
      <c r="E111" s="312" t="str">
        <f t="shared" ref="E111:F112" si="24">E178</f>
        <v>Aumento Remunerativo</v>
      </c>
      <c r="F111" s="313">
        <f t="shared" si="24"/>
        <v>21805.034999999916</v>
      </c>
      <c r="G111" s="297"/>
      <c r="H111" s="312" t="str">
        <f t="shared" ref="H111:I112" si="25">H178</f>
        <v>Aumento Remunerativo</v>
      </c>
      <c r="I111" s="313">
        <f t="shared" si="25"/>
        <v>0</v>
      </c>
      <c r="J111" s="297"/>
      <c r="K111" s="312" t="str">
        <f t="shared" ref="K111:L112" si="26">K178</f>
        <v>Aumento Remunerativo</v>
      </c>
      <c r="L111" s="313">
        <f t="shared" si="26"/>
        <v>0</v>
      </c>
      <c r="M111" s="297"/>
      <c r="N111" s="123"/>
      <c r="O111" s="123"/>
      <c r="P111" s="123"/>
      <c r="Q111" s="123"/>
      <c r="R111" s="123"/>
      <c r="S111" s="123"/>
    </row>
    <row r="112" spans="1:19" ht="16.5" thickBot="1">
      <c r="A112" s="123"/>
      <c r="B112" s="31"/>
      <c r="C112" s="31"/>
      <c r="D112" s="31"/>
      <c r="E112" s="312" t="str">
        <f t="shared" si="24"/>
        <v>Rem Porcentual</v>
      </c>
      <c r="F112" s="314">
        <f t="shared" si="24"/>
        <v>3.4999999999999865E-2</v>
      </c>
      <c r="G112" s="297"/>
      <c r="H112" s="312" t="str">
        <f t="shared" si="25"/>
        <v>Rem Porcentual</v>
      </c>
      <c r="I112" s="314">
        <f t="shared" si="25"/>
        <v>0</v>
      </c>
      <c r="J112" s="297"/>
      <c r="K112" s="312" t="str">
        <f t="shared" si="26"/>
        <v>Rem Porcentual</v>
      </c>
      <c r="L112" s="314">
        <f t="shared" si="26"/>
        <v>0</v>
      </c>
      <c r="M112" s="297"/>
      <c r="N112" s="123"/>
      <c r="O112" s="123"/>
      <c r="P112" s="123"/>
      <c r="Q112" s="123"/>
      <c r="R112" s="123"/>
      <c r="S112" s="123"/>
    </row>
    <row r="113" spans="1:19" ht="16.5" thickBot="1">
      <c r="A113" s="123"/>
      <c r="B113" s="31"/>
      <c r="C113" s="31"/>
      <c r="D113" s="31"/>
      <c r="E113" s="310"/>
      <c r="F113" s="315"/>
      <c r="G113" s="297"/>
      <c r="H113" s="310"/>
      <c r="I113" s="315"/>
      <c r="J113" s="297"/>
      <c r="K113" s="310"/>
      <c r="L113" s="315"/>
      <c r="M113" s="297"/>
      <c r="N113" s="123"/>
      <c r="O113" s="123"/>
      <c r="P113" s="123"/>
      <c r="Q113" s="123"/>
      <c r="R113" s="123"/>
      <c r="S113" s="123"/>
    </row>
    <row r="114" spans="1:19" ht="15.75">
      <c r="A114" s="123"/>
      <c r="B114" s="31"/>
      <c r="C114" s="31"/>
      <c r="D114" s="31"/>
      <c r="E114" s="316" t="str">
        <f t="shared" ref="E114:F115" si="27">E181</f>
        <v>Aumento acumulado</v>
      </c>
      <c r="F114" s="317">
        <f t="shared" si="27"/>
        <v>89043</v>
      </c>
      <c r="G114" s="297"/>
      <c r="H114" s="316" t="str">
        <f t="shared" ref="H114:I115" si="28">H181</f>
        <v>Aumento acumulado</v>
      </c>
      <c r="I114" s="317">
        <f t="shared" si="28"/>
        <v>62793</v>
      </c>
      <c r="J114" s="297"/>
      <c r="K114" s="316" t="str">
        <f t="shared" ref="K114:L115" si="29">K181</f>
        <v>Aumento acumulado</v>
      </c>
      <c r="L114" s="317">
        <f t="shared" si="29"/>
        <v>0</v>
      </c>
      <c r="M114" s="297"/>
      <c r="N114" s="123"/>
      <c r="O114" s="123"/>
      <c r="P114" s="123"/>
      <c r="Q114" s="123"/>
      <c r="R114" s="123"/>
      <c r="S114" s="123"/>
    </row>
    <row r="115" spans="1:19" ht="16.5" thickBot="1">
      <c r="A115" s="123"/>
      <c r="B115" s="31"/>
      <c r="C115" s="31"/>
      <c r="D115" s="31"/>
      <c r="E115" s="318" t="str">
        <f t="shared" si="27"/>
        <v>Porcentaje acumulado</v>
      </c>
      <c r="F115" s="319">
        <f t="shared" si="27"/>
        <v>0.12957231227272131</v>
      </c>
      <c r="G115" s="297"/>
      <c r="H115" s="318" t="str">
        <f t="shared" si="28"/>
        <v>Porcentaje acumulado</v>
      </c>
      <c r="I115" s="319">
        <f t="shared" si="28"/>
        <v>9.1374214756252486E-2</v>
      </c>
      <c r="J115" s="297"/>
      <c r="K115" s="318" t="str">
        <f t="shared" si="29"/>
        <v>Porcentaje acumulado</v>
      </c>
      <c r="L115" s="319">
        <f t="shared" si="29"/>
        <v>0</v>
      </c>
      <c r="M115" s="297"/>
      <c r="N115" s="123"/>
      <c r="O115" s="123"/>
      <c r="P115" s="123"/>
      <c r="Q115" s="123"/>
      <c r="R115" s="123"/>
      <c r="S115" s="123"/>
    </row>
    <row r="116" spans="1:19" ht="16.5" thickBot="1">
      <c r="A116" s="123"/>
      <c r="B116" s="31"/>
      <c r="C116" s="31"/>
      <c r="D116" s="31"/>
      <c r="E116" s="310"/>
      <c r="F116" s="311"/>
      <c r="G116" s="297"/>
      <c r="H116" s="310"/>
      <c r="I116" s="311"/>
      <c r="J116" s="297"/>
      <c r="K116" s="310"/>
      <c r="L116" s="311"/>
      <c r="M116" s="297"/>
      <c r="N116" s="123"/>
      <c r="O116" s="123"/>
      <c r="P116" s="123"/>
      <c r="Q116" s="123"/>
      <c r="R116" s="123"/>
      <c r="S116" s="123"/>
    </row>
    <row r="117" spans="1:19" ht="15.75">
      <c r="A117" s="123"/>
      <c r="B117" s="31"/>
      <c r="C117" s="31"/>
      <c r="D117" s="31"/>
      <c r="E117" s="320" t="s">
        <v>506</v>
      </c>
      <c r="F117" s="321">
        <f>F184</f>
        <v>21805.034999999916</v>
      </c>
      <c r="G117" s="297"/>
      <c r="H117" s="320" t="s">
        <v>506</v>
      </c>
      <c r="I117" s="321">
        <f>I184</f>
        <v>0</v>
      </c>
      <c r="J117" s="297"/>
      <c r="K117" s="320" t="s">
        <v>506</v>
      </c>
      <c r="L117" s="321">
        <f>L184</f>
        <v>0</v>
      </c>
      <c r="M117" s="297"/>
      <c r="N117" s="123"/>
      <c r="O117" s="123"/>
      <c r="P117" s="123"/>
      <c r="Q117" s="123"/>
      <c r="R117" s="123"/>
      <c r="S117" s="123"/>
    </row>
    <row r="118" spans="1:19" ht="16.5" thickBot="1">
      <c r="A118" s="123"/>
      <c r="B118" s="31"/>
      <c r="C118" s="31"/>
      <c r="D118" s="31"/>
      <c r="E118" s="322" t="s">
        <v>507</v>
      </c>
      <c r="F118" s="323">
        <f>F185</f>
        <v>3.4999999999999865E-2</v>
      </c>
      <c r="G118" s="297"/>
      <c r="H118" s="322" t="s">
        <v>507</v>
      </c>
      <c r="I118" s="323">
        <f>I185</f>
        <v>0</v>
      </c>
      <c r="J118" s="297"/>
      <c r="K118" s="322" t="s">
        <v>507</v>
      </c>
      <c r="L118" s="323">
        <f>L185</f>
        <v>0</v>
      </c>
      <c r="M118" s="297"/>
      <c r="N118" s="123"/>
      <c r="O118" s="123"/>
      <c r="P118" s="123"/>
      <c r="Q118" s="123"/>
      <c r="R118" s="123"/>
      <c r="S118" s="123"/>
    </row>
    <row r="119" spans="1:19" ht="16.5" thickBot="1">
      <c r="A119" s="123"/>
      <c r="B119" s="31"/>
      <c r="C119" s="31"/>
      <c r="D119" s="31"/>
      <c r="E119" s="304"/>
      <c r="F119" s="304"/>
      <c r="G119" s="297"/>
      <c r="H119" s="304"/>
      <c r="I119" s="304"/>
      <c r="J119" s="297"/>
      <c r="K119" s="304"/>
      <c r="L119" s="304"/>
      <c r="M119" s="297"/>
      <c r="N119" s="123"/>
      <c r="O119" s="123"/>
      <c r="P119" s="123"/>
      <c r="Q119" s="123"/>
      <c r="R119" s="123"/>
      <c r="S119" s="123"/>
    </row>
    <row r="120" spans="1:19" ht="16.5" thickTop="1">
      <c r="A120" s="123"/>
      <c r="B120" s="123"/>
      <c r="C120" s="123"/>
      <c r="D120" s="123"/>
      <c r="E120" s="324" t="str">
        <f t="shared" ref="E120:F123" si="30">E187</f>
        <v>Medio Aguinaldo</v>
      </c>
      <c r="F120" s="325">
        <f t="shared" si="30"/>
        <v>0</v>
      </c>
      <c r="G120" s="297"/>
      <c r="H120" s="324" t="str">
        <f t="shared" ref="H120:I123" si="31">H187</f>
        <v>Medio Aguinaldo</v>
      </c>
      <c r="I120" s="325">
        <f t="shared" si="31"/>
        <v>0</v>
      </c>
      <c r="J120" s="297"/>
      <c r="K120" s="324" t="str">
        <f t="shared" ref="K120:L123" si="32">K187</f>
        <v>Medio Aguinaldo</v>
      </c>
      <c r="L120" s="325">
        <f t="shared" si="32"/>
        <v>0</v>
      </c>
      <c r="M120" s="297"/>
      <c r="N120" s="123"/>
      <c r="O120" s="123"/>
      <c r="P120" s="123"/>
      <c r="Q120" s="123"/>
      <c r="R120" s="123"/>
      <c r="S120" s="123"/>
    </row>
    <row r="121" spans="1:19" ht="15.75">
      <c r="A121" s="123"/>
      <c r="B121" s="123"/>
      <c r="C121" s="123"/>
      <c r="D121" s="123"/>
      <c r="E121" s="326" t="str">
        <f t="shared" si="30"/>
        <v>código 100</v>
      </c>
      <c r="F121" s="327">
        <f t="shared" si="30"/>
        <v>413337.20192307688</v>
      </c>
      <c r="G121" s="297"/>
      <c r="H121" s="326" t="str">
        <f t="shared" si="31"/>
        <v>código 100</v>
      </c>
      <c r="I121" s="327">
        <f t="shared" si="31"/>
        <v>399359.61538461538</v>
      </c>
      <c r="J121" s="297"/>
      <c r="K121" s="326" t="str">
        <f t="shared" si="32"/>
        <v>código 100</v>
      </c>
      <c r="L121" s="327">
        <f t="shared" si="32"/>
        <v>399359.61538461538</v>
      </c>
      <c r="M121" s="297"/>
      <c r="N121" s="123"/>
      <c r="O121" s="123"/>
      <c r="P121" s="123"/>
      <c r="Q121" s="123"/>
      <c r="R121" s="123"/>
      <c r="S121" s="123"/>
    </row>
    <row r="122" spans="1:19" ht="15.75">
      <c r="A122" s="123"/>
      <c r="B122" s="123"/>
      <c r="C122" s="123"/>
      <c r="D122" s="123"/>
      <c r="E122" s="326" t="str">
        <f t="shared" si="30"/>
        <v>código 186 (No remun)</v>
      </c>
      <c r="F122" s="328">
        <f t="shared" si="30"/>
        <v>0</v>
      </c>
      <c r="G122" s="297"/>
      <c r="H122" s="326" t="str">
        <f t="shared" si="31"/>
        <v>código 186 (No remun)</v>
      </c>
      <c r="I122" s="328">
        <f t="shared" si="31"/>
        <v>0</v>
      </c>
      <c r="J122" s="297"/>
      <c r="K122" s="326" t="str">
        <f t="shared" si="32"/>
        <v>código 186 (No remun)</v>
      </c>
      <c r="L122" s="328">
        <f t="shared" si="32"/>
        <v>0</v>
      </c>
      <c r="M122" s="297"/>
      <c r="N122" s="123"/>
      <c r="O122" s="123"/>
      <c r="P122" s="123"/>
      <c r="Q122" s="123"/>
      <c r="R122" s="123"/>
      <c r="S122" s="123"/>
    </row>
    <row r="123" spans="1:19" ht="15.75">
      <c r="A123" s="123"/>
      <c r="B123" s="123"/>
      <c r="C123" s="123"/>
      <c r="D123" s="123"/>
      <c r="E123" s="326" t="str">
        <f t="shared" si="30"/>
        <v>Líquido</v>
      </c>
      <c r="F123" s="328">
        <f t="shared" si="30"/>
        <v>322403.01749999996</v>
      </c>
      <c r="G123" s="297"/>
      <c r="H123" s="326" t="str">
        <f t="shared" si="31"/>
        <v>Líquido</v>
      </c>
      <c r="I123" s="328">
        <f t="shared" si="31"/>
        <v>311500.5</v>
      </c>
      <c r="J123" s="297"/>
      <c r="K123" s="326" t="str">
        <f t="shared" si="32"/>
        <v>Líquido</v>
      </c>
      <c r="L123" s="328">
        <f t="shared" si="32"/>
        <v>311500.5</v>
      </c>
      <c r="M123" s="297"/>
      <c r="N123" s="123"/>
      <c r="O123" s="123"/>
      <c r="P123" s="123"/>
      <c r="Q123" s="123"/>
      <c r="R123" s="123"/>
      <c r="S123" s="123"/>
    </row>
    <row r="124" spans="1:19" ht="15.75">
      <c r="A124" s="123"/>
      <c r="B124" s="123"/>
      <c r="C124" s="123"/>
      <c r="D124" s="123"/>
      <c r="E124" s="326" t="str">
        <f>E191</f>
        <v>Descuentos con aguinaldo</v>
      </c>
      <c r="F124" s="328"/>
      <c r="G124" s="297"/>
      <c r="H124" s="326" t="str">
        <f>H191</f>
        <v>Descuentos con aguinaldo</v>
      </c>
      <c r="I124" s="328"/>
      <c r="J124" s="297"/>
      <c r="K124" s="326" t="str">
        <f>K191</f>
        <v>Descuentos con aguinaldo</v>
      </c>
      <c r="L124" s="328"/>
      <c r="M124" s="297"/>
      <c r="N124" s="123"/>
      <c r="O124" s="123"/>
      <c r="P124" s="123"/>
      <c r="Q124" s="123"/>
      <c r="R124" s="123"/>
      <c r="S124" s="123"/>
    </row>
    <row r="125" spans="1:19" ht="15.75">
      <c r="A125" s="123"/>
      <c r="B125" s="123"/>
      <c r="C125" s="123"/>
      <c r="D125" s="123"/>
      <c r="E125" s="329">
        <f t="shared" ref="E125:F126" si="33">E192</f>
        <v>502</v>
      </c>
      <c r="F125" s="328">
        <f t="shared" si="33"/>
        <v>-231371.6220725209</v>
      </c>
      <c r="G125" s="297"/>
      <c r="H125" s="329">
        <f t="shared" ref="H125:I126" si="34">H192</f>
        <v>502</v>
      </c>
      <c r="I125" s="328">
        <f t="shared" si="34"/>
        <v>-227634.98076923075</v>
      </c>
      <c r="J125" s="297"/>
      <c r="K125" s="329">
        <f t="shared" ref="K125:L126" si="35">K192</f>
        <v>502</v>
      </c>
      <c r="L125" s="328">
        <f t="shared" si="35"/>
        <v>-227634.98076923075</v>
      </c>
      <c r="M125" s="297"/>
      <c r="N125" s="123"/>
      <c r="O125" s="123"/>
      <c r="P125" s="123"/>
      <c r="Q125" s="123"/>
      <c r="R125" s="123"/>
      <c r="S125" s="123"/>
    </row>
    <row r="126" spans="1:19" ht="15.75">
      <c r="A126" s="123"/>
      <c r="B126" s="123"/>
      <c r="C126" s="123"/>
      <c r="D126" s="123"/>
      <c r="E126" s="329">
        <f t="shared" si="33"/>
        <v>505</v>
      </c>
      <c r="F126" s="328">
        <f t="shared" si="33"/>
        <v>-36532.36137987172</v>
      </c>
      <c r="G126" s="297"/>
      <c r="H126" s="329">
        <f t="shared" si="34"/>
        <v>505</v>
      </c>
      <c r="I126" s="328">
        <f t="shared" si="34"/>
        <v>-35942.365384615376</v>
      </c>
      <c r="J126" s="297"/>
      <c r="K126" s="329">
        <f t="shared" si="35"/>
        <v>505</v>
      </c>
      <c r="L126" s="328">
        <f t="shared" si="35"/>
        <v>-35942.365384615376</v>
      </c>
      <c r="M126" s="297"/>
      <c r="N126" s="123"/>
      <c r="O126" s="123"/>
      <c r="P126" s="123"/>
      <c r="Q126" s="123"/>
      <c r="R126" s="123"/>
      <c r="S126" s="123"/>
    </row>
    <row r="127" spans="1:19" ht="15.75">
      <c r="A127" s="123"/>
      <c r="B127" s="123"/>
      <c r="C127" s="123"/>
      <c r="D127" s="123"/>
      <c r="E127" s="326"/>
      <c r="F127" s="328"/>
      <c r="G127" s="297"/>
      <c r="H127" s="326"/>
      <c r="I127" s="328"/>
      <c r="J127" s="297"/>
      <c r="K127" s="326"/>
      <c r="L127" s="328"/>
      <c r="M127" s="297"/>
      <c r="N127" s="123"/>
      <c r="O127" s="123"/>
      <c r="P127" s="123"/>
      <c r="Q127" s="123"/>
      <c r="R127" s="123"/>
      <c r="S127" s="123"/>
    </row>
    <row r="128" spans="1:19" ht="15.75">
      <c r="A128" s="123"/>
      <c r="B128" s="123"/>
      <c r="C128" s="123"/>
      <c r="D128" s="123"/>
      <c r="E128" s="326" t="str">
        <f>E195</f>
        <v>Sueldo líquido incluyendo aguinaldo</v>
      </c>
      <c r="F128" s="328"/>
      <c r="G128" s="297"/>
      <c r="H128" s="326" t="str">
        <f>H195</f>
        <v>Sueldo líquido incluyendo aguinaldo</v>
      </c>
      <c r="I128" s="328"/>
      <c r="J128" s="297"/>
      <c r="K128" s="326" t="str">
        <f>K195</f>
        <v>Sueldo líquido incluyendo aguinaldo</v>
      </c>
      <c r="L128" s="328"/>
      <c r="M128" s="297"/>
      <c r="N128" s="123"/>
      <c r="O128" s="123"/>
      <c r="P128" s="123"/>
      <c r="Q128" s="123"/>
      <c r="R128" s="123"/>
      <c r="S128" s="123"/>
    </row>
    <row r="129" spans="1:19" ht="15.75">
      <c r="A129" s="123"/>
      <c r="B129" s="123"/>
      <c r="C129" s="123"/>
      <c r="D129" s="123"/>
      <c r="E129" s="326"/>
      <c r="F129" s="327">
        <f>F196</f>
        <v>1103551.5873168383</v>
      </c>
      <c r="G129" s="297"/>
      <c r="H129" s="326"/>
      <c r="I129" s="327">
        <f>I196</f>
        <v>1061500.5</v>
      </c>
      <c r="J129" s="297"/>
      <c r="K129" s="326"/>
      <c r="L129" s="327">
        <f>L196</f>
        <v>998707.49999999988</v>
      </c>
      <c r="M129" s="297"/>
      <c r="N129" s="123"/>
      <c r="O129" s="123"/>
      <c r="P129" s="123"/>
      <c r="Q129" s="123"/>
      <c r="R129" s="123"/>
      <c r="S129" s="123"/>
    </row>
    <row r="130" spans="1:19" ht="15.75">
      <c r="A130" s="123"/>
      <c r="B130" s="123"/>
      <c r="C130" s="123"/>
      <c r="D130" s="123"/>
      <c r="E130" s="330" t="str">
        <f>E197</f>
        <v>Aguinaldo de bolsillo</v>
      </c>
      <c r="F130" s="331"/>
      <c r="G130" s="332"/>
      <c r="H130" s="330" t="str">
        <f>H197</f>
        <v>Aguinaldo de bolsillo</v>
      </c>
      <c r="I130" s="331"/>
      <c r="J130" s="332"/>
      <c r="K130" s="330" t="str">
        <f>K197</f>
        <v>Aguinaldo de bolsillo</v>
      </c>
      <c r="L130" s="331"/>
      <c r="M130" s="332"/>
      <c r="N130" s="123"/>
      <c r="O130" s="123"/>
      <c r="P130" s="123"/>
      <c r="Q130" s="123"/>
      <c r="R130" s="123"/>
      <c r="S130" s="123"/>
    </row>
    <row r="131" spans="1:19" ht="16.5" thickBot="1">
      <c r="A131" s="123"/>
      <c r="B131" s="123"/>
      <c r="C131" s="123"/>
      <c r="D131" s="123"/>
      <c r="E131" s="333"/>
      <c r="F131" s="334">
        <f>F198</f>
        <v>327301.58731683833</v>
      </c>
      <c r="G131" s="297"/>
      <c r="H131" s="333"/>
      <c r="I131" s="334">
        <f>I198</f>
        <v>311500.5</v>
      </c>
      <c r="J131" s="297"/>
      <c r="K131" s="333"/>
      <c r="L131" s="334">
        <f>L198</f>
        <v>311500.49999999988</v>
      </c>
      <c r="M131" s="297"/>
      <c r="N131" s="123"/>
      <c r="O131" s="123"/>
      <c r="P131" s="123"/>
      <c r="Q131" s="123"/>
      <c r="R131" s="123"/>
      <c r="S131" s="123"/>
    </row>
    <row r="132" spans="1:19" ht="16.5" thickTop="1">
      <c r="A132" s="123"/>
      <c r="B132" s="31"/>
      <c r="C132" s="31"/>
      <c r="D132" s="31"/>
      <c r="E132" s="31"/>
      <c r="F132" s="31"/>
      <c r="G132" s="297"/>
      <c r="H132" s="31"/>
      <c r="I132" s="31"/>
      <c r="J132" s="297"/>
      <c r="K132" s="31"/>
      <c r="L132" s="31"/>
      <c r="M132" s="297"/>
      <c r="N132" s="123"/>
      <c r="O132" s="123"/>
      <c r="P132" s="123"/>
      <c r="Q132" s="123"/>
      <c r="R132" s="123"/>
      <c r="S132" s="123"/>
    </row>
    <row r="133" spans="1:19" ht="15.75" hidden="1">
      <c r="A133" s="123"/>
      <c r="B133" s="123"/>
      <c r="C133" s="123"/>
      <c r="D133" s="123"/>
      <c r="E133" s="123"/>
      <c r="F133" s="123"/>
      <c r="G133" s="335"/>
      <c r="H133" s="123"/>
      <c r="I133" s="123"/>
      <c r="J133" s="335"/>
      <c r="K133" s="123"/>
      <c r="L133" s="123"/>
      <c r="M133" s="335"/>
      <c r="N133" s="123"/>
      <c r="O133" s="123"/>
      <c r="P133" s="123"/>
      <c r="Q133" s="123"/>
      <c r="R133" s="123"/>
      <c r="S133" s="123"/>
    </row>
    <row r="134" spans="1:19" ht="15.75" hidden="1">
      <c r="A134" s="123"/>
      <c r="B134" s="123"/>
      <c r="C134" s="123"/>
      <c r="D134" s="123"/>
      <c r="E134" s="123"/>
      <c r="F134" s="123"/>
      <c r="G134" s="335"/>
      <c r="H134" s="123"/>
      <c r="I134" s="123"/>
      <c r="J134" s="335"/>
      <c r="K134" s="123"/>
      <c r="L134" s="123"/>
      <c r="M134" s="335"/>
      <c r="N134" s="123"/>
      <c r="O134" s="123"/>
      <c r="P134" s="123"/>
      <c r="Q134" s="123"/>
      <c r="R134" s="123"/>
      <c r="S134" s="123"/>
    </row>
    <row r="135" spans="1:19" ht="15.75" hidden="1">
      <c r="A135" s="123"/>
      <c r="B135" s="123"/>
      <c r="C135" s="123"/>
      <c r="D135" s="123"/>
      <c r="E135" s="123"/>
      <c r="F135" s="123"/>
      <c r="G135" s="335"/>
      <c r="H135" s="123"/>
      <c r="I135" s="123"/>
      <c r="J135" s="335"/>
      <c r="K135" s="123"/>
      <c r="L135" s="123"/>
      <c r="M135" s="335"/>
      <c r="N135" s="123"/>
      <c r="O135" s="123"/>
      <c r="P135" s="123"/>
      <c r="Q135" s="123"/>
      <c r="R135" s="123"/>
      <c r="S135" s="123"/>
    </row>
    <row r="136" spans="1:19" ht="18" hidden="1">
      <c r="A136" s="123"/>
      <c r="B136" s="123"/>
      <c r="C136" s="123"/>
      <c r="D136" s="123"/>
      <c r="E136" s="123"/>
      <c r="F136" s="123"/>
      <c r="G136" s="335"/>
      <c r="H136" s="123"/>
      <c r="I136" s="123"/>
      <c r="J136" s="335"/>
      <c r="K136" s="22">
        <v>45992</v>
      </c>
      <c r="L136" s="123"/>
      <c r="M136" s="335"/>
      <c r="N136" s="123"/>
      <c r="O136" s="123"/>
      <c r="P136" s="123"/>
      <c r="Q136" s="123"/>
      <c r="R136" s="123"/>
      <c r="S136" s="123"/>
    </row>
    <row r="137" spans="1:19" ht="21" hidden="1" thickBot="1">
      <c r="A137" s="123"/>
      <c r="B137" s="123"/>
      <c r="C137" s="336"/>
      <c r="D137" s="123"/>
      <c r="E137" s="865">
        <v>46143</v>
      </c>
      <c r="F137" s="866">
        <v>3.5000000000000003E-2</v>
      </c>
      <c r="G137" s="867"/>
      <c r="H137" s="865">
        <v>46054</v>
      </c>
      <c r="I137" s="866">
        <v>0</v>
      </c>
      <c r="J137" s="867"/>
      <c r="K137" s="865">
        <v>45992</v>
      </c>
      <c r="L137" s="23"/>
      <c r="M137" s="21"/>
      <c r="N137" s="123"/>
      <c r="O137" s="123"/>
      <c r="P137" s="123"/>
      <c r="Q137" s="123"/>
      <c r="R137" s="123"/>
      <c r="S137" s="123"/>
    </row>
    <row r="138" spans="1:19" ht="15.75" hidden="1" thickBot="1">
      <c r="A138" s="31"/>
      <c r="B138" s="337" t="s">
        <v>468</v>
      </c>
      <c r="C138" s="337" t="s">
        <v>469</v>
      </c>
      <c r="D138" s="337" t="s">
        <v>470</v>
      </c>
      <c r="E138" s="337"/>
      <c r="F138" s="337"/>
      <c r="G138" s="337"/>
      <c r="H138" s="337"/>
      <c r="I138" s="337"/>
      <c r="J138" s="337"/>
      <c r="K138" s="337"/>
      <c r="L138" s="337"/>
      <c r="M138" s="337"/>
      <c r="N138" s="31"/>
      <c r="O138" s="31"/>
      <c r="P138" s="31"/>
      <c r="Q138" s="31"/>
      <c r="R138" s="31"/>
      <c r="S138" s="31"/>
    </row>
    <row r="139" spans="1:19" ht="15.75" hidden="1" thickBot="1">
      <c r="A139" s="31"/>
      <c r="B139" s="338">
        <v>1</v>
      </c>
      <c r="C139" s="339"/>
      <c r="D139" s="340" t="s">
        <v>473</v>
      </c>
      <c r="E139" s="341">
        <f>punbascar*indicemay26</f>
        <v>265344.0048</v>
      </c>
      <c r="F139" s="341"/>
      <c r="G139" s="342"/>
      <c r="H139" s="341">
        <f>punbascar*indicedic25</f>
        <v>256370.96975318494</v>
      </c>
      <c r="I139" s="341"/>
      <c r="J139" s="342"/>
      <c r="K139" s="341">
        <f>punbascar*indicedic25</f>
        <v>256370.96975318494</v>
      </c>
      <c r="L139" s="341"/>
      <c r="M139" s="342"/>
      <c r="N139" s="31"/>
      <c r="O139" s="31"/>
      <c r="P139" s="31"/>
      <c r="Q139" s="31"/>
      <c r="R139" s="31"/>
      <c r="S139" s="31"/>
    </row>
    <row r="140" spans="1:19" ht="15.75" hidden="1" thickBot="1">
      <c r="A140" s="31"/>
      <c r="B140" s="343">
        <v>2</v>
      </c>
      <c r="C140" s="344"/>
      <c r="D140" s="345" t="s">
        <v>474</v>
      </c>
      <c r="E140" s="346">
        <f>compbas2016*indicemay26</f>
        <v>113324.57136</v>
      </c>
      <c r="F140" s="341"/>
      <c r="G140" s="347"/>
      <c r="H140" s="346">
        <f>compbas2016*indicedic25</f>
        <v>109492.31838995447</v>
      </c>
      <c r="I140" s="341"/>
      <c r="J140" s="347"/>
      <c r="K140" s="346">
        <f>compbas2016*indicedic25</f>
        <v>109492.31838995447</v>
      </c>
      <c r="L140" s="341"/>
      <c r="M140" s="347"/>
      <c r="N140" s="348"/>
      <c r="O140" s="31"/>
      <c r="P140" s="31"/>
      <c r="Q140" s="31"/>
      <c r="R140" s="31"/>
      <c r="S140" s="31"/>
    </row>
    <row r="141" spans="1:19" ht="15.75" hidden="1" thickBot="1">
      <c r="A141" s="31"/>
      <c r="B141" s="343" t="s">
        <v>508</v>
      </c>
      <c r="C141" s="344"/>
      <c r="D141" s="349" t="s">
        <v>467</v>
      </c>
      <c r="E141" s="350">
        <f>puntosexten*indicemay26</f>
        <v>0</v>
      </c>
      <c r="F141" s="341"/>
      <c r="G141" s="351"/>
      <c r="H141" s="350">
        <f>puntosexten*indicedic25</f>
        <v>0</v>
      </c>
      <c r="I141" s="341"/>
      <c r="J141" s="351"/>
      <c r="K141" s="350">
        <f>puntosexten*indicedic25</f>
        <v>0</v>
      </c>
      <c r="L141" s="341"/>
      <c r="M141" s="351"/>
      <c r="N141" s="348"/>
      <c r="O141" s="31"/>
      <c r="P141" s="31"/>
      <c r="Q141" s="31"/>
      <c r="R141" s="31"/>
      <c r="S141" s="31"/>
    </row>
    <row r="142" spans="1:19" ht="15.75" hidden="1" thickBot="1">
      <c r="A142" s="31"/>
      <c r="B142" s="352" t="s">
        <v>476</v>
      </c>
      <c r="C142" s="353"/>
      <c r="D142" s="354" t="s">
        <v>477</v>
      </c>
      <c r="E142" s="355">
        <f>IF(nina=0,compdir22*indicemay26,compdir16*indicemay26)</f>
        <v>0</v>
      </c>
      <c r="F142" s="341"/>
      <c r="G142" s="342"/>
      <c r="H142" s="355">
        <f>IF(nina=0,compdir22*indicedic25,compdir16*indicedic25)</f>
        <v>0</v>
      </c>
      <c r="I142" s="341"/>
      <c r="J142" s="342"/>
      <c r="K142" s="355">
        <f>IF(nina=0,compdir22*indicedic25,compdir16*indicedic25)</f>
        <v>0</v>
      </c>
      <c r="L142" s="341"/>
      <c r="M142" s="342"/>
      <c r="N142" s="348"/>
      <c r="O142" s="31"/>
      <c r="P142" s="31"/>
      <c r="Q142" s="31"/>
      <c r="R142" s="31"/>
      <c r="S142" s="31"/>
    </row>
    <row r="143" spans="1:19" ht="15.75" hidden="1" thickBot="1">
      <c r="A143" s="31"/>
      <c r="B143" s="343">
        <v>5</v>
      </c>
      <c r="C143" s="344"/>
      <c r="D143" s="345" t="s">
        <v>478</v>
      </c>
      <c r="E143" s="346">
        <f>puntosadicnina*Indiceproljormay26</f>
        <v>0</v>
      </c>
      <c r="F143" s="341"/>
      <c r="G143" s="342"/>
      <c r="H143" s="346">
        <f>puntosadicnina*Indiceproljordic25</f>
        <v>0</v>
      </c>
      <c r="I143" s="341"/>
      <c r="J143" s="342"/>
      <c r="K143" s="346">
        <f>puntosadicnina*Indiceproljordic25</f>
        <v>0</v>
      </c>
      <c r="L143" s="341"/>
      <c r="M143" s="342"/>
      <c r="N143" s="348"/>
      <c r="O143" s="31"/>
      <c r="P143" s="31"/>
      <c r="Q143" s="31"/>
      <c r="R143" s="31"/>
      <c r="S143" s="31"/>
    </row>
    <row r="144" spans="1:19" ht="15.75" hidden="1" thickBot="1">
      <c r="A144" s="31"/>
      <c r="B144" s="356">
        <v>6</v>
      </c>
      <c r="C144" s="357"/>
      <c r="D144" s="357" t="s">
        <v>479</v>
      </c>
      <c r="E144" s="358">
        <f>LOOKUP(porantigcargo,porant,codigo06cargosdic25)*(1+Aumentomayo26)</f>
        <v>214317.87594277429</v>
      </c>
      <c r="F144" s="341"/>
      <c r="G144" s="359"/>
      <c r="H144" s="358">
        <f>LOOKUP(porantigcargo,porant,codigo06cargosdic25)</f>
        <v>207070.41153891236</v>
      </c>
      <c r="I144" s="341"/>
      <c r="J144" s="359"/>
      <c r="K144" s="358">
        <f>LOOKUP(porantigcargo,porant,codigo06cargosdic25)</f>
        <v>207070.41153891236</v>
      </c>
      <c r="L144" s="341"/>
      <c r="M144" s="359"/>
      <c r="N144" s="31"/>
      <c r="O144" s="31"/>
      <c r="P144" s="31"/>
      <c r="Q144" s="31"/>
      <c r="R144" s="31"/>
      <c r="S144" s="31"/>
    </row>
    <row r="145" spans="1:19" ht="15.75" hidden="1" thickBot="1">
      <c r="A145" s="31"/>
      <c r="B145" s="343">
        <v>10</v>
      </c>
      <c r="C145" s="360">
        <f>D64</f>
        <v>0</v>
      </c>
      <c r="D145" s="344" t="s">
        <v>480</v>
      </c>
      <c r="E145" s="346">
        <f>(E139+E140+E141+E142+E143+E148+E149+E153)*porantigcargo</f>
        <v>0</v>
      </c>
      <c r="F145" s="341"/>
      <c r="G145" s="359"/>
      <c r="H145" s="346">
        <f>(H139+H140+H141+H142+H143+H148+H149+H153)*porantigcargo</f>
        <v>0</v>
      </c>
      <c r="I145" s="341"/>
      <c r="J145" s="359"/>
      <c r="K145" s="346">
        <f>(K139+K140+K141+K142+K143+K148+K149+K153)*porantigcargo</f>
        <v>0</v>
      </c>
      <c r="L145" s="341"/>
      <c r="M145" s="359"/>
      <c r="N145" s="31"/>
      <c r="O145" s="31"/>
      <c r="P145" s="31"/>
      <c r="Q145" s="31"/>
      <c r="R145" s="31"/>
      <c r="S145" s="31"/>
    </row>
    <row r="146" spans="1:19" ht="15.75" hidden="1" thickBot="1">
      <c r="A146" s="31"/>
      <c r="B146" s="338">
        <v>14</v>
      </c>
      <c r="C146" s="339"/>
      <c r="D146" s="339" t="s">
        <v>481</v>
      </c>
      <c r="E146" s="341">
        <f>E144*0.07</f>
        <v>15002.251315994203</v>
      </c>
      <c r="F146" s="341"/>
      <c r="G146" s="361">
        <f>IF(puntosproljor&gt;600,G155,G151)</f>
        <v>157226.64368802353</v>
      </c>
      <c r="H146" s="341">
        <f>H144*0.07</f>
        <v>14494.928807723867</v>
      </c>
      <c r="I146" s="341"/>
      <c r="J146" s="361">
        <f>IF(puntosproljor&gt;600,J155,J151)</f>
        <v>151909.87113031338</v>
      </c>
      <c r="K146" s="341">
        <f>K144*0.07</f>
        <v>14494.928807723867</v>
      </c>
      <c r="L146" s="341"/>
      <c r="M146" s="361">
        <f>IF(puntosproljor&gt;600,M155,M151)</f>
        <v>151909.87113031338</v>
      </c>
      <c r="N146" s="348"/>
      <c r="O146" s="31"/>
      <c r="P146" s="31"/>
      <c r="Q146" s="31"/>
      <c r="R146" s="31"/>
      <c r="S146" s="31"/>
    </row>
    <row r="147" spans="1:19" ht="15.75" hidden="1" thickBot="1">
      <c r="A147" s="31"/>
      <c r="B147" s="343">
        <v>188</v>
      </c>
      <c r="C147" s="360">
        <v>7.0000000000000007E-2</v>
      </c>
      <c r="D147" s="344" t="s">
        <v>482</v>
      </c>
      <c r="E147" s="362">
        <f>(E139+E140+E141+E142+E143+E145+E148+E149+E150+E151+E152+E153)*0.07</f>
        <v>39079.251739361651</v>
      </c>
      <c r="F147" s="341"/>
      <c r="G147" s="359"/>
      <c r="H147" s="362">
        <f>(H139+H140+H141+H142+H143+H145+H148+H149+H150+H151+H152+H153)*0.07</f>
        <v>37757.731149141699</v>
      </c>
      <c r="I147" s="341"/>
      <c r="J147" s="359"/>
      <c r="K147" s="362">
        <f>(K139+K140+K141+K142+K143+K145+K148+K149+K150+K151+K152+K153)*0.07</f>
        <v>37757.731149141699</v>
      </c>
      <c r="L147" s="341"/>
      <c r="M147" s="359"/>
      <c r="N147" s="348"/>
      <c r="O147" s="31"/>
      <c r="P147" s="31"/>
      <c r="Q147" s="31"/>
      <c r="R147" s="31"/>
      <c r="S147" s="31"/>
    </row>
    <row r="148" spans="1:19" ht="16.5" hidden="1" thickBot="1">
      <c r="A148" s="31"/>
      <c r="B148" s="338">
        <v>52</v>
      </c>
      <c r="C148" s="339"/>
      <c r="D148" s="339" t="s">
        <v>483</v>
      </c>
      <c r="E148" s="341">
        <f>puntosproljor*Indiceproljormay26</f>
        <v>0</v>
      </c>
      <c r="F148" s="363"/>
      <c r="G148" s="364">
        <f>J148*1.035</f>
        <v>556948.05904994207</v>
      </c>
      <c r="H148" s="341">
        <f>puntosproljor*Indiceproljordic25</f>
        <v>0</v>
      </c>
      <c r="I148" s="363"/>
      <c r="J148" s="364">
        <v>538114.06671491987</v>
      </c>
      <c r="K148" s="341">
        <f>puntosproljor*Indiceproljordic25</f>
        <v>0</v>
      </c>
      <c r="L148" s="363"/>
      <c r="M148" s="364">
        <v>538114.06671491987</v>
      </c>
      <c r="N148" s="365"/>
      <c r="O148" s="31"/>
      <c r="P148" s="31"/>
      <c r="Q148" s="31"/>
      <c r="R148" s="31"/>
      <c r="S148" s="31"/>
    </row>
    <row r="149" spans="1:19" ht="18" hidden="1" thickBot="1">
      <c r="A149" s="31"/>
      <c r="B149" s="343">
        <v>16</v>
      </c>
      <c r="C149" s="344"/>
      <c r="D149" s="344" t="s">
        <v>484</v>
      </c>
      <c r="E149" s="346">
        <f>puntostardif*indicedic25</f>
        <v>0</v>
      </c>
      <c r="F149" s="341"/>
      <c r="G149" s="366">
        <f>IF((totalremmay26-E150*1.07-E141*(1+porantigcargo+porzonacargo)*1.07)*0.78&lt;G148,(G148-(totalremmay26-E150*1.07-E141*(1+porantigcargo+porzonacargo)*1.07)*0.78)/0.78,0)/1.07</f>
        <v>51957.082281292351</v>
      </c>
      <c r="H149" s="346">
        <f>puntostardif*indicedic25</f>
        <v>0</v>
      </c>
      <c r="I149" s="341"/>
      <c r="J149" s="366">
        <f>IF((totalremdic25-H150*1.07-H141*(1+porantigcargo+porzonacargo)*1.07)*0.78&lt;J148,(J148-(totalremdic25-H150*1.07-H141*(1+porantigcargo+porzonacargo)*1.07)*0.78)/0.78,0)/1.07</f>
        <v>50200.149964389449</v>
      </c>
      <c r="K149" s="346">
        <f>puntostardif*indicedic25</f>
        <v>0</v>
      </c>
      <c r="L149" s="341"/>
      <c r="M149" s="366">
        <f>IF((totalremdic25-K150*1.07-K141*(1+porantigcargo+porzonacargo)*1.07)*0.78&lt;M148,(M148-(totalremdic25-K150*1.07-K141*(1+porantigcargo+porzonacargo)*1.07)*0.78)/0.78,0)/1.07</f>
        <v>50200.149964389449</v>
      </c>
      <c r="N149" s="348"/>
      <c r="O149" s="31"/>
      <c r="P149" s="31"/>
      <c r="Q149" s="31"/>
      <c r="R149" s="31"/>
      <c r="S149" s="31"/>
    </row>
    <row r="150" spans="1:19" ht="16.5" hidden="1" thickBot="1">
      <c r="A150" s="31"/>
      <c r="B150" s="338">
        <v>78</v>
      </c>
      <c r="C150" s="367">
        <f>C83</f>
        <v>0</v>
      </c>
      <c r="D150" s="339" t="s">
        <v>485</v>
      </c>
      <c r="E150" s="368">
        <f>(E139+E140+E141+E142+E143+E148+E149+E153)*porzonacargo</f>
        <v>0</v>
      </c>
      <c r="F150" s="363"/>
      <c r="G150" s="364">
        <f>J150*1.035</f>
        <v>644806.03499999992</v>
      </c>
      <c r="H150" s="368">
        <f>(H139+H140+H141+H142+H143+H148+H149+H153)*porzonacargo</f>
        <v>0</v>
      </c>
      <c r="I150" s="363"/>
      <c r="J150" s="364">
        <v>623001</v>
      </c>
      <c r="K150" s="368">
        <f>(K139+K140+K141+K142+K143+K148+K149+K153)*porzonacargo</f>
        <v>0</v>
      </c>
      <c r="L150" s="363"/>
      <c r="M150" s="364">
        <v>623001</v>
      </c>
      <c r="N150" s="365"/>
      <c r="O150" s="31"/>
      <c r="P150" s="31"/>
      <c r="Q150" s="31"/>
      <c r="R150" s="31"/>
      <c r="S150" s="31"/>
    </row>
    <row r="151" spans="1:19" ht="18" hidden="1" thickBot="1">
      <c r="A151" s="31"/>
      <c r="B151" s="343">
        <v>185</v>
      </c>
      <c r="C151" s="344"/>
      <c r="D151" s="369" t="s">
        <v>486</v>
      </c>
      <c r="E151" s="370">
        <f>IF(punbascar&lt;913,G149,G146)</f>
        <v>157226.64368802353</v>
      </c>
      <c r="F151" s="868">
        <f>E151/H151-1</f>
        <v>3.499951990051553E-2</v>
      </c>
      <c r="G151" s="371">
        <f>IF((totalremmay26-E150*1.07-E141*(1+porantigcargo+porzonacargo)*1.07)*0.78&lt;G150,(G150-(totalremmay26-E150*1.07-E141*(1+porantigcargo+porzonacargo)*1.07)*0.78)/0.78,0)/1.07</f>
        <v>157226.64368802353</v>
      </c>
      <c r="H151" s="370">
        <f>IF(punbascar&lt;913,J149,J146)</f>
        <v>151909.87113031338</v>
      </c>
      <c r="I151" s="341"/>
      <c r="J151" s="371">
        <f>IF((totalremdic25-H150*1.07-H141*(1+porantigcargo+porzonacargo)*1.07)*0.78&lt;J150,(J150-(totalremdic25-H150*1.07-H141*(1+porantigcargo+porzonacargo)*1.07)*0.78)/0.78,0)/1.07</f>
        <v>151909.87113031338</v>
      </c>
      <c r="K151" s="370">
        <f>IF(punbascar&lt;913,M149,M146)</f>
        <v>151909.87113031338</v>
      </c>
      <c r="L151" s="341"/>
      <c r="M151" s="371">
        <f>IF((totalremdic25-K150*1.07-K141*(1+porantigcargo+porzonacargo)*1.07)*0.78&lt;M150,(M150-(totalremdic25-K150*1.07-K141*(1+porantigcargo+porzonacargo)*1.07)*0.78)/0.78,0)/1.07</f>
        <v>151909.87113031338</v>
      </c>
      <c r="N151" s="348"/>
      <c r="O151" s="31"/>
      <c r="P151" s="31"/>
      <c r="Q151" s="31"/>
      <c r="R151" s="31"/>
      <c r="S151" s="31"/>
    </row>
    <row r="152" spans="1:19" ht="16.5" hidden="1" thickBot="1">
      <c r="A152" s="31"/>
      <c r="B152" s="338">
        <v>117</v>
      </c>
      <c r="C152" s="280">
        <f>C85</f>
        <v>1</v>
      </c>
      <c r="D152" s="339" t="s">
        <v>487</v>
      </c>
      <c r="E152" s="355">
        <f>IF(AND(puntosproljor&lt;620,punbascar&lt;2200),21623,43246)*$C152*(1+Aumentomayo26)</f>
        <v>22379.804999999997</v>
      </c>
      <c r="F152" s="341"/>
      <c r="G152" s="359"/>
      <c r="H152" s="355">
        <f>IF(AND(puntosproljor&lt;620,punbascar&lt;2200),21623,43246)*$C152</f>
        <v>21623</v>
      </c>
      <c r="I152" s="341"/>
      <c r="J152" s="359"/>
      <c r="K152" s="355">
        <f>IF(AND(puntosproljor&lt;620,punbascar&lt;2200),21623,43246)*$C152</f>
        <v>21623</v>
      </c>
      <c r="L152" s="341"/>
      <c r="M152" s="359"/>
      <c r="N152" s="372"/>
      <c r="O152" s="348"/>
      <c r="P152" s="31"/>
      <c r="Q152" s="31"/>
      <c r="R152" s="31"/>
      <c r="S152" s="31"/>
    </row>
    <row r="153" spans="1:19" ht="15.75" hidden="1" thickBot="1">
      <c r="A153" s="31"/>
      <c r="B153" s="373">
        <v>25</v>
      </c>
      <c r="C153" s="266">
        <f>C86</f>
        <v>1</v>
      </c>
      <c r="D153" s="374" t="s">
        <v>488</v>
      </c>
      <c r="E153" s="375">
        <f>IF(AND(porantigcargo&gt;=0.5,$C153=1),25000,0)</f>
        <v>0</v>
      </c>
      <c r="F153" s="376"/>
      <c r="G153" s="359"/>
      <c r="H153" s="375">
        <f>IF(AND(porantigcargo&gt;=0.5,$C153=1),25000,0)</f>
        <v>0</v>
      </c>
      <c r="I153" s="376"/>
      <c r="J153" s="359"/>
      <c r="K153" s="375">
        <f>IF(AND(porantigcargo&gt;=0.5,$C153=1),25000,0)</f>
        <v>0</v>
      </c>
      <c r="L153" s="376"/>
      <c r="M153" s="359"/>
      <c r="N153" s="372"/>
      <c r="O153" s="348"/>
      <c r="P153" s="31"/>
      <c r="Q153" s="31"/>
      <c r="R153" s="31"/>
      <c r="S153" s="31"/>
    </row>
    <row r="154" spans="1:19" ht="16.5" hidden="1" thickBot="1">
      <c r="A154" s="31"/>
      <c r="B154" s="338">
        <v>29</v>
      </c>
      <c r="C154" s="377">
        <f>cantkm</f>
        <v>0</v>
      </c>
      <c r="D154" s="339" t="s">
        <v>489</v>
      </c>
      <c r="E154" s="355">
        <f>kmsem*1820/15*4</f>
        <v>0</v>
      </c>
      <c r="F154" s="363"/>
      <c r="G154" s="364">
        <f>J154*1.035</f>
        <v>832601.61</v>
      </c>
      <c r="H154" s="355">
        <f>kmsem*1820/15*4</f>
        <v>0</v>
      </c>
      <c r="I154" s="363"/>
      <c r="J154" s="364">
        <v>804446</v>
      </c>
      <c r="K154" s="355">
        <f>kmsem*1820/15*4</f>
        <v>0</v>
      </c>
      <c r="L154" s="363"/>
      <c r="M154" s="364">
        <v>804446</v>
      </c>
      <c r="N154" s="378"/>
      <c r="O154" s="365"/>
      <c r="P154" s="31"/>
      <c r="Q154" s="31"/>
      <c r="R154" s="31"/>
      <c r="S154" s="31"/>
    </row>
    <row r="155" spans="1:19" ht="18" hidden="1" thickBot="1">
      <c r="A155" s="31"/>
      <c r="B155" s="379" t="s">
        <v>490</v>
      </c>
      <c r="C155" s="344" t="s">
        <v>491</v>
      </c>
      <c r="D155" s="344"/>
      <c r="E155" s="380">
        <f>E88</f>
        <v>0</v>
      </c>
      <c r="F155" s="341"/>
      <c r="G155" s="366">
        <f>IF((totalremmay26-E150*1.07-E141*(1+porantigcargo+porzonacargo)*1.07)*0.78&lt;G154,(G154-(totalremmay26-E150*1.07-E141*(1+porantigcargo+porzonacargo)*1.07)*0.78)/0.78,0)/1.07</f>
        <v>382239.3144284981</v>
      </c>
      <c r="H155" s="380">
        <f>H88</f>
        <v>0</v>
      </c>
      <c r="I155" s="341"/>
      <c r="J155" s="366">
        <f>IF((totalremdic25-H150*1.07-H141*(1+porantigcargo+porzonacargo)*1.07)*0.78&lt;J154,(J154-(totalremdic25-H150*1.07-H141*(1+porantigcargo+porzonacargo)*1.07)*0.78)/0.78,0)/1.07</f>
        <v>369313.41773946746</v>
      </c>
      <c r="K155" s="380">
        <f>K88</f>
        <v>0</v>
      </c>
      <c r="L155" s="341"/>
      <c r="M155" s="366">
        <f>IF((totalremdic25-K150*1.07-K141*(1+porantigcargo+porzonacargo)*1.07)*0.78&lt;M154,(M154-(totalremdic25-K150*1.07-K141*(1+porantigcargo+porzonacargo)*1.07)*0.78)/0.78,0)/1.07</f>
        <v>369313.41773946746</v>
      </c>
      <c r="N155" s="372"/>
      <c r="O155" s="348"/>
      <c r="P155" s="31"/>
      <c r="Q155" s="31"/>
      <c r="R155" s="31"/>
      <c r="S155" s="31"/>
    </row>
    <row r="156" spans="1:19" ht="15.75" hidden="1" thickBot="1">
      <c r="A156" s="31"/>
      <c r="B156" s="379"/>
      <c r="C156" s="344"/>
      <c r="D156" s="381" t="s">
        <v>492</v>
      </c>
      <c r="E156" s="382">
        <f>SUM(E139:E153,E154,E155)</f>
        <v>826674.40384615376</v>
      </c>
      <c r="F156" s="39"/>
      <c r="G156" s="383"/>
      <c r="H156" s="382">
        <f>SUM(H139:H153,H154,H155)</f>
        <v>798719.23076923075</v>
      </c>
      <c r="I156" s="39"/>
      <c r="J156" s="383"/>
      <c r="K156" s="382">
        <f>SUM(K139:K153,K154,K155)</f>
        <v>798719.23076923075</v>
      </c>
      <c r="L156" s="39"/>
      <c r="M156" s="383"/>
      <c r="N156" s="372"/>
      <c r="O156" s="31"/>
      <c r="P156" s="31"/>
      <c r="Q156" s="31"/>
      <c r="R156" s="31"/>
      <c r="S156" s="31"/>
    </row>
    <row r="157" spans="1:19" ht="16.5" hidden="1" thickBot="1">
      <c r="A157" s="31"/>
      <c r="B157" s="338">
        <v>184</v>
      </c>
      <c r="C157" s="280">
        <f>C90</f>
        <v>1</v>
      </c>
      <c r="D157" s="339" t="s">
        <v>493</v>
      </c>
      <c r="E157" s="355">
        <f>IF(AND(puntosproljor&lt;620,punbascar&lt;1943),36752.4,73504.8)*$C157</f>
        <v>36752.400000000001</v>
      </c>
      <c r="F157" s="341"/>
      <c r="G157" s="359"/>
      <c r="H157" s="355">
        <f>IF(AND(puntosproljor&lt;620,punbascar&lt;1943),36752.4,73504.8)*$C157</f>
        <v>36752.400000000001</v>
      </c>
      <c r="I157" s="341"/>
      <c r="J157" s="359"/>
      <c r="K157" s="355">
        <f>IF(AND(puntosproljor&lt;620,punbascar&lt;1943),36752.4,73504.8)*$C157</f>
        <v>36752.400000000001</v>
      </c>
      <c r="L157" s="341"/>
      <c r="M157" s="359"/>
      <c r="N157" s="372"/>
      <c r="O157" s="31"/>
      <c r="P157" s="31"/>
      <c r="Q157" s="31"/>
      <c r="R157" s="31"/>
      <c r="S157" s="31"/>
    </row>
    <row r="158" spans="1:19" ht="16.5" hidden="1" thickBot="1">
      <c r="A158" s="31"/>
      <c r="B158" s="338">
        <v>204</v>
      </c>
      <c r="C158" s="280">
        <f>C91</f>
        <v>1</v>
      </c>
      <c r="D158" s="339" t="s">
        <v>494</v>
      </c>
      <c r="E158" s="355">
        <f>IF(AND(puntosproljor&lt;620,punbascar&lt;1943),27453.6,54907.2)*$C158</f>
        <v>27453.599999999999</v>
      </c>
      <c r="F158" s="384"/>
      <c r="G158" s="359">
        <f>E156+E157+E158+F167</f>
        <v>709012.03499999992</v>
      </c>
      <c r="H158" s="355">
        <f>IF(AND(puntosproljor&lt;620,punbascar&lt;1943),27453.6,54907.2)*$C158</f>
        <v>27453.599999999999</v>
      </c>
      <c r="I158" s="384"/>
      <c r="J158" s="359">
        <f>H156+H157+H158+I167</f>
        <v>687207</v>
      </c>
      <c r="K158" s="355">
        <f>IF(AND(puntosproljor&lt;620,punbascar&lt;1943),27453.6,54907.2)*$C158</f>
        <v>27453.599999999999</v>
      </c>
      <c r="L158" s="384"/>
      <c r="M158" s="359"/>
      <c r="N158" s="372"/>
      <c r="O158" s="31"/>
      <c r="P158" s="31"/>
      <c r="Q158" s="31"/>
      <c r="R158" s="31"/>
      <c r="S158" s="31"/>
    </row>
    <row r="159" spans="1:19" ht="16.5" hidden="1" thickBot="1">
      <c r="A159" s="31"/>
      <c r="B159" s="279" t="s">
        <v>495</v>
      </c>
      <c r="C159" s="280">
        <f>C92</f>
        <v>1</v>
      </c>
      <c r="D159" s="385" t="s">
        <v>496</v>
      </c>
      <c r="E159" s="283">
        <f>IF(puntosproljor&lt;600,IF(G159&lt;60000,60000,G159),IF(1031341-(E156+E157+E158+F167)&lt;60000,60000,1031341-(E156+E157+E158+F167)))*$C159</f>
        <v>67237.965000000084</v>
      </c>
      <c r="F159" s="341"/>
      <c r="G159" s="386">
        <f>IF(punbascar&lt;913,687996-(E156+E157+E158+F167),776250-(E156+E157+E158+F167))</f>
        <v>67237.965000000084</v>
      </c>
      <c r="H159" s="283">
        <f>IF(puntosproljor&lt;600,IF(J159&lt;60000,60000,J159),IF(996465-(H156+H157+H158+I167)&lt;60000,60000,996465-(H156+H157+H158+I167)))*$C159</f>
        <v>62793</v>
      </c>
      <c r="I159" s="341"/>
      <c r="J159" s="386">
        <f>IF(punbascar&lt;913,664730-(H156+H157+H158+I167),750000-(H156+H157+H158+I167))</f>
        <v>62793</v>
      </c>
      <c r="K159" s="283"/>
      <c r="L159" s="341"/>
      <c r="M159" s="386"/>
      <c r="N159" s="372"/>
      <c r="O159" s="31"/>
      <c r="P159" s="31"/>
      <c r="Q159" s="31"/>
      <c r="R159" s="31"/>
      <c r="S159" s="31"/>
    </row>
    <row r="160" spans="1:19" ht="16.5" hidden="1" thickBot="1">
      <c r="A160" s="31"/>
      <c r="B160" s="343"/>
      <c r="C160" s="381"/>
      <c r="D160" s="387" t="s">
        <v>497</v>
      </c>
      <c r="E160" s="382">
        <f>SUM(E156:E159)</f>
        <v>958118.36884615384</v>
      </c>
      <c r="F160" s="341"/>
      <c r="G160" s="388"/>
      <c r="H160" s="382">
        <f>SUM(H156:H159)</f>
        <v>925718.23076923075</v>
      </c>
      <c r="I160" s="341"/>
      <c r="J160" s="388"/>
      <c r="K160" s="382">
        <f>SUM(K156:K159)</f>
        <v>862925.23076923075</v>
      </c>
      <c r="L160" s="341"/>
      <c r="M160" s="388"/>
      <c r="N160" s="315"/>
      <c r="O160" s="31"/>
      <c r="P160" s="31"/>
      <c r="Q160" s="31"/>
      <c r="R160" s="31"/>
      <c r="S160" s="31"/>
    </row>
    <row r="161" spans="1:19" ht="15.75" hidden="1" thickBot="1">
      <c r="A161" s="31"/>
      <c r="B161" s="338">
        <v>440</v>
      </c>
      <c r="C161" s="337"/>
      <c r="D161" s="339" t="s">
        <v>498</v>
      </c>
      <c r="E161" s="380">
        <f>E94</f>
        <v>0</v>
      </c>
      <c r="F161" s="377">
        <f t="shared" ref="F161" si="36">-E161</f>
        <v>0</v>
      </c>
      <c r="G161" s="386"/>
      <c r="H161" s="380">
        <f>H94</f>
        <v>0</v>
      </c>
      <c r="I161" s="377">
        <f t="shared" ref="I161" si="37">-H161</f>
        <v>0</v>
      </c>
      <c r="J161" s="386"/>
      <c r="K161" s="380">
        <f>K94</f>
        <v>0</v>
      </c>
      <c r="L161" s="377">
        <f t="shared" ref="L161" si="38">-K161</f>
        <v>0</v>
      </c>
      <c r="M161" s="386"/>
      <c r="N161" s="78"/>
      <c r="O161" s="378"/>
      <c r="P161" s="31"/>
      <c r="Q161" s="31"/>
      <c r="R161" s="31"/>
      <c r="S161" s="31"/>
    </row>
    <row r="162" spans="1:19" ht="15.75" hidden="1" thickBot="1">
      <c r="A162" s="31"/>
      <c r="B162" s="343">
        <v>502</v>
      </c>
      <c r="C162" s="389">
        <v>0.19</v>
      </c>
      <c r="D162" s="346" t="s">
        <v>500</v>
      </c>
      <c r="E162" s="390"/>
      <c r="F162" s="391">
        <f>-totalremmay26*0.19-0.19*1.07*E151</f>
        <v>-157068.13673076921</v>
      </c>
      <c r="G162" s="386"/>
      <c r="H162" s="390"/>
      <c r="I162" s="391">
        <f>-totalremdic25*0.19-0.19*1.07*H151</f>
        <v>-151756.65384615384</v>
      </c>
      <c r="J162" s="386"/>
      <c r="K162" s="390"/>
      <c r="L162" s="391">
        <f>-totalremdic25*0.19-0.19*1.07*K151</f>
        <v>-151756.65384615384</v>
      </c>
      <c r="M162" s="386"/>
      <c r="N162" s="392"/>
      <c r="O162" s="393"/>
      <c r="P162" s="31"/>
      <c r="Q162" s="31"/>
      <c r="R162" s="31"/>
      <c r="S162" s="31"/>
    </row>
    <row r="163" spans="1:19" ht="15.75" hidden="1" thickBot="1">
      <c r="A163" s="31"/>
      <c r="B163" s="343">
        <v>505</v>
      </c>
      <c r="C163" s="389">
        <v>0.03</v>
      </c>
      <c r="D163" s="346" t="s">
        <v>501</v>
      </c>
      <c r="E163" s="390"/>
      <c r="F163" s="391">
        <f>-totalremmay26*poros-poros*1.07*E151</f>
        <v>-24800.232115384613</v>
      </c>
      <c r="G163" s="386"/>
      <c r="H163" s="390"/>
      <c r="I163" s="391">
        <f>-totalremdic25*poros-poros*1.07*H151</f>
        <v>-23961.576923076922</v>
      </c>
      <c r="J163" s="386"/>
      <c r="K163" s="390"/>
      <c r="L163" s="391">
        <f>-totalremdic25*poros-poros*1.07*K151</f>
        <v>-23961.576923076922</v>
      </c>
      <c r="M163" s="386"/>
      <c r="N163" s="392"/>
      <c r="O163" s="393"/>
      <c r="P163" s="31"/>
      <c r="Q163" s="31"/>
      <c r="R163" s="31"/>
      <c r="S163" s="31"/>
    </row>
    <row r="164" spans="1:19" ht="15.75" hidden="1" thickBot="1">
      <c r="A164" s="31"/>
      <c r="B164" s="338">
        <v>510</v>
      </c>
      <c r="C164" s="339"/>
      <c r="D164" s="341" t="s">
        <v>502</v>
      </c>
      <c r="E164" s="380">
        <f>E97</f>
        <v>0</v>
      </c>
      <c r="F164" s="377">
        <f t="shared" ref="F164" si="39">-E164</f>
        <v>0</v>
      </c>
      <c r="G164" s="386"/>
      <c r="H164" s="380">
        <f>H97</f>
        <v>0</v>
      </c>
      <c r="I164" s="377">
        <f t="shared" ref="I164" si="40">-H164</f>
        <v>0</v>
      </c>
      <c r="J164" s="386"/>
      <c r="K164" s="380">
        <f>K97</f>
        <v>0</v>
      </c>
      <c r="L164" s="377">
        <f t="shared" ref="L164" si="41">-K164</f>
        <v>0</v>
      </c>
      <c r="M164" s="386"/>
      <c r="N164" s="78"/>
      <c r="O164" s="393"/>
      <c r="P164" s="31"/>
      <c r="Q164" s="31"/>
      <c r="R164" s="31"/>
      <c r="S164" s="31"/>
    </row>
    <row r="165" spans="1:19" ht="16.5" hidden="1" thickBot="1">
      <c r="A165" s="31"/>
      <c r="B165" s="343">
        <v>332</v>
      </c>
      <c r="C165" s="367">
        <f>C98</f>
        <v>0</v>
      </c>
      <c r="D165" s="346" t="s">
        <v>503</v>
      </c>
      <c r="E165" s="394"/>
      <c r="F165" s="391">
        <f>-totalremmay26*$C165-E151*$C165-(E157+E158)*$C165</f>
        <v>0</v>
      </c>
      <c r="G165" s="386"/>
      <c r="H165" s="394"/>
      <c r="I165" s="391">
        <f>-totalremdic25*$C165-H151*$C165-(H157+H158)*$C165</f>
        <v>0</v>
      </c>
      <c r="J165" s="386"/>
      <c r="K165" s="394"/>
      <c r="L165" s="391">
        <f>-totalremdic25*$C165-K151*$C165-(K157+K158)*$C165</f>
        <v>0</v>
      </c>
      <c r="M165" s="386"/>
      <c r="N165" s="392"/>
      <c r="O165" s="393"/>
      <c r="P165" s="31"/>
      <c r="Q165" s="31"/>
      <c r="R165" s="31"/>
      <c r="S165" s="31"/>
    </row>
    <row r="166" spans="1:19" ht="16.5" hidden="1" thickBot="1">
      <c r="A166" s="31"/>
      <c r="B166" s="395"/>
      <c r="C166" s="367"/>
      <c r="D166" s="339" t="s">
        <v>504</v>
      </c>
      <c r="E166" s="396">
        <f>E99</f>
        <v>0</v>
      </c>
      <c r="F166" s="377">
        <f t="shared" ref="F166" si="42">-E166</f>
        <v>0</v>
      </c>
      <c r="G166" s="386"/>
      <c r="H166" s="396">
        <f>H99</f>
        <v>0</v>
      </c>
      <c r="I166" s="377">
        <f t="shared" ref="I166" si="43">-H166</f>
        <v>0</v>
      </c>
      <c r="J166" s="386"/>
      <c r="K166" s="396">
        <f>K99</f>
        <v>0</v>
      </c>
      <c r="L166" s="377">
        <f t="shared" ref="L166" si="44">-K166</f>
        <v>0</v>
      </c>
      <c r="M166" s="386"/>
      <c r="N166" s="78"/>
      <c r="O166" s="393"/>
      <c r="P166" s="31"/>
      <c r="Q166" s="31"/>
      <c r="R166" s="31"/>
      <c r="S166" s="31"/>
    </row>
    <row r="167" spans="1:19" ht="16.5" hidden="1" thickBot="1">
      <c r="A167" s="31"/>
      <c r="B167" s="379"/>
      <c r="C167" s="381"/>
      <c r="D167" s="387" t="s">
        <v>505</v>
      </c>
      <c r="E167" s="344"/>
      <c r="F167" s="397">
        <f>SUM(F161:F166)</f>
        <v>-181868.36884615384</v>
      </c>
      <c r="G167" s="388"/>
      <c r="H167" s="344"/>
      <c r="I167" s="397">
        <f>SUM(I161:I166)</f>
        <v>-175718.23076923075</v>
      </c>
      <c r="J167" s="388"/>
      <c r="K167" s="344"/>
      <c r="L167" s="397">
        <f>SUM(L161:L166)</f>
        <v>-175718.23076923075</v>
      </c>
      <c r="M167" s="388"/>
      <c r="N167" s="398"/>
      <c r="O167" s="348"/>
      <c r="P167" s="31"/>
      <c r="Q167" s="31"/>
      <c r="R167" s="31"/>
      <c r="S167" s="31"/>
    </row>
    <row r="168" spans="1:19" ht="15.75" hidden="1" thickBot="1">
      <c r="A168" s="31"/>
      <c r="B168" s="395"/>
      <c r="C168" s="339"/>
      <c r="D168" s="377"/>
      <c r="E168" s="339"/>
      <c r="F168" s="339"/>
      <c r="G168" s="399"/>
      <c r="H168" s="339"/>
      <c r="I168" s="339"/>
      <c r="J168" s="399"/>
      <c r="K168" s="339"/>
      <c r="L168" s="339"/>
      <c r="M168" s="399"/>
      <c r="N168" s="31"/>
      <c r="O168" s="31"/>
      <c r="P168" s="31"/>
      <c r="Q168" s="31"/>
      <c r="R168" s="31"/>
      <c r="S168" s="31"/>
    </row>
    <row r="169" spans="1:19" ht="24" hidden="1" thickBot="1">
      <c r="A169" s="31"/>
      <c r="B169" s="395"/>
      <c r="C169" s="339"/>
      <c r="D169" s="339"/>
      <c r="E169" s="400" t="s">
        <v>509</v>
      </c>
      <c r="F169" s="401">
        <f>E160+F167</f>
        <v>776250</v>
      </c>
      <c r="G169" s="386"/>
      <c r="H169" s="400" t="s">
        <v>509</v>
      </c>
      <c r="I169" s="401">
        <f>H160+I167</f>
        <v>750000</v>
      </c>
      <c r="J169" s="386"/>
      <c r="K169" s="400" t="s">
        <v>509</v>
      </c>
      <c r="L169" s="401">
        <f>K160+L167</f>
        <v>687207</v>
      </c>
      <c r="M169" s="386"/>
      <c r="N169" s="402"/>
      <c r="O169" s="31"/>
      <c r="P169" s="31"/>
      <c r="Q169" s="31"/>
      <c r="R169" s="31"/>
      <c r="S169" s="31"/>
    </row>
    <row r="170" spans="1:19" ht="24" hidden="1" thickBot="1">
      <c r="A170" s="31"/>
      <c r="B170" s="395"/>
      <c r="C170" s="339"/>
      <c r="D170" s="339"/>
      <c r="E170" s="400"/>
      <c r="F170" s="403"/>
      <c r="G170" s="386"/>
      <c r="H170" s="400"/>
      <c r="I170" s="403"/>
      <c r="J170" s="386"/>
      <c r="K170" s="400"/>
      <c r="L170" s="403">
        <f>L169+60000</f>
        <v>747207</v>
      </c>
      <c r="M170" s="386"/>
      <c r="N170" s="402"/>
      <c r="O170" s="31"/>
      <c r="P170" s="31"/>
      <c r="Q170" s="31"/>
      <c r="R170" s="31"/>
      <c r="S170" s="31"/>
    </row>
    <row r="171" spans="1:19" ht="16.5" hidden="1" thickBot="1">
      <c r="A171" s="31"/>
      <c r="B171" s="395"/>
      <c r="C171" s="400"/>
      <c r="D171" s="400"/>
      <c r="E171" s="404"/>
      <c r="F171" s="377"/>
      <c r="G171" s="388"/>
      <c r="H171" s="404"/>
      <c r="I171" s="377"/>
      <c r="J171" s="388"/>
      <c r="K171" s="404"/>
      <c r="L171" s="377"/>
      <c r="M171" s="388"/>
      <c r="N171" s="31"/>
      <c r="O171" s="31"/>
      <c r="P171" s="31"/>
      <c r="Q171" s="31"/>
      <c r="R171" s="31"/>
      <c r="S171" s="31"/>
    </row>
    <row r="172" spans="1:19" ht="16.5" hidden="1" thickBot="1">
      <c r="A172" s="31"/>
      <c r="B172" s="395"/>
      <c r="C172" s="400"/>
      <c r="D172" s="400"/>
      <c r="E172" s="339" t="s">
        <v>510</v>
      </c>
      <c r="F172" s="339"/>
      <c r="G172" s="388"/>
      <c r="H172" s="339" t="s">
        <v>510</v>
      </c>
      <c r="I172" s="339"/>
      <c r="J172" s="388"/>
      <c r="K172" s="339" t="s">
        <v>510</v>
      </c>
      <c r="L172" s="339"/>
      <c r="M172" s="388"/>
      <c r="N172" s="31"/>
      <c r="O172" s="31"/>
      <c r="P172" s="31"/>
      <c r="Q172" s="31"/>
      <c r="R172" s="31"/>
      <c r="S172" s="31"/>
    </row>
    <row r="173" spans="1:19" ht="16.5" hidden="1" thickBot="1">
      <c r="A173" s="31"/>
      <c r="B173" s="395"/>
      <c r="C173" s="400"/>
      <c r="D173" s="400"/>
      <c r="E173" s="377">
        <f>E139+E140+E141+E142+E143+E144+E145+E148+E149+E150+F161+E152+E153+((E139+E140+E141+E142+E143+E144+E145+E148+E149+E150+F161+E152+E153)*0.07)</f>
        <v>658441.89509996853</v>
      </c>
      <c r="F173" s="339"/>
      <c r="G173" s="388"/>
      <c r="H173" s="377">
        <f>H139+H140+H141+H142+H143+H144+H145+H148+H149+H150+I161+H152+H153+((H139+H140+H141+H142+H143+H144+H145+H148+H149+H150+I161+H152+H153)*0.07)</f>
        <v>636175.66865979542</v>
      </c>
      <c r="I173" s="339"/>
      <c r="J173" s="388"/>
      <c r="K173" s="377">
        <f>K139+K140+K141+K142+K143+K144+K145+K148+K149+K150+L161+K152+K153+((K139+K140+K141+K142+K143+K144+K145+K148+K149+K150+L161+K152+K153)*0.07)</f>
        <v>636175.66865979542</v>
      </c>
      <c r="L173" s="339"/>
      <c r="M173" s="388"/>
      <c r="N173" s="31"/>
      <c r="O173" s="31"/>
      <c r="P173" s="31"/>
      <c r="Q173" s="31"/>
      <c r="R173" s="31"/>
      <c r="S173" s="31"/>
    </row>
    <row r="174" spans="1:19" ht="16.5" hidden="1" thickBot="1">
      <c r="A174" s="31"/>
      <c r="B174" s="395"/>
      <c r="C174" s="400"/>
      <c r="D174" s="400"/>
      <c r="E174" s="377"/>
      <c r="F174" s="339"/>
      <c r="G174" s="388"/>
      <c r="H174" s="377"/>
      <c r="I174" s="339"/>
      <c r="J174" s="388"/>
      <c r="K174" s="377"/>
      <c r="L174" s="339"/>
      <c r="M174" s="388"/>
      <c r="N174" s="31"/>
      <c r="O174" s="31"/>
      <c r="P174" s="31"/>
      <c r="Q174" s="31"/>
      <c r="R174" s="31"/>
      <c r="S174" s="31"/>
    </row>
    <row r="175" spans="1:19" ht="18.75" hidden="1" thickBot="1">
      <c r="A175" s="31"/>
      <c r="B175" s="395"/>
      <c r="C175" s="400"/>
      <c r="D175" s="400"/>
      <c r="E175" s="405" t="s">
        <v>511</v>
      </c>
      <c r="F175" s="406">
        <f>F169-I169</f>
        <v>26250</v>
      </c>
      <c r="G175" s="388"/>
      <c r="H175" s="405" t="s">
        <v>511</v>
      </c>
      <c r="I175" s="406">
        <f>I169-L169</f>
        <v>62793</v>
      </c>
      <c r="J175" s="388"/>
      <c r="K175" s="405" t="s">
        <v>511</v>
      </c>
      <c r="L175" s="406"/>
      <c r="M175" s="388"/>
      <c r="N175" s="407"/>
      <c r="O175" s="31"/>
      <c r="P175" s="31"/>
      <c r="Q175" s="31"/>
      <c r="R175" s="31"/>
      <c r="S175" s="31"/>
    </row>
    <row r="176" spans="1:19" ht="18.75" hidden="1" thickBot="1">
      <c r="A176" s="31"/>
      <c r="B176" s="339"/>
      <c r="C176" s="339"/>
      <c r="D176" s="339"/>
      <c r="E176" s="405" t="s">
        <v>512</v>
      </c>
      <c r="F176" s="408">
        <f>F175/I169</f>
        <v>3.5000000000000003E-2</v>
      </c>
      <c r="G176" s="386"/>
      <c r="H176" s="405" t="s">
        <v>512</v>
      </c>
      <c r="I176" s="408">
        <f>I175/L169</f>
        <v>9.1374214756252486E-2</v>
      </c>
      <c r="J176" s="386"/>
      <c r="K176" s="405" t="s">
        <v>512</v>
      </c>
      <c r="L176" s="408"/>
      <c r="M176" s="386"/>
      <c r="N176" s="409"/>
      <c r="O176" s="410"/>
      <c r="P176" s="31"/>
      <c r="Q176" s="31"/>
      <c r="R176" s="31"/>
      <c r="S176" s="31"/>
    </row>
    <row r="177" spans="1:19" ht="18.75" hidden="1" thickBot="1">
      <c r="A177" s="31"/>
      <c r="B177" s="339"/>
      <c r="C177" s="339"/>
      <c r="D177" s="339"/>
      <c r="E177" s="411"/>
      <c r="F177" s="412"/>
      <c r="G177" s="339"/>
      <c r="H177" s="411"/>
      <c r="I177" s="412"/>
      <c r="J177" s="339"/>
      <c r="K177" s="411"/>
      <c r="L177" s="412"/>
      <c r="M177" s="339"/>
      <c r="N177" s="409"/>
      <c r="O177" s="410"/>
      <c r="P177" s="31"/>
      <c r="Q177" s="31"/>
      <c r="R177" s="31"/>
      <c r="S177" s="31"/>
    </row>
    <row r="178" spans="1:19" ht="18.75" hidden="1" thickBot="1">
      <c r="A178" s="31"/>
      <c r="B178" s="339"/>
      <c r="C178" s="339"/>
      <c r="D178" s="339"/>
      <c r="E178" s="312" t="s">
        <v>506</v>
      </c>
      <c r="F178" s="413">
        <f>(F169-E157-E158-E159)-(I169-H157-H158-H159)</f>
        <v>21805.034999999916</v>
      </c>
      <c r="G178" s="339"/>
      <c r="H178" s="312" t="s">
        <v>506</v>
      </c>
      <c r="I178" s="413">
        <f>(I169-H157-H158-H159)-(L169-K157-K158-K159)</f>
        <v>0</v>
      </c>
      <c r="J178" s="339"/>
      <c r="K178" s="312" t="s">
        <v>506</v>
      </c>
      <c r="L178" s="413"/>
      <c r="M178" s="339"/>
      <c r="N178" s="409"/>
      <c r="O178" s="410"/>
      <c r="P178" s="31"/>
      <c r="Q178" s="31"/>
      <c r="R178" s="31"/>
      <c r="S178" s="31"/>
    </row>
    <row r="179" spans="1:19" ht="18.75" hidden="1" thickBot="1">
      <c r="A179" s="31"/>
      <c r="B179" s="339"/>
      <c r="C179" s="339"/>
      <c r="D179" s="339"/>
      <c r="E179" s="312" t="s">
        <v>513</v>
      </c>
      <c r="F179" s="414">
        <f>F178/(I169-H157-H158-H159)</f>
        <v>3.4999999999999865E-2</v>
      </c>
      <c r="G179" s="339"/>
      <c r="H179" s="312" t="s">
        <v>513</v>
      </c>
      <c r="I179" s="414">
        <f>I178/(L169-K157-K158-K159)</f>
        <v>0</v>
      </c>
      <c r="J179" s="339"/>
      <c r="K179" s="312" t="s">
        <v>513</v>
      </c>
      <c r="L179" s="414"/>
      <c r="M179" s="339"/>
      <c r="N179" s="409"/>
      <c r="O179" s="410"/>
      <c r="P179" s="31"/>
      <c r="Q179" s="31"/>
      <c r="R179" s="31"/>
      <c r="S179" s="31"/>
    </row>
    <row r="180" spans="1:19" ht="16.5" hidden="1" thickBot="1">
      <c r="A180" s="31"/>
      <c r="B180" s="395"/>
      <c r="C180" s="400"/>
      <c r="D180" s="400"/>
      <c r="E180" s="339"/>
      <c r="F180" s="339"/>
      <c r="G180" s="388"/>
      <c r="H180" s="339"/>
      <c r="I180" s="339"/>
      <c r="J180" s="388"/>
      <c r="K180" s="339"/>
      <c r="L180" s="339"/>
      <c r="M180" s="388"/>
      <c r="N180" s="31"/>
      <c r="O180" s="415"/>
      <c r="P180" s="31"/>
      <c r="Q180" s="31"/>
      <c r="R180" s="31"/>
      <c r="S180" s="31"/>
    </row>
    <row r="181" spans="1:19" ht="18.75" hidden="1" thickBot="1">
      <c r="A181" s="31"/>
      <c r="B181" s="395"/>
      <c r="C181" s="400"/>
      <c r="D181" s="400"/>
      <c r="E181" s="416" t="s">
        <v>457</v>
      </c>
      <c r="F181" s="417">
        <f>F169-$L169</f>
        <v>89043</v>
      </c>
      <c r="G181" s="388"/>
      <c r="H181" s="416" t="s">
        <v>457</v>
      </c>
      <c r="I181" s="417">
        <f>I169-$L169</f>
        <v>62793</v>
      </c>
      <c r="J181" s="388"/>
      <c r="K181" s="416" t="s">
        <v>457</v>
      </c>
      <c r="L181" s="417"/>
      <c r="M181" s="388"/>
      <c r="N181" s="31"/>
      <c r="O181" s="31"/>
      <c r="P181" s="31"/>
      <c r="Q181" s="31"/>
      <c r="R181" s="31"/>
      <c r="S181" s="31"/>
    </row>
    <row r="182" spans="1:19" ht="18.75" hidden="1" thickBot="1">
      <c r="A182" s="31"/>
      <c r="B182" s="395"/>
      <c r="C182" s="400"/>
      <c r="D182" s="400"/>
      <c r="E182" s="416" t="s">
        <v>514</v>
      </c>
      <c r="F182" s="418">
        <f>F181/$L169</f>
        <v>0.12957231227272131</v>
      </c>
      <c r="G182" s="388"/>
      <c r="H182" s="416" t="s">
        <v>514</v>
      </c>
      <c r="I182" s="418">
        <f>I181/$L169</f>
        <v>9.1374214756252486E-2</v>
      </c>
      <c r="J182" s="388"/>
      <c r="K182" s="416" t="s">
        <v>514</v>
      </c>
      <c r="L182" s="418"/>
      <c r="M182" s="388"/>
      <c r="N182" s="31"/>
      <c r="O182" s="31"/>
      <c r="P182" s="31"/>
      <c r="Q182" s="31"/>
      <c r="R182" s="31"/>
      <c r="S182" s="31"/>
    </row>
    <row r="183" spans="1:19" ht="16.5" hidden="1" thickBot="1">
      <c r="A183" s="31"/>
      <c r="B183" s="395"/>
      <c r="C183" s="400"/>
      <c r="D183" s="400"/>
      <c r="E183" s="339"/>
      <c r="F183" s="339"/>
      <c r="G183" s="388"/>
      <c r="H183" s="339"/>
      <c r="I183" s="339"/>
      <c r="J183" s="388"/>
      <c r="K183" s="339"/>
      <c r="L183" s="339"/>
      <c r="M183" s="388"/>
      <c r="N183" s="31"/>
      <c r="O183" s="31"/>
      <c r="P183" s="31"/>
      <c r="Q183" s="31"/>
      <c r="R183" s="31"/>
      <c r="S183" s="31"/>
    </row>
    <row r="184" spans="1:19" ht="18.75" hidden="1" thickBot="1">
      <c r="A184" s="31"/>
      <c r="B184" s="395"/>
      <c r="C184" s="400"/>
      <c r="D184" s="400"/>
      <c r="E184" s="320" t="s">
        <v>515</v>
      </c>
      <c r="F184" s="417">
        <f>(F169-E157-E158-E159)-($L169-$K157-$K158-$K159)</f>
        <v>21805.034999999916</v>
      </c>
      <c r="G184" s="388"/>
      <c r="H184" s="320" t="s">
        <v>515</v>
      </c>
      <c r="I184" s="417">
        <f>(I169-H157-H158-H159)-($L169-$K157-$K158-$K159)</f>
        <v>0</v>
      </c>
      <c r="J184" s="388"/>
      <c r="K184" s="320" t="s">
        <v>515</v>
      </c>
      <c r="L184" s="417"/>
      <c r="M184" s="388"/>
      <c r="N184" s="31"/>
      <c r="O184" s="31"/>
      <c r="P184" s="31"/>
      <c r="Q184" s="31"/>
      <c r="R184" s="31"/>
      <c r="S184" s="31"/>
    </row>
    <row r="185" spans="1:19" ht="18.75" hidden="1" thickBot="1">
      <c r="A185" s="31"/>
      <c r="B185" s="395"/>
      <c r="C185" s="400"/>
      <c r="D185" s="400"/>
      <c r="E185" s="322" t="s">
        <v>507</v>
      </c>
      <c r="F185" s="419">
        <f>F184/($L169-$K157-$K158-$K159)</f>
        <v>3.4999999999999865E-2</v>
      </c>
      <c r="G185" s="388"/>
      <c r="H185" s="322" t="s">
        <v>507</v>
      </c>
      <c r="I185" s="419">
        <f>I184/($L169-$K157-$K158-$K159)</f>
        <v>0</v>
      </c>
      <c r="J185" s="388"/>
      <c r="K185" s="322" t="s">
        <v>507</v>
      </c>
      <c r="L185" s="419"/>
      <c r="M185" s="388"/>
      <c r="N185" s="31"/>
      <c r="O185" s="31"/>
      <c r="P185" s="31"/>
      <c r="Q185" s="31"/>
      <c r="R185" s="31"/>
      <c r="S185" s="31"/>
    </row>
    <row r="186" spans="1:19" ht="16.5" hidden="1" thickBot="1">
      <c r="A186" s="31"/>
      <c r="B186" s="395"/>
      <c r="C186" s="400"/>
      <c r="D186" s="400"/>
      <c r="E186" s="339"/>
      <c r="F186" s="339"/>
      <c r="G186" s="388"/>
      <c r="H186" s="339"/>
      <c r="I186" s="339"/>
      <c r="J186" s="388"/>
      <c r="K186" s="339"/>
      <c r="L186" s="339"/>
      <c r="M186" s="388"/>
      <c r="N186" s="31"/>
      <c r="O186" s="31"/>
      <c r="P186" s="31"/>
      <c r="Q186" s="31"/>
      <c r="R186" s="31"/>
      <c r="S186" s="31"/>
    </row>
    <row r="187" spans="1:19" ht="16.5" hidden="1" thickBot="1">
      <c r="A187" s="31"/>
      <c r="B187" s="395"/>
      <c r="C187" s="400"/>
      <c r="D187" s="400"/>
      <c r="E187" s="400" t="s">
        <v>516</v>
      </c>
      <c r="F187" s="404"/>
      <c r="G187" s="388"/>
      <c r="H187" s="400" t="s">
        <v>516</v>
      </c>
      <c r="I187" s="404"/>
      <c r="J187" s="388"/>
      <c r="K187" s="400" t="s">
        <v>516</v>
      </c>
      <c r="L187" s="404"/>
      <c r="M187" s="388"/>
      <c r="N187" s="31"/>
      <c r="O187" s="31"/>
      <c r="P187" s="31"/>
      <c r="Q187" s="31"/>
      <c r="R187" s="31"/>
      <c r="S187" s="31"/>
    </row>
    <row r="188" spans="1:19" ht="16.5" hidden="1" thickBot="1">
      <c r="A188" s="31"/>
      <c r="B188" s="395"/>
      <c r="C188" s="400"/>
      <c r="D188" s="400"/>
      <c r="E188" s="337" t="s">
        <v>517</v>
      </c>
      <c r="F188" s="420">
        <f>(E139+E140+E141+E142+E143+E144+E145+E146+E147+E148+E149+E150+E151+E152+E153)*0.5</f>
        <v>413337.20192307688</v>
      </c>
      <c r="G188" s="388"/>
      <c r="H188" s="337" t="s">
        <v>517</v>
      </c>
      <c r="I188" s="420">
        <f>(H139+H140+H141+H142+H143+H144+H145+H146+H147+H148+H149+H150+H151+H152+H153)*0.5</f>
        <v>399359.61538461538</v>
      </c>
      <c r="J188" s="388"/>
      <c r="K188" s="337" t="s">
        <v>517</v>
      </c>
      <c r="L188" s="420">
        <f>(K139+K140+K141+K142+K143+K144+K145+K146+K147+K148+K149+K150+K151+K152+K153)*0.5</f>
        <v>399359.61538461538</v>
      </c>
      <c r="M188" s="388"/>
      <c r="N188" s="31"/>
      <c r="O188" s="31"/>
      <c r="P188" s="31"/>
      <c r="Q188" s="31"/>
      <c r="R188" s="31"/>
      <c r="S188" s="31"/>
    </row>
    <row r="189" spans="1:19" ht="16.5" hidden="1" thickBot="1">
      <c r="A189" s="31"/>
      <c r="B189" s="395"/>
      <c r="C189" s="400"/>
      <c r="D189" s="400"/>
      <c r="E189" s="337" t="s">
        <v>518</v>
      </c>
      <c r="F189" s="404"/>
      <c r="G189" s="388"/>
      <c r="H189" s="337" t="s">
        <v>518</v>
      </c>
      <c r="I189" s="404"/>
      <c r="J189" s="388"/>
      <c r="K189" s="337" t="s">
        <v>518</v>
      </c>
      <c r="L189" s="404"/>
      <c r="M189" s="388"/>
      <c r="N189" s="31"/>
      <c r="O189" s="31"/>
      <c r="P189" s="31"/>
      <c r="Q189" s="31"/>
      <c r="R189" s="31"/>
      <c r="S189" s="31"/>
    </row>
    <row r="190" spans="1:19" ht="16.5" hidden="1" thickBot="1">
      <c r="A190" s="31"/>
      <c r="B190" s="395"/>
      <c r="C190" s="400"/>
      <c r="D190" s="400"/>
      <c r="E190" s="339" t="s">
        <v>519</v>
      </c>
      <c r="F190" s="339">
        <f>F188*0.78</f>
        <v>322403.01749999996</v>
      </c>
      <c r="G190" s="388"/>
      <c r="H190" s="339" t="s">
        <v>519</v>
      </c>
      <c r="I190" s="339">
        <f>I188*0.78</f>
        <v>311500.5</v>
      </c>
      <c r="J190" s="388"/>
      <c r="K190" s="339" t="s">
        <v>519</v>
      </c>
      <c r="L190" s="339">
        <f>L188*0.78</f>
        <v>311500.5</v>
      </c>
      <c r="M190" s="388"/>
      <c r="N190" s="31"/>
      <c r="O190" s="31"/>
      <c r="P190" s="31"/>
      <c r="Q190" s="31"/>
      <c r="R190" s="31"/>
      <c r="S190" s="31"/>
    </row>
    <row r="191" spans="1:19" ht="16.5" hidden="1" thickBot="1">
      <c r="A191" s="31"/>
      <c r="B191" s="395"/>
      <c r="C191" s="400"/>
      <c r="D191" s="400"/>
      <c r="E191" s="337" t="s">
        <v>520</v>
      </c>
      <c r="F191" s="353"/>
      <c r="G191" s="388"/>
      <c r="H191" s="337" t="s">
        <v>520</v>
      </c>
      <c r="I191" s="353"/>
      <c r="J191" s="388"/>
      <c r="K191" s="337" t="s">
        <v>520</v>
      </c>
      <c r="L191" s="353"/>
      <c r="M191" s="388"/>
      <c r="N191" s="31"/>
      <c r="O191" s="31"/>
      <c r="P191" s="31"/>
      <c r="Q191" s="31"/>
      <c r="R191" s="31"/>
      <c r="S191" s="31"/>
    </row>
    <row r="192" spans="1:19" ht="16.5" hidden="1" thickBot="1">
      <c r="A192" s="31"/>
      <c r="B192" s="395"/>
      <c r="C192" s="400"/>
      <c r="D192" s="400"/>
      <c r="E192" s="279">
        <v>502</v>
      </c>
      <c r="F192" s="420">
        <f>-(totalremdic25+F188+E151*1.07)*0.19</f>
        <v>-231371.6220725209</v>
      </c>
      <c r="G192" s="388"/>
      <c r="H192" s="279">
        <v>502</v>
      </c>
      <c r="I192" s="420">
        <f>-(totalremdic25+I188+H151*1.07)*0.19</f>
        <v>-227634.98076923075</v>
      </c>
      <c r="J192" s="388"/>
      <c r="K192" s="279">
        <v>502</v>
      </c>
      <c r="L192" s="420">
        <f>-(totalremdic25+L188+K151*1.07)*0.19</f>
        <v>-227634.98076923075</v>
      </c>
      <c r="M192" s="388"/>
      <c r="N192" s="31"/>
      <c r="O192" s="31"/>
      <c r="P192" s="31"/>
      <c r="Q192" s="31"/>
      <c r="R192" s="31"/>
      <c r="S192" s="31"/>
    </row>
    <row r="193" spans="1:19" ht="16.5" hidden="1" thickBot="1">
      <c r="A193" s="31"/>
      <c r="B193" s="395"/>
      <c r="C193" s="400"/>
      <c r="D193" s="400"/>
      <c r="E193" s="279">
        <v>505</v>
      </c>
      <c r="F193" s="420">
        <f>-(totalremdic25+F188+E151*1.07)*0.03</f>
        <v>-36532.36137987172</v>
      </c>
      <c r="G193" s="388"/>
      <c r="H193" s="279">
        <v>505</v>
      </c>
      <c r="I193" s="420">
        <f>-(totalremdic25+I188+H151*1.07)*0.03</f>
        <v>-35942.365384615376</v>
      </c>
      <c r="J193" s="388"/>
      <c r="K193" s="279">
        <v>505</v>
      </c>
      <c r="L193" s="420">
        <f>-(totalremdic25+L188+K151*1.07)*0.03</f>
        <v>-35942.365384615376</v>
      </c>
      <c r="M193" s="388"/>
      <c r="N193" s="31"/>
      <c r="O193" s="31"/>
      <c r="P193" s="31"/>
      <c r="Q193" s="31"/>
      <c r="R193" s="31"/>
      <c r="S193" s="31"/>
    </row>
    <row r="194" spans="1:19" ht="16.5" hidden="1" thickBot="1">
      <c r="A194" s="31"/>
      <c r="B194" s="395"/>
      <c r="C194" s="400"/>
      <c r="D194" s="400"/>
      <c r="E194" s="404"/>
      <c r="F194" s="404"/>
      <c r="G194" s="388"/>
      <c r="H194" s="404"/>
      <c r="I194" s="404"/>
      <c r="J194" s="388"/>
      <c r="K194" s="404"/>
      <c r="L194" s="404"/>
      <c r="M194" s="388"/>
      <c r="N194" s="31"/>
      <c r="O194" s="31"/>
      <c r="P194" s="31"/>
      <c r="Q194" s="31"/>
      <c r="R194" s="31"/>
      <c r="S194" s="31"/>
    </row>
    <row r="195" spans="1:19" ht="18.75" hidden="1" thickBot="1">
      <c r="A195" s="31"/>
      <c r="B195" s="395"/>
      <c r="C195" s="400"/>
      <c r="D195" s="400"/>
      <c r="E195" s="385" t="s">
        <v>521</v>
      </c>
      <c r="F195" s="353"/>
      <c r="G195" s="388"/>
      <c r="H195" s="385" t="s">
        <v>521</v>
      </c>
      <c r="I195" s="353"/>
      <c r="J195" s="388"/>
      <c r="K195" s="385" t="s">
        <v>521</v>
      </c>
      <c r="L195" s="353"/>
      <c r="M195" s="388"/>
      <c r="N195" s="421"/>
      <c r="O195" s="31"/>
      <c r="P195" s="31"/>
      <c r="Q195" s="31"/>
      <c r="R195" s="31"/>
      <c r="S195" s="31"/>
    </row>
    <row r="196" spans="1:19" ht="18.75" hidden="1" thickBot="1">
      <c r="A196" s="31"/>
      <c r="B196" s="395"/>
      <c r="C196" s="400"/>
      <c r="D196" s="400"/>
      <c r="E196" s="385"/>
      <c r="F196" s="403">
        <f>E160+F188+F189+F192+F193</f>
        <v>1103551.5873168383</v>
      </c>
      <c r="G196" s="388"/>
      <c r="H196" s="385"/>
      <c r="I196" s="403">
        <f>H160+I188+I189+I192+I193</f>
        <v>1061500.5</v>
      </c>
      <c r="J196" s="388"/>
      <c r="K196" s="385"/>
      <c r="L196" s="403">
        <f>K160+L188+L189+L192+L193</f>
        <v>998707.49999999988</v>
      </c>
      <c r="M196" s="388"/>
      <c r="N196" s="421"/>
      <c r="O196" s="31"/>
      <c r="P196" s="31"/>
      <c r="Q196" s="31"/>
      <c r="R196" s="31"/>
      <c r="S196" s="31"/>
    </row>
    <row r="197" spans="1:19" ht="18.75" hidden="1" thickBot="1">
      <c r="A197" s="31"/>
      <c r="B197" s="395"/>
      <c r="C197" s="400"/>
      <c r="D197" s="400"/>
      <c r="E197" s="422" t="s">
        <v>522</v>
      </c>
      <c r="F197" s="423"/>
      <c r="G197" s="388"/>
      <c r="H197" s="422" t="s">
        <v>522</v>
      </c>
      <c r="I197" s="423"/>
      <c r="J197" s="388"/>
      <c r="K197" s="422" t="s">
        <v>522</v>
      </c>
      <c r="L197" s="423"/>
      <c r="M197" s="388"/>
      <c r="N197" s="421"/>
      <c r="O197" s="31"/>
      <c r="P197" s="31"/>
      <c r="Q197" s="31"/>
      <c r="R197" s="31"/>
      <c r="S197" s="31"/>
    </row>
    <row r="198" spans="1:19" ht="16.5" hidden="1" thickBot="1">
      <c r="A198" s="31"/>
      <c r="B198" s="395"/>
      <c r="C198" s="400"/>
      <c r="D198" s="400"/>
      <c r="E198" s="339"/>
      <c r="F198" s="424">
        <f>F196-F169+F165</f>
        <v>327301.58731683833</v>
      </c>
      <c r="G198" s="388"/>
      <c r="H198" s="339"/>
      <c r="I198" s="424">
        <f>I196-I169+I165</f>
        <v>311500.5</v>
      </c>
      <c r="J198" s="388"/>
      <c r="K198" s="339"/>
      <c r="L198" s="424">
        <f>L196-L169+L165</f>
        <v>311500.49999999988</v>
      </c>
      <c r="M198" s="388"/>
      <c r="N198" s="31"/>
      <c r="O198" s="31"/>
      <c r="P198" s="31"/>
      <c r="Q198" s="31"/>
      <c r="R198" s="31"/>
      <c r="S198" s="31"/>
    </row>
    <row r="199" spans="1:19" ht="26.25" hidden="1" thickBot="1">
      <c r="A199" s="31"/>
      <c r="B199" s="339"/>
      <c r="C199" s="339"/>
      <c r="D199" s="339"/>
      <c r="E199" s="22"/>
      <c r="F199" s="23"/>
      <c r="G199" s="21"/>
      <c r="H199" s="22"/>
      <c r="I199" s="23"/>
      <c r="J199" s="21"/>
      <c r="K199" s="22"/>
      <c r="L199" s="23"/>
      <c r="M199" s="21"/>
      <c r="N199" s="425"/>
      <c r="O199" s="425"/>
      <c r="P199" s="31"/>
      <c r="Q199" s="31"/>
      <c r="R199" s="31"/>
      <c r="S199" s="31"/>
    </row>
    <row r="200" spans="1:19" ht="15.75" thickBot="1">
      <c r="A200" s="160"/>
      <c r="B200" s="426"/>
      <c r="C200" s="160"/>
      <c r="D200" s="160"/>
      <c r="E200" s="160"/>
      <c r="F200" s="160"/>
      <c r="G200" s="160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</row>
    <row r="201" spans="1:19">
      <c r="A201" s="31"/>
      <c r="B201" s="31"/>
      <c r="C201" s="31"/>
      <c r="D201" s="31"/>
      <c r="E201" s="427"/>
      <c r="F201" s="427"/>
      <c r="G201" s="428"/>
      <c r="H201" s="429"/>
      <c r="I201" s="874" t="str">
        <f>canthormed&amp;" horas med"</f>
        <v>36 horas med</v>
      </c>
      <c r="J201" s="431">
        <f>porantighormed</f>
        <v>1.2</v>
      </c>
      <c r="K201" s="432"/>
      <c r="L201" s="433"/>
      <c r="M201" s="433"/>
      <c r="N201" s="433"/>
      <c r="O201" s="433"/>
      <c r="P201" s="433"/>
      <c r="Q201" s="39"/>
      <c r="R201" s="39"/>
      <c r="S201" s="39"/>
    </row>
    <row r="202" spans="1:19">
      <c r="A202" s="31"/>
      <c r="B202" s="31"/>
      <c r="C202" s="31"/>
      <c r="D202" s="31"/>
      <c r="E202" s="434"/>
      <c r="F202" s="434"/>
      <c r="G202" s="434"/>
      <c r="H202" s="435">
        <v>45992</v>
      </c>
      <c r="I202" s="436">
        <v>46054</v>
      </c>
      <c r="J202" s="436">
        <v>46143</v>
      </c>
      <c r="K202" s="437"/>
      <c r="L202" s="438"/>
      <c r="M202" s="438"/>
      <c r="N202" s="438"/>
      <c r="O202" s="438"/>
      <c r="P202" s="438"/>
      <c r="Q202" s="438"/>
      <c r="R202" s="438"/>
      <c r="S202" s="438"/>
    </row>
    <row r="203" spans="1:19" ht="23.25">
      <c r="A203" s="31"/>
      <c r="B203" s="31"/>
      <c r="C203" s="439" t="s">
        <v>523</v>
      </c>
      <c r="D203" s="39"/>
      <c r="E203" s="440"/>
      <c r="F203" s="440"/>
      <c r="G203" s="440"/>
      <c r="H203" s="210">
        <f>K208</f>
        <v>1605573.9593262833</v>
      </c>
      <c r="I203" s="441">
        <f>H208</f>
        <v>1665573.9593262833</v>
      </c>
      <c r="J203" s="442">
        <f>E208</f>
        <v>1712657.0321618959</v>
      </c>
      <c r="K203" s="443"/>
      <c r="L203" s="444"/>
      <c r="M203" s="444"/>
      <c r="N203" s="444"/>
      <c r="O203" s="444"/>
      <c r="P203" s="444"/>
      <c r="Q203" s="444"/>
      <c r="R203" s="444"/>
      <c r="S203" s="444"/>
    </row>
    <row r="204" spans="1:19">
      <c r="A204" s="31"/>
      <c r="B204" s="31"/>
      <c r="C204" s="31"/>
      <c r="D204" s="31"/>
      <c r="E204" s="445"/>
      <c r="F204" s="446"/>
      <c r="G204" s="445"/>
      <c r="H204" s="210" t="s">
        <v>457</v>
      </c>
      <c r="I204" s="211">
        <f t="shared" ref="I204:K204" si="45">I203-$H203</f>
        <v>60000</v>
      </c>
      <c r="J204" s="211">
        <f t="shared" si="45"/>
        <v>107083.07283561258</v>
      </c>
      <c r="K204" s="447"/>
      <c r="L204" s="214"/>
      <c r="M204" s="214"/>
      <c r="N204" s="214"/>
      <c r="O204" s="214"/>
      <c r="P204" s="214"/>
      <c r="Q204" s="214"/>
      <c r="R204" s="214"/>
      <c r="S204" s="214"/>
    </row>
    <row r="205" spans="1:19" ht="15.75">
      <c r="A205" s="31"/>
      <c r="B205" s="842" t="s">
        <v>524</v>
      </c>
      <c r="C205" s="841"/>
      <c r="D205" s="448">
        <v>36</v>
      </c>
      <c r="E205" s="449"/>
      <c r="F205" s="450"/>
      <c r="G205" s="449"/>
      <c r="H205" s="216" t="s">
        <v>460</v>
      </c>
      <c r="I205" s="217">
        <f t="shared" ref="I205:K205" si="46">I204/$H203</f>
        <v>3.7369813860942708E-2</v>
      </c>
      <c r="J205" s="217">
        <f t="shared" si="46"/>
        <v>6.6694574992076872E-2</v>
      </c>
      <c r="K205" s="451"/>
      <c r="L205" s="220"/>
      <c r="M205" s="220"/>
      <c r="N205" s="220"/>
      <c r="O205" s="220"/>
      <c r="P205" s="220"/>
      <c r="Q205" s="220"/>
      <c r="R205" s="220"/>
      <c r="S205" s="220"/>
    </row>
    <row r="206" spans="1:19" ht="16.5" thickBot="1">
      <c r="A206" s="31"/>
      <c r="B206" s="842" t="s">
        <v>525</v>
      </c>
      <c r="C206" s="841"/>
      <c r="D206" s="452">
        <v>24</v>
      </c>
      <c r="E206" s="453"/>
      <c r="F206" s="39"/>
      <c r="G206" s="454"/>
      <c r="H206" s="223" t="s">
        <v>461</v>
      </c>
      <c r="I206" s="224"/>
      <c r="J206" s="455"/>
      <c r="K206" s="456"/>
      <c r="L206" s="457"/>
      <c r="M206" s="457"/>
      <c r="N206" s="457"/>
      <c r="O206" s="457"/>
      <c r="P206" s="457"/>
      <c r="Q206" s="457"/>
      <c r="R206" s="457"/>
      <c r="S206" s="457"/>
    </row>
    <row r="207" spans="1:19" ht="24" thickBot="1">
      <c r="A207" s="31"/>
      <c r="B207" s="31"/>
      <c r="C207" s="31"/>
      <c r="D207" s="458">
        <f>LOOKUP(D206,D18:D29,E18:E29)</f>
        <v>1.2</v>
      </c>
      <c r="E207" s="459" t="s">
        <v>463</v>
      </c>
      <c r="F207" s="228"/>
      <c r="G207" s="460"/>
      <c r="H207" s="459" t="s">
        <v>463</v>
      </c>
      <c r="I207" s="228"/>
      <c r="J207" s="460"/>
      <c r="K207" s="459" t="s">
        <v>463</v>
      </c>
      <c r="L207" s="228"/>
      <c r="M207" s="31"/>
      <c r="N207" s="31"/>
      <c r="O207" s="31"/>
      <c r="P207" s="31"/>
      <c r="Q207" s="31"/>
      <c r="R207" s="31"/>
      <c r="S207" s="31"/>
    </row>
    <row r="208" spans="1:19" ht="21" thickBot="1">
      <c r="A208" s="31"/>
      <c r="B208" s="461" t="s">
        <v>526</v>
      </c>
      <c r="C208" s="462"/>
      <c r="D208" s="463"/>
      <c r="E208" s="464">
        <f>F244</f>
        <v>1712657.0321618959</v>
      </c>
      <c r="F208" s="231"/>
      <c r="G208" s="465"/>
      <c r="H208" s="464">
        <f>I244</f>
        <v>1665573.9593262833</v>
      </c>
      <c r="I208" s="231"/>
      <c r="J208" s="465"/>
      <c r="K208" s="464">
        <f>L244</f>
        <v>1605573.9593262833</v>
      </c>
      <c r="L208" s="231"/>
      <c r="M208" s="31"/>
      <c r="N208" s="31"/>
      <c r="O208" s="31"/>
      <c r="P208" s="31"/>
      <c r="Q208" s="31"/>
      <c r="R208" s="31"/>
      <c r="S208" s="31"/>
    </row>
    <row r="209" spans="1:19" ht="16.5" thickTop="1">
      <c r="A209" s="31"/>
      <c r="B209" s="848" t="s">
        <v>527</v>
      </c>
      <c r="C209" s="837"/>
      <c r="D209" s="466">
        <v>36</v>
      </c>
      <c r="E209" s="233" t="s">
        <v>466</v>
      </c>
      <c r="F209" s="467"/>
      <c r="G209" s="468"/>
      <c r="H209" s="233" t="s">
        <v>466</v>
      </c>
      <c r="I209" s="467"/>
      <c r="J209" s="468"/>
      <c r="K209" s="233" t="s">
        <v>466</v>
      </c>
      <c r="L209" s="467"/>
      <c r="M209" s="31"/>
      <c r="N209" s="31"/>
      <c r="O209" s="31"/>
      <c r="P209" s="31"/>
      <c r="Q209" s="31"/>
      <c r="R209" s="31"/>
      <c r="S209" s="31"/>
    </row>
    <row r="210" spans="1:19" ht="18">
      <c r="A210" s="31"/>
      <c r="B210" s="848" t="s">
        <v>528</v>
      </c>
      <c r="C210" s="837"/>
      <c r="D210" s="466">
        <v>30</v>
      </c>
      <c r="E210" s="238">
        <f>E208-E233-E234-E235</f>
        <v>1524245.0321618959</v>
      </c>
      <c r="F210" s="469"/>
      <c r="G210" s="470"/>
      <c r="H210" s="238">
        <f>H208-H233-H234-H235</f>
        <v>1477161.9593262833</v>
      </c>
      <c r="I210" s="469"/>
      <c r="J210" s="470"/>
      <c r="K210" s="238">
        <f>K208-K233-K234-K235</f>
        <v>1477161.9593262833</v>
      </c>
      <c r="L210" s="469"/>
      <c r="M210" s="31"/>
      <c r="N210" s="31"/>
      <c r="O210" s="31"/>
      <c r="P210" s="31"/>
      <c r="Q210" s="31"/>
      <c r="R210" s="31"/>
      <c r="S210" s="31"/>
    </row>
    <row r="211" spans="1:19" ht="15.75">
      <c r="A211" s="31"/>
      <c r="B211" s="849" t="s">
        <v>529</v>
      </c>
      <c r="C211" s="837"/>
      <c r="D211" s="466">
        <v>1</v>
      </c>
      <c r="E211" s="471"/>
      <c r="F211" s="471"/>
      <c r="G211" s="471"/>
      <c r="H211" s="471"/>
      <c r="I211" s="471"/>
      <c r="J211" s="471"/>
      <c r="K211" s="471"/>
      <c r="L211" s="31"/>
      <c r="M211" s="31"/>
      <c r="N211" s="98"/>
      <c r="O211" s="31"/>
      <c r="P211" s="31"/>
      <c r="Q211" s="31"/>
      <c r="R211" s="31"/>
      <c r="S211" s="31"/>
    </row>
    <row r="212" spans="1:19" ht="15.75">
      <c r="A212" s="31"/>
      <c r="B212" s="81" t="s">
        <v>530</v>
      </c>
      <c r="C212" s="39"/>
      <c r="D212" s="471">
        <v>15</v>
      </c>
      <c r="E212" s="471"/>
      <c r="F212" s="471"/>
      <c r="G212" s="471"/>
      <c r="H212" s="471"/>
      <c r="I212" s="471"/>
      <c r="J212" s="471"/>
      <c r="K212" s="471"/>
      <c r="L212" s="31"/>
      <c r="M212" s="31"/>
      <c r="N212" s="31"/>
      <c r="O212" s="31"/>
      <c r="P212" s="31"/>
      <c r="Q212" s="31"/>
      <c r="R212" s="31"/>
      <c r="S212" s="31"/>
    </row>
    <row r="213" spans="1:19" ht="15.75">
      <c r="A213" s="31"/>
      <c r="B213" s="850" t="s">
        <v>531</v>
      </c>
      <c r="C213" s="851"/>
      <c r="D213" s="466">
        <v>0</v>
      </c>
      <c r="E213" s="471"/>
      <c r="F213" s="471"/>
      <c r="G213" s="472"/>
      <c r="H213" s="471"/>
      <c r="I213" s="471"/>
      <c r="J213" s="472"/>
      <c r="K213" s="472"/>
      <c r="L213" s="31"/>
      <c r="M213" s="31"/>
      <c r="N213" s="31"/>
      <c r="O213" s="31"/>
      <c r="P213" s="31"/>
      <c r="Q213" s="31"/>
      <c r="R213" s="31"/>
      <c r="S213" s="31"/>
    </row>
    <row r="214" spans="1:19">
      <c r="A214" s="31"/>
      <c r="B214" s="31"/>
      <c r="C214" s="31"/>
      <c r="D214" s="473"/>
      <c r="E214" s="473"/>
      <c r="F214" s="473"/>
      <c r="G214" s="473"/>
      <c r="H214" s="473"/>
      <c r="I214" s="473"/>
      <c r="J214" s="473"/>
      <c r="K214" s="473"/>
      <c r="L214" s="31"/>
      <c r="M214" s="31"/>
      <c r="N214" s="31"/>
      <c r="O214" s="31"/>
      <c r="P214" s="31"/>
      <c r="Q214" s="31"/>
      <c r="R214" s="31"/>
      <c r="S214" s="31"/>
    </row>
    <row r="215" spans="1:19" ht="18">
      <c r="A215" s="31"/>
      <c r="B215" s="852" t="s">
        <v>464</v>
      </c>
      <c r="C215" s="853"/>
      <c r="D215" s="474">
        <f>canthormed*64.73</f>
        <v>2330.2800000000002</v>
      </c>
      <c r="E215" s="475"/>
      <c r="F215" s="475"/>
      <c r="G215" s="475"/>
      <c r="H215" s="475"/>
      <c r="I215" s="475"/>
      <c r="J215" s="475"/>
      <c r="K215" s="475"/>
      <c r="L215" s="31"/>
      <c r="M215" s="31"/>
      <c r="N215" s="31"/>
      <c r="O215" s="31"/>
      <c r="P215" s="31"/>
      <c r="Q215" s="31"/>
      <c r="R215" s="31"/>
      <c r="S215" s="31"/>
    </row>
    <row r="216" spans="1:19" ht="18">
      <c r="A216" s="31"/>
      <c r="B216" s="55"/>
      <c r="C216" s="56"/>
      <c r="D216" s="55"/>
      <c r="E216" s="55"/>
      <c r="F216" s="55"/>
      <c r="G216" s="55"/>
      <c r="H216" s="55"/>
      <c r="I216" s="55"/>
      <c r="J216" s="55"/>
      <c r="K216" s="22"/>
      <c r="L216" s="31"/>
      <c r="M216" s="31"/>
      <c r="N216" s="31"/>
      <c r="O216" s="31"/>
      <c r="P216" s="31"/>
      <c r="Q216" s="31"/>
      <c r="R216" s="31"/>
      <c r="S216" s="31"/>
    </row>
    <row r="217" spans="1:19" ht="20.25">
      <c r="A217" s="31"/>
      <c r="B217" s="476"/>
      <c r="C217" s="31"/>
      <c r="D217" s="476"/>
      <c r="E217" s="865">
        <v>46143</v>
      </c>
      <c r="F217" s="866">
        <v>3.5000000000000003E-2</v>
      </c>
      <c r="G217" s="867"/>
      <c r="H217" s="865">
        <v>46054</v>
      </c>
      <c r="I217" s="866">
        <v>0</v>
      </c>
      <c r="J217" s="867"/>
      <c r="K217" s="865">
        <v>45992</v>
      </c>
      <c r="L217" s="23"/>
      <c r="M217" s="21"/>
      <c r="N217" s="31"/>
      <c r="O217" s="31"/>
      <c r="P217" s="31"/>
      <c r="Q217" s="31"/>
      <c r="R217" s="31"/>
      <c r="S217" s="31"/>
    </row>
    <row r="218" spans="1:19">
      <c r="A218" s="31"/>
      <c r="B218" s="477" t="s">
        <v>468</v>
      </c>
      <c r="C218" s="478" t="s">
        <v>469</v>
      </c>
      <c r="D218" s="479" t="s">
        <v>470</v>
      </c>
      <c r="E218" s="479"/>
      <c r="F218" s="479"/>
      <c r="G218" s="479"/>
      <c r="H218" s="479"/>
      <c r="I218" s="479"/>
      <c r="J218" s="479"/>
      <c r="K218" s="479"/>
      <c r="L218" s="479"/>
      <c r="M218" s="479"/>
      <c r="N218" s="31"/>
      <c r="O218" s="31"/>
      <c r="P218" s="31"/>
      <c r="Q218" s="31"/>
      <c r="R218" s="31"/>
      <c r="S218" s="31"/>
    </row>
    <row r="219" spans="1:19">
      <c r="A219" s="31"/>
      <c r="B219" s="480">
        <v>4</v>
      </c>
      <c r="C219" s="481">
        <f>canthormed</f>
        <v>36</v>
      </c>
      <c r="D219" s="482" t="s">
        <v>532</v>
      </c>
      <c r="E219" s="483">
        <f t="shared" ref="E219:E228" si="47">E282</f>
        <v>636792.81926400005</v>
      </c>
      <c r="F219" s="484"/>
      <c r="G219" s="485"/>
      <c r="H219" s="483">
        <f t="shared" ref="H219:H228" si="48">H282</f>
        <v>615258.64407461567</v>
      </c>
      <c r="I219" s="484"/>
      <c r="J219" s="485"/>
      <c r="K219" s="483">
        <f t="shared" ref="K219:K228" si="49">K282</f>
        <v>615258.64407461567</v>
      </c>
      <c r="L219" s="484"/>
      <c r="M219" s="485"/>
      <c r="N219" s="31"/>
      <c r="O219" s="31"/>
      <c r="P219" s="31"/>
      <c r="Q219" s="31"/>
      <c r="R219" s="31"/>
      <c r="S219" s="31"/>
    </row>
    <row r="220" spans="1:19">
      <c r="A220" s="31"/>
      <c r="B220" s="486">
        <v>10</v>
      </c>
      <c r="C220" s="487">
        <f>porantighormed</f>
        <v>1.2</v>
      </c>
      <c r="D220" s="249" t="s">
        <v>480</v>
      </c>
      <c r="E220" s="488">
        <f t="shared" si="47"/>
        <v>794151.38311679999</v>
      </c>
      <c r="F220" s="489"/>
      <c r="G220" s="485"/>
      <c r="H220" s="488">
        <f t="shared" si="48"/>
        <v>768310.37288953876</v>
      </c>
      <c r="I220" s="489"/>
      <c r="J220" s="485"/>
      <c r="K220" s="488">
        <f t="shared" si="49"/>
        <v>768310.37288953876</v>
      </c>
      <c r="L220" s="489"/>
      <c r="M220" s="485"/>
      <c r="N220" s="31"/>
      <c r="O220" s="31"/>
      <c r="P220" s="31"/>
      <c r="Q220" s="31"/>
      <c r="R220" s="31"/>
      <c r="S220" s="31"/>
    </row>
    <row r="221" spans="1:19" ht="15.75">
      <c r="A221" s="31"/>
      <c r="B221" s="480">
        <v>6</v>
      </c>
      <c r="C221" s="490">
        <f>C284</f>
        <v>36</v>
      </c>
      <c r="D221" s="482" t="s">
        <v>479</v>
      </c>
      <c r="E221" s="483">
        <f t="shared" si="47"/>
        <v>159157.20779999997</v>
      </c>
      <c r="F221" s="484"/>
      <c r="G221" s="485"/>
      <c r="H221" s="483">
        <f t="shared" si="48"/>
        <v>153775.07999999999</v>
      </c>
      <c r="I221" s="484"/>
      <c r="J221" s="485"/>
      <c r="K221" s="483">
        <f t="shared" si="49"/>
        <v>153775.07999999999</v>
      </c>
      <c r="L221" s="484"/>
      <c r="M221" s="485"/>
      <c r="N221" s="31"/>
      <c r="O221" s="31"/>
      <c r="P221" s="31"/>
      <c r="Q221" s="31"/>
      <c r="R221" s="31"/>
      <c r="S221" s="31"/>
    </row>
    <row r="222" spans="1:19">
      <c r="A222" s="31"/>
      <c r="B222" s="486">
        <v>14</v>
      </c>
      <c r="C222" s="487">
        <v>7.0000000000000007E-2</v>
      </c>
      <c r="D222" s="249" t="s">
        <v>533</v>
      </c>
      <c r="E222" s="488">
        <f t="shared" si="47"/>
        <v>11141.004546</v>
      </c>
      <c r="F222" s="489"/>
      <c r="G222" s="485"/>
      <c r="H222" s="488">
        <f t="shared" si="48"/>
        <v>10764.2556</v>
      </c>
      <c r="I222" s="489"/>
      <c r="J222" s="485"/>
      <c r="K222" s="488">
        <f t="shared" si="49"/>
        <v>10764.2556</v>
      </c>
      <c r="L222" s="489"/>
      <c r="M222" s="485"/>
      <c r="N222" s="31"/>
      <c r="O222" s="31"/>
      <c r="P222" s="31"/>
      <c r="Q222" s="31"/>
      <c r="R222" s="31"/>
      <c r="S222" s="31"/>
    </row>
    <row r="223" spans="1:19" ht="15.75">
      <c r="A223" s="31"/>
      <c r="B223" s="480">
        <v>18</v>
      </c>
      <c r="C223" s="490">
        <f>C286</f>
        <v>18</v>
      </c>
      <c r="D223" s="491" t="s">
        <v>534</v>
      </c>
      <c r="E223" s="483">
        <f t="shared" si="47"/>
        <v>63372.014999999992</v>
      </c>
      <c r="F223" s="484"/>
      <c r="G223" s="485"/>
      <c r="H223" s="483">
        <f t="shared" si="48"/>
        <v>61229</v>
      </c>
      <c r="I223" s="484"/>
      <c r="J223" s="485"/>
      <c r="K223" s="483">
        <f t="shared" si="49"/>
        <v>61229</v>
      </c>
      <c r="L223" s="484"/>
      <c r="M223" s="485"/>
      <c r="N223" s="31"/>
      <c r="O223" s="31"/>
      <c r="P223" s="31"/>
      <c r="Q223" s="31"/>
      <c r="R223" s="31"/>
      <c r="S223" s="31"/>
    </row>
    <row r="224" spans="1:19">
      <c r="A224" s="31"/>
      <c r="B224" s="486">
        <v>188</v>
      </c>
      <c r="C224" s="487">
        <v>7.0000000000000007E-2</v>
      </c>
      <c r="D224" s="249" t="s">
        <v>482</v>
      </c>
      <c r="E224" s="488">
        <f t="shared" si="47"/>
        <v>116701.25791665602</v>
      </c>
      <c r="F224" s="489"/>
      <c r="G224" s="485"/>
      <c r="H224" s="488">
        <f t="shared" si="48"/>
        <v>113129.03118749081</v>
      </c>
      <c r="I224" s="489"/>
      <c r="J224" s="485"/>
      <c r="K224" s="488">
        <f t="shared" si="49"/>
        <v>113129.03118749081</v>
      </c>
      <c r="L224" s="489"/>
      <c r="M224" s="485"/>
      <c r="N224" s="31"/>
      <c r="O224" s="31"/>
      <c r="P224" s="31"/>
      <c r="Q224" s="31"/>
      <c r="R224" s="31"/>
      <c r="S224" s="31"/>
    </row>
    <row r="225" spans="1:19">
      <c r="A225" s="31"/>
      <c r="B225" s="492">
        <v>78</v>
      </c>
      <c r="C225" s="493">
        <v>0</v>
      </c>
      <c r="D225" s="246" t="s">
        <v>485</v>
      </c>
      <c r="E225" s="483">
        <f t="shared" si="47"/>
        <v>0</v>
      </c>
      <c r="F225" s="484"/>
      <c r="G225" s="485"/>
      <c r="H225" s="483">
        <f t="shared" si="48"/>
        <v>0</v>
      </c>
      <c r="I225" s="484"/>
      <c r="J225" s="485"/>
      <c r="K225" s="483">
        <f t="shared" si="49"/>
        <v>0</v>
      </c>
      <c r="L225" s="484"/>
      <c r="M225" s="485"/>
      <c r="N225" s="31"/>
      <c r="O225" s="31"/>
      <c r="P225" s="31"/>
      <c r="Q225" s="31"/>
      <c r="R225" s="31"/>
      <c r="S225" s="31"/>
    </row>
    <row r="226" spans="1:19" ht="15.75">
      <c r="A226" s="31"/>
      <c r="B226" s="486">
        <v>29</v>
      </c>
      <c r="C226" s="494">
        <f>C289</f>
        <v>0</v>
      </c>
      <c r="D226" s="249" t="s">
        <v>489</v>
      </c>
      <c r="E226" s="488">
        <f t="shared" si="47"/>
        <v>0</v>
      </c>
      <c r="F226" s="495" t="s">
        <v>535</v>
      </c>
      <c r="G226" s="485"/>
      <c r="H226" s="488">
        <f t="shared" si="48"/>
        <v>0</v>
      </c>
      <c r="I226" s="495" t="s">
        <v>535</v>
      </c>
      <c r="J226" s="485"/>
      <c r="K226" s="488">
        <f t="shared" si="49"/>
        <v>0</v>
      </c>
      <c r="L226" s="495" t="s">
        <v>535</v>
      </c>
      <c r="M226" s="485"/>
      <c r="N226" s="31"/>
      <c r="O226" s="31"/>
      <c r="P226" s="31"/>
      <c r="Q226" s="31"/>
      <c r="R226" s="31"/>
      <c r="S226" s="31"/>
    </row>
    <row r="227" spans="1:19" ht="15.75">
      <c r="A227" s="31"/>
      <c r="B227" s="480">
        <v>117</v>
      </c>
      <c r="C227" s="496"/>
      <c r="D227" s="482" t="s">
        <v>487</v>
      </c>
      <c r="E227" s="483">
        <f t="shared" si="47"/>
        <v>44759.609999999993</v>
      </c>
      <c r="F227" s="497"/>
      <c r="G227" s="485"/>
      <c r="H227" s="483">
        <f t="shared" si="48"/>
        <v>43246</v>
      </c>
      <c r="I227" s="497"/>
      <c r="J227" s="485"/>
      <c r="K227" s="483">
        <f t="shared" si="49"/>
        <v>43246</v>
      </c>
      <c r="L227" s="497"/>
      <c r="M227" s="485"/>
      <c r="N227" s="31"/>
      <c r="O227" s="31"/>
      <c r="P227" s="31"/>
      <c r="Q227" s="31"/>
      <c r="R227" s="31"/>
      <c r="S227" s="31"/>
    </row>
    <row r="228" spans="1:19" ht="16.5" thickBot="1">
      <c r="A228" s="31"/>
      <c r="B228" s="498">
        <v>38</v>
      </c>
      <c r="C228" s="499">
        <f>D212</f>
        <v>15</v>
      </c>
      <c r="D228" s="500" t="s">
        <v>536</v>
      </c>
      <c r="E228" s="488">
        <f t="shared" si="47"/>
        <v>103085</v>
      </c>
      <c r="F228" s="489"/>
      <c r="G228" s="485"/>
      <c r="H228" s="488">
        <f t="shared" si="48"/>
        <v>103085</v>
      </c>
      <c r="I228" s="489"/>
      <c r="J228" s="485"/>
      <c r="K228" s="488">
        <f t="shared" si="49"/>
        <v>103085</v>
      </c>
      <c r="L228" s="489"/>
      <c r="M228" s="485"/>
      <c r="N228" s="31"/>
      <c r="O228" s="31"/>
      <c r="P228" s="31"/>
      <c r="Q228" s="31"/>
      <c r="R228" s="31"/>
      <c r="S228" s="31"/>
    </row>
    <row r="229" spans="1:19" ht="16.5" thickBot="1">
      <c r="A229" s="31"/>
      <c r="B229" s="373">
        <v>25</v>
      </c>
      <c r="C229" s="501">
        <v>1</v>
      </c>
      <c r="D229" s="374" t="s">
        <v>488</v>
      </c>
      <c r="E229" s="502">
        <f>E292</f>
        <v>25000</v>
      </c>
      <c r="F229" s="489"/>
      <c r="G229" s="485"/>
      <c r="H229" s="502">
        <f>H292</f>
        <v>25000</v>
      </c>
      <c r="I229" s="489"/>
      <c r="J229" s="485"/>
      <c r="K229" s="502">
        <f>K292</f>
        <v>25000</v>
      </c>
      <c r="L229" s="489"/>
      <c r="M229" s="485"/>
      <c r="N229" s="31"/>
      <c r="O229" s="31"/>
      <c r="P229" s="31"/>
      <c r="Q229" s="31"/>
      <c r="R229" s="31"/>
      <c r="S229" s="31"/>
    </row>
    <row r="230" spans="1:19" ht="15.75">
      <c r="A230" s="31"/>
      <c r="B230" s="498"/>
      <c r="C230" s="499"/>
      <c r="D230" s="500"/>
      <c r="E230" s="488"/>
      <c r="F230" s="489"/>
      <c r="G230" s="485"/>
      <c r="H230" s="488"/>
      <c r="I230" s="489"/>
      <c r="J230" s="485"/>
      <c r="K230" s="488"/>
      <c r="L230" s="489"/>
      <c r="M230" s="485"/>
      <c r="N230" s="31"/>
      <c r="O230" s="31"/>
      <c r="P230" s="31"/>
      <c r="Q230" s="31"/>
      <c r="R230" s="31"/>
      <c r="S230" s="31"/>
    </row>
    <row r="231" spans="1:19" ht="15.75">
      <c r="A231" s="31"/>
      <c r="B231" s="492"/>
      <c r="C231" s="503"/>
      <c r="D231" s="284" t="s">
        <v>537</v>
      </c>
      <c r="E231" s="504">
        <f>E293</f>
        <v>1954160.2976434561</v>
      </c>
      <c r="F231" s="484"/>
      <c r="G231" s="485"/>
      <c r="H231" s="504">
        <f>H293</f>
        <v>1893797.3837516452</v>
      </c>
      <c r="I231" s="484"/>
      <c r="J231" s="485"/>
      <c r="K231" s="504">
        <f>K293</f>
        <v>1893797.3837516452</v>
      </c>
      <c r="L231" s="484"/>
      <c r="M231" s="485"/>
      <c r="N231" s="31"/>
      <c r="O231" s="31"/>
      <c r="P231" s="31"/>
      <c r="Q231" s="31"/>
      <c r="R231" s="31"/>
      <c r="S231" s="31"/>
    </row>
    <row r="232" spans="1:19">
      <c r="A232" s="31"/>
      <c r="B232" s="505" t="s">
        <v>538</v>
      </c>
      <c r="C232" s="272"/>
      <c r="D232" s="273"/>
      <c r="E232" s="506">
        <v>0</v>
      </c>
      <c r="F232" s="489"/>
      <c r="G232" s="485"/>
      <c r="H232" s="506">
        <v>0</v>
      </c>
      <c r="I232" s="489"/>
      <c r="J232" s="485"/>
      <c r="K232" s="506">
        <v>0</v>
      </c>
      <c r="L232" s="489"/>
      <c r="M232" s="485"/>
      <c r="N232" s="31"/>
      <c r="O232" s="31"/>
      <c r="P232" s="31"/>
      <c r="Q232" s="31"/>
      <c r="R232" s="31"/>
      <c r="S232" s="31"/>
    </row>
    <row r="233" spans="1:19" ht="15.75">
      <c r="A233" s="31"/>
      <c r="B233" s="492">
        <v>184</v>
      </c>
      <c r="C233" s="507">
        <f>C295</f>
        <v>29.999999999999996</v>
      </c>
      <c r="D233" s="246" t="s">
        <v>493</v>
      </c>
      <c r="E233" s="483">
        <f t="shared" ref="E233:E236" si="50">E295</f>
        <v>73504.799999999988</v>
      </c>
      <c r="F233" s="484"/>
      <c r="G233" s="485"/>
      <c r="H233" s="483">
        <f t="shared" ref="B233:H236" si="51">H295</f>
        <v>73504.799999999988</v>
      </c>
      <c r="I233" s="484"/>
      <c r="J233" s="485"/>
      <c r="K233" s="483">
        <f t="shared" ref="K233:K234" si="52">K295</f>
        <v>73504.799999999988</v>
      </c>
      <c r="L233" s="484"/>
      <c r="M233" s="485"/>
      <c r="N233" s="31"/>
      <c r="O233" s="31"/>
      <c r="P233" s="31"/>
      <c r="Q233" s="31"/>
      <c r="R233" s="31"/>
      <c r="S233" s="31"/>
    </row>
    <row r="234" spans="1:19" ht="15.75">
      <c r="A234" s="31"/>
      <c r="B234" s="492">
        <v>204</v>
      </c>
      <c r="C234" s="507">
        <f>C296</f>
        <v>30</v>
      </c>
      <c r="D234" s="246" t="s">
        <v>494</v>
      </c>
      <c r="E234" s="483">
        <f t="shared" si="50"/>
        <v>54907.199999999997</v>
      </c>
      <c r="F234" s="484"/>
      <c r="G234" s="485"/>
      <c r="H234" s="483">
        <f t="shared" si="51"/>
        <v>54907.199999999997</v>
      </c>
      <c r="I234" s="484"/>
      <c r="J234" s="485"/>
      <c r="K234" s="483">
        <f t="shared" si="52"/>
        <v>54907.199999999997</v>
      </c>
      <c r="L234" s="484"/>
      <c r="M234" s="485"/>
      <c r="N234" s="31"/>
      <c r="O234" s="31"/>
      <c r="P234" s="31"/>
      <c r="Q234" s="31"/>
      <c r="R234" s="31"/>
      <c r="S234" s="31"/>
    </row>
    <row r="235" spans="1:19" ht="15.75">
      <c r="A235" s="31"/>
      <c r="B235" s="508" t="str">
        <f t="shared" si="51"/>
        <v>Negro</v>
      </c>
      <c r="C235" s="509">
        <f t="shared" si="51"/>
        <v>15</v>
      </c>
      <c r="D235" s="508" t="str">
        <f t="shared" si="51"/>
        <v>Nuevo Monto en Negro</v>
      </c>
      <c r="E235" s="510">
        <f t="shared" si="50"/>
        <v>60000</v>
      </c>
      <c r="F235" s="484"/>
      <c r="G235" s="485"/>
      <c r="H235" s="510">
        <f t="shared" si="51"/>
        <v>60000</v>
      </c>
      <c r="I235" s="484"/>
      <c r="J235" s="485"/>
      <c r="K235" s="511"/>
      <c r="L235" s="484"/>
      <c r="M235" s="485"/>
      <c r="N235" s="31"/>
      <c r="O235" s="31"/>
      <c r="P235" s="31"/>
      <c r="Q235" s="31"/>
      <c r="R235" s="31"/>
      <c r="S235" s="31"/>
    </row>
    <row r="236" spans="1:19">
      <c r="A236" s="31"/>
      <c r="B236" s="486"/>
      <c r="C236" s="512"/>
      <c r="D236" s="275" t="s">
        <v>539</v>
      </c>
      <c r="E236" s="513">
        <f t="shared" si="50"/>
        <v>2142572.2976434561</v>
      </c>
      <c r="F236" s="489"/>
      <c r="G236" s="485"/>
      <c r="H236" s="513">
        <f t="shared" si="51"/>
        <v>2082209.3837516452</v>
      </c>
      <c r="I236" s="489"/>
      <c r="J236" s="485"/>
      <c r="K236" s="513">
        <f t="shared" ref="K236" si="53">K298</f>
        <v>2022209.3837516452</v>
      </c>
      <c r="L236" s="489"/>
      <c r="M236" s="485"/>
      <c r="N236" s="31"/>
      <c r="O236" s="31"/>
      <c r="P236" s="31"/>
      <c r="Q236" s="31"/>
      <c r="R236" s="31"/>
      <c r="S236" s="31"/>
    </row>
    <row r="237" spans="1:19">
      <c r="A237" s="31"/>
      <c r="B237" s="492">
        <v>440</v>
      </c>
      <c r="C237" s="514"/>
      <c r="D237" s="246" t="s">
        <v>498</v>
      </c>
      <c r="E237" s="515">
        <v>0</v>
      </c>
      <c r="F237" s="516">
        <f t="shared" ref="F237:F242" si="54">F299</f>
        <v>0</v>
      </c>
      <c r="G237" s="485"/>
      <c r="H237" s="515">
        <v>0</v>
      </c>
      <c r="I237" s="516">
        <f t="shared" ref="I237:I242" si="55">I299</f>
        <v>0</v>
      </c>
      <c r="J237" s="485"/>
      <c r="K237" s="515">
        <v>0</v>
      </c>
      <c r="L237" s="516">
        <f t="shared" ref="L237:L242" si="56">L299</f>
        <v>0</v>
      </c>
      <c r="M237" s="485"/>
      <c r="N237" s="31"/>
      <c r="O237" s="31"/>
      <c r="P237" s="31"/>
      <c r="Q237" s="31"/>
      <c r="R237" s="31"/>
      <c r="S237" s="31"/>
    </row>
    <row r="238" spans="1:19">
      <c r="A238" s="31"/>
      <c r="B238" s="486">
        <v>502</v>
      </c>
      <c r="C238" s="287" t="s">
        <v>499</v>
      </c>
      <c r="D238" s="517" t="s">
        <v>540</v>
      </c>
      <c r="E238" s="488"/>
      <c r="F238" s="518">
        <f t="shared" si="54"/>
        <v>-371290.45655225666</v>
      </c>
      <c r="G238" s="485"/>
      <c r="H238" s="488"/>
      <c r="I238" s="518">
        <f t="shared" si="55"/>
        <v>-359821.50291281258</v>
      </c>
      <c r="J238" s="485"/>
      <c r="K238" s="488"/>
      <c r="L238" s="518">
        <f t="shared" si="56"/>
        <v>-359821.50291281258</v>
      </c>
      <c r="M238" s="485"/>
      <c r="N238" s="31"/>
      <c r="O238" s="31"/>
      <c r="P238" s="31"/>
      <c r="Q238" s="31"/>
      <c r="R238" s="31"/>
      <c r="S238" s="31"/>
    </row>
    <row r="239" spans="1:19">
      <c r="A239" s="31"/>
      <c r="B239" s="486">
        <v>505</v>
      </c>
      <c r="C239" s="486">
        <v>0.03</v>
      </c>
      <c r="D239" s="517" t="s">
        <v>541</v>
      </c>
      <c r="E239" s="488"/>
      <c r="F239" s="518">
        <f t="shared" si="54"/>
        <v>-58624.808929303683</v>
      </c>
      <c r="G239" s="485"/>
      <c r="H239" s="488"/>
      <c r="I239" s="518">
        <f t="shared" si="55"/>
        <v>-56813.921512549357</v>
      </c>
      <c r="J239" s="485"/>
      <c r="K239" s="488"/>
      <c r="L239" s="518">
        <f t="shared" si="56"/>
        <v>-56813.921512549357</v>
      </c>
      <c r="M239" s="485"/>
      <c r="N239" s="31"/>
      <c r="O239" s="31"/>
      <c r="P239" s="31"/>
      <c r="Q239" s="31"/>
      <c r="R239" s="31"/>
      <c r="S239" s="31"/>
    </row>
    <row r="240" spans="1:19">
      <c r="A240" s="31"/>
      <c r="B240" s="519">
        <v>332</v>
      </c>
      <c r="C240" s="520">
        <v>0</v>
      </c>
      <c r="D240" s="521" t="s">
        <v>503</v>
      </c>
      <c r="E240" s="483"/>
      <c r="F240" s="516">
        <f t="shared" si="54"/>
        <v>0</v>
      </c>
      <c r="G240" s="485"/>
      <c r="H240" s="483"/>
      <c r="I240" s="516">
        <f t="shared" si="55"/>
        <v>0</v>
      </c>
      <c r="J240" s="485"/>
      <c r="K240" s="483"/>
      <c r="L240" s="516">
        <f t="shared" si="56"/>
        <v>0</v>
      </c>
      <c r="M240" s="485"/>
      <c r="N240" s="31"/>
      <c r="O240" s="31"/>
      <c r="P240" s="31"/>
      <c r="Q240" s="31"/>
      <c r="R240" s="31"/>
      <c r="S240" s="31"/>
    </row>
    <row r="241" spans="1:19">
      <c r="A241" s="31"/>
      <c r="B241" s="522" t="s">
        <v>504</v>
      </c>
      <c r="C241" s="523">
        <v>0</v>
      </c>
      <c r="D241" s="524"/>
      <c r="E241" s="525"/>
      <c r="F241" s="526">
        <f t="shared" si="54"/>
        <v>0</v>
      </c>
      <c r="G241" s="485"/>
      <c r="H241" s="525"/>
      <c r="I241" s="526">
        <f t="shared" si="55"/>
        <v>0</v>
      </c>
      <c r="J241" s="485"/>
      <c r="K241" s="525"/>
      <c r="L241" s="526">
        <f t="shared" si="56"/>
        <v>0</v>
      </c>
      <c r="M241" s="485"/>
      <c r="N241" s="31"/>
      <c r="O241" s="31"/>
      <c r="P241" s="31"/>
      <c r="Q241" s="31"/>
      <c r="R241" s="31"/>
      <c r="S241" s="31"/>
    </row>
    <row r="242" spans="1:19">
      <c r="A242" s="31"/>
      <c r="B242" s="527"/>
      <c r="C242" s="528"/>
      <c r="D242" s="529" t="s">
        <v>505</v>
      </c>
      <c r="E242" s="530"/>
      <c r="F242" s="531">
        <f t="shared" si="54"/>
        <v>-429915.26548156032</v>
      </c>
      <c r="G242" s="485"/>
      <c r="H242" s="530"/>
      <c r="I242" s="531">
        <f t="shared" si="55"/>
        <v>-416635.42442536191</v>
      </c>
      <c r="J242" s="485"/>
      <c r="K242" s="530"/>
      <c r="L242" s="531">
        <f t="shared" si="56"/>
        <v>-416635.42442536191</v>
      </c>
      <c r="M242" s="485"/>
      <c r="N242" s="31"/>
      <c r="O242" s="31"/>
      <c r="P242" s="31"/>
      <c r="Q242" s="31"/>
      <c r="R242" s="31"/>
      <c r="S242" s="31"/>
    </row>
    <row r="243" spans="1:19">
      <c r="A243" s="31"/>
      <c r="B243" s="532"/>
      <c r="C243" s="296"/>
      <c r="D243" s="31"/>
      <c r="E243" s="530"/>
      <c r="F243" s="530"/>
      <c r="G243" s="297"/>
      <c r="H243" s="530"/>
      <c r="I243" s="530"/>
      <c r="J243" s="297"/>
      <c r="K243" s="530"/>
      <c r="L243" s="530"/>
      <c r="M243" s="297"/>
      <c r="N243" s="31"/>
      <c r="O243" s="31"/>
      <c r="P243" s="31"/>
      <c r="Q243" s="31"/>
      <c r="R243" s="31"/>
      <c r="S243" s="31"/>
    </row>
    <row r="244" spans="1:19" ht="19.5">
      <c r="A244" s="298"/>
      <c r="B244" s="533"/>
      <c r="C244" s="298"/>
      <c r="D244" s="534"/>
      <c r="E244" s="535" t="str">
        <f>E306</f>
        <v>Sueldo líquido</v>
      </c>
      <c r="F244" s="536">
        <f>F306</f>
        <v>1712657.0321618959</v>
      </c>
      <c r="G244" s="537"/>
      <c r="H244" s="535" t="str">
        <f>H306</f>
        <v>Sueldo líquido</v>
      </c>
      <c r="I244" s="536">
        <f>I306</f>
        <v>1665573.9593262833</v>
      </c>
      <c r="J244" s="537"/>
      <c r="K244" s="535" t="str">
        <f>K306</f>
        <v>Sueldo líquido</v>
      </c>
      <c r="L244" s="536">
        <f>L306</f>
        <v>1605573.9593262833</v>
      </c>
      <c r="M244" s="537"/>
      <c r="N244" s="298"/>
      <c r="O244" s="298"/>
      <c r="P244" s="298"/>
      <c r="Q244" s="298"/>
      <c r="R244" s="298"/>
      <c r="S244" s="298"/>
    </row>
    <row r="245" spans="1:19" ht="15.75">
      <c r="A245" s="31"/>
      <c r="B245" s="538"/>
      <c r="C245" s="31"/>
      <c r="D245" s="98"/>
      <c r="E245" s="539"/>
      <c r="F245" s="540"/>
      <c r="G245" s="541"/>
      <c r="H245" s="539"/>
      <c r="I245" s="540"/>
      <c r="J245" s="541"/>
      <c r="K245" s="539"/>
      <c r="L245" s="540"/>
      <c r="M245" s="541"/>
      <c r="N245" s="31"/>
      <c r="O245" s="31"/>
      <c r="P245" s="31"/>
      <c r="Q245" s="31"/>
      <c r="R245" s="31"/>
      <c r="S245" s="31"/>
    </row>
    <row r="246" spans="1:19" ht="15.75">
      <c r="A246" s="31"/>
      <c r="B246" s="78"/>
      <c r="C246" s="31"/>
      <c r="D246" s="98"/>
      <c r="E246" s="542"/>
      <c r="F246" s="543"/>
      <c r="G246" s="541"/>
      <c r="H246" s="542"/>
      <c r="I246" s="543"/>
      <c r="J246" s="541"/>
      <c r="K246" s="542"/>
      <c r="L246" s="543"/>
      <c r="M246" s="541"/>
      <c r="N246" s="31"/>
      <c r="O246" s="31"/>
      <c r="P246" s="31"/>
      <c r="Q246" s="31"/>
      <c r="R246" s="31"/>
      <c r="S246" s="31"/>
    </row>
    <row r="247" spans="1:19" ht="16.5" thickBot="1">
      <c r="A247" s="31"/>
      <c r="B247" s="78"/>
      <c r="C247" s="31"/>
      <c r="D247" s="98"/>
      <c r="E247" s="544"/>
      <c r="F247" s="545"/>
      <c r="G247" s="541"/>
      <c r="H247" s="544"/>
      <c r="I247" s="545"/>
      <c r="J247" s="541"/>
      <c r="K247" s="544"/>
      <c r="L247" s="545"/>
      <c r="M247" s="541"/>
      <c r="N247" s="31"/>
      <c r="O247" s="31"/>
      <c r="P247" s="31"/>
      <c r="Q247" s="31"/>
      <c r="R247" s="31"/>
      <c r="S247" s="31"/>
    </row>
    <row r="248" spans="1:19" ht="18">
      <c r="A248" s="31"/>
      <c r="B248" s="546"/>
      <c r="C248" s="98"/>
      <c r="D248" s="547"/>
      <c r="E248" s="548" t="str">
        <f>E308</f>
        <v>Aumento del mes</v>
      </c>
      <c r="F248" s="307">
        <f>F308</f>
        <v>47083.072835612576</v>
      </c>
      <c r="G248" s="549"/>
      <c r="H248" s="548" t="str">
        <f>H308</f>
        <v>Aumento del mes</v>
      </c>
      <c r="I248" s="307">
        <f>I308</f>
        <v>60000</v>
      </c>
      <c r="J248" s="549"/>
      <c r="K248" s="548" t="str">
        <f>K308</f>
        <v>Aumento del mes</v>
      </c>
      <c r="L248" s="307">
        <f>L308</f>
        <v>0</v>
      </c>
      <c r="M248" s="549"/>
      <c r="N248" s="31"/>
      <c r="O248" s="31"/>
      <c r="P248" s="31"/>
      <c r="Q248" s="31"/>
      <c r="R248" s="31"/>
      <c r="S248" s="31"/>
    </row>
    <row r="249" spans="1:19" ht="18.75" thickBot="1">
      <c r="A249" s="31"/>
      <c r="B249" s="546"/>
      <c r="C249" s="98"/>
      <c r="D249" s="191"/>
      <c r="E249" s="550" t="str">
        <f>E309</f>
        <v>Porc resp a anterior</v>
      </c>
      <c r="F249" s="309">
        <f>F309</f>
        <v>2.826837713928804E-2</v>
      </c>
      <c r="G249" s="549"/>
      <c r="H249" s="550" t="str">
        <f>H309</f>
        <v>Porc resp a anterior</v>
      </c>
      <c r="I249" s="309">
        <f>I309</f>
        <v>3.7369813860942708E-2</v>
      </c>
      <c r="J249" s="549"/>
      <c r="K249" s="550" t="str">
        <f>K309</f>
        <v>Porc resp a anterior</v>
      </c>
      <c r="L249" s="309">
        <f>L309</f>
        <v>0</v>
      </c>
      <c r="M249" s="549"/>
      <c r="N249" s="31"/>
      <c r="O249" s="31"/>
      <c r="P249" s="31"/>
      <c r="Q249" s="31"/>
      <c r="R249" s="31"/>
      <c r="S249" s="31"/>
    </row>
    <row r="250" spans="1:19" ht="16.5" thickBot="1">
      <c r="A250" s="31"/>
      <c r="B250" s="546"/>
      <c r="C250" s="98"/>
      <c r="D250" s="87"/>
      <c r="E250" s="551"/>
      <c r="F250" s="552"/>
      <c r="G250" s="549"/>
      <c r="H250" s="551"/>
      <c r="I250" s="552"/>
      <c r="J250" s="549"/>
      <c r="K250" s="551"/>
      <c r="L250" s="552"/>
      <c r="M250" s="549"/>
      <c r="N250" s="31"/>
      <c r="O250" s="31"/>
      <c r="P250" s="31"/>
      <c r="Q250" s="31"/>
      <c r="R250" s="31"/>
      <c r="S250" s="31"/>
    </row>
    <row r="251" spans="1:19" ht="18">
      <c r="A251" s="31"/>
      <c r="B251" s="546"/>
      <c r="C251" s="98"/>
      <c r="D251" s="305"/>
      <c r="E251" s="553" t="str">
        <f>E311</f>
        <v>Aumento acumulado anual</v>
      </c>
      <c r="F251" s="554">
        <f>F311</f>
        <v>107083.07283561258</v>
      </c>
      <c r="G251" s="549"/>
      <c r="H251" s="553" t="str">
        <f>H311</f>
        <v>Aumento acumulado anual</v>
      </c>
      <c r="I251" s="554">
        <f>I311</f>
        <v>60000</v>
      </c>
      <c r="J251" s="549"/>
      <c r="K251" s="553" t="str">
        <f>K311</f>
        <v>Aumento acumulado anual</v>
      </c>
      <c r="L251" s="554">
        <f>L311</f>
        <v>0</v>
      </c>
      <c r="M251" s="549"/>
      <c r="N251" s="31"/>
      <c r="O251" s="31"/>
      <c r="P251" s="31"/>
      <c r="Q251" s="31"/>
      <c r="R251" s="31"/>
      <c r="S251" s="31"/>
    </row>
    <row r="252" spans="1:19" ht="16.5" thickBot="1">
      <c r="A252" s="31"/>
      <c r="B252" s="546"/>
      <c r="C252" s="98"/>
      <c r="D252" s="31"/>
      <c r="E252" s="555" t="str">
        <f>E312</f>
        <v>Porcentaje acumulado</v>
      </c>
      <c r="F252" s="556">
        <f>F312</f>
        <v>6.6694574992076872E-2</v>
      </c>
      <c r="G252" s="549"/>
      <c r="H252" s="555" t="str">
        <f>H312</f>
        <v>Porcentaje acumulado</v>
      </c>
      <c r="I252" s="556">
        <f>I312</f>
        <v>3.7369813860942708E-2</v>
      </c>
      <c r="J252" s="549"/>
      <c r="K252" s="555" t="str">
        <f>K312</f>
        <v>Porcentaje acumulado</v>
      </c>
      <c r="L252" s="556">
        <f>L312</f>
        <v>0</v>
      </c>
      <c r="M252" s="549"/>
      <c r="N252" s="31"/>
      <c r="O252" s="31"/>
      <c r="P252" s="31"/>
      <c r="Q252" s="31"/>
      <c r="R252" s="31"/>
      <c r="S252" s="31"/>
    </row>
    <row r="253" spans="1:19" ht="16.5" thickBot="1">
      <c r="A253" s="31"/>
      <c r="B253" s="546"/>
      <c r="C253" s="98"/>
      <c r="D253" s="31"/>
      <c r="E253" s="557"/>
      <c r="F253" s="558"/>
      <c r="G253" s="549"/>
      <c r="H253" s="557"/>
      <c r="I253" s="558"/>
      <c r="J253" s="549"/>
      <c r="K253" s="557"/>
      <c r="L253" s="558"/>
      <c r="M253" s="549"/>
      <c r="N253" s="31"/>
      <c r="O253" s="31"/>
      <c r="P253" s="31"/>
      <c r="Q253" s="31"/>
      <c r="R253" s="31"/>
      <c r="S253" s="31"/>
    </row>
    <row r="254" spans="1:19" ht="15.75">
      <c r="A254" s="31"/>
      <c r="B254" s="546"/>
      <c r="C254" s="98"/>
      <c r="D254" s="547"/>
      <c r="E254" s="320" t="s">
        <v>506</v>
      </c>
      <c r="F254" s="559">
        <f>F314</f>
        <v>47083.072835612576</v>
      </c>
      <c r="G254" s="549"/>
      <c r="H254" s="320" t="s">
        <v>506</v>
      </c>
      <c r="I254" s="559">
        <f>I314</f>
        <v>0</v>
      </c>
      <c r="J254" s="549"/>
      <c r="K254" s="320" t="s">
        <v>506</v>
      </c>
      <c r="L254" s="559">
        <f>L314</f>
        <v>0</v>
      </c>
      <c r="M254" s="549"/>
      <c r="N254" s="31"/>
      <c r="O254" s="31"/>
      <c r="P254" s="31"/>
      <c r="Q254" s="31"/>
      <c r="R254" s="31"/>
      <c r="S254" s="31"/>
    </row>
    <row r="255" spans="1:19" ht="16.5" thickBot="1">
      <c r="A255" s="31"/>
      <c r="B255" s="546"/>
      <c r="C255" s="98"/>
      <c r="D255" s="547"/>
      <c r="E255" s="322" t="s">
        <v>513</v>
      </c>
      <c r="F255" s="323">
        <f>F315</f>
        <v>3.187400849199138E-2</v>
      </c>
      <c r="G255" s="549"/>
      <c r="H255" s="322" t="s">
        <v>513</v>
      </c>
      <c r="I255" s="323">
        <f>I315</f>
        <v>0</v>
      </c>
      <c r="J255" s="549"/>
      <c r="K255" s="322" t="s">
        <v>513</v>
      </c>
      <c r="L255" s="323">
        <f>L315</f>
        <v>0</v>
      </c>
      <c r="M255" s="549"/>
      <c r="N255" s="31"/>
      <c r="O255" s="31"/>
      <c r="P255" s="31"/>
      <c r="Q255" s="31"/>
      <c r="R255" s="31"/>
      <c r="S255" s="31"/>
    </row>
    <row r="256" spans="1:19" ht="16.5" thickBot="1">
      <c r="A256" s="31"/>
      <c r="B256" s="546"/>
      <c r="C256" s="98"/>
      <c r="D256" s="547"/>
      <c r="E256" s="560"/>
      <c r="F256" s="561"/>
      <c r="G256" s="549"/>
      <c r="H256" s="560"/>
      <c r="I256" s="561"/>
      <c r="J256" s="549"/>
      <c r="K256" s="562"/>
      <c r="L256" s="563"/>
      <c r="M256" s="549"/>
      <c r="N256" s="31"/>
      <c r="O256" s="31"/>
      <c r="P256" s="31"/>
      <c r="Q256" s="31"/>
      <c r="R256" s="31"/>
      <c r="S256" s="31"/>
    </row>
    <row r="257" spans="1:19" ht="16.5" thickBot="1">
      <c r="A257" s="31"/>
      <c r="B257" s="546"/>
      <c r="C257" s="98"/>
      <c r="D257" s="547"/>
      <c r="E257" s="320" t="s">
        <v>515</v>
      </c>
      <c r="F257" s="564">
        <f t="shared" ref="F257:F258" si="57">F317</f>
        <v>47083.072835612576</v>
      </c>
      <c r="G257" s="549"/>
      <c r="H257" s="320" t="s">
        <v>515</v>
      </c>
      <c r="I257" s="564">
        <f t="shared" ref="I257:I258" si="58">I317</f>
        <v>0</v>
      </c>
      <c r="J257" s="549"/>
      <c r="K257" s="562"/>
      <c r="L257" s="563"/>
      <c r="M257" s="549"/>
      <c r="N257" s="31"/>
      <c r="O257" s="31"/>
      <c r="P257" s="31"/>
      <c r="Q257" s="31"/>
      <c r="R257" s="31"/>
      <c r="S257" s="31"/>
    </row>
    <row r="258" spans="1:19" ht="16.5" thickBot="1">
      <c r="A258" s="31"/>
      <c r="B258" s="546"/>
      <c r="C258" s="98"/>
      <c r="D258" s="547"/>
      <c r="E258" s="322" t="s">
        <v>507</v>
      </c>
      <c r="F258" s="565">
        <f t="shared" si="57"/>
        <v>3.187400849199138E-2</v>
      </c>
      <c r="G258" s="549"/>
      <c r="H258" s="322" t="s">
        <v>507</v>
      </c>
      <c r="I258" s="565">
        <f t="shared" si="58"/>
        <v>0</v>
      </c>
      <c r="J258" s="549"/>
      <c r="K258" s="562"/>
      <c r="L258" s="563"/>
      <c r="M258" s="549"/>
      <c r="N258" s="31"/>
      <c r="O258" s="31"/>
      <c r="P258" s="31"/>
      <c r="Q258" s="31"/>
      <c r="R258" s="31"/>
      <c r="S258" s="31"/>
    </row>
    <row r="259" spans="1:19" ht="16.5" thickBot="1">
      <c r="A259" s="31"/>
      <c r="B259" s="546"/>
      <c r="C259" s="98"/>
      <c r="D259" s="547"/>
      <c r="E259" s="544"/>
      <c r="F259" s="544"/>
      <c r="G259" s="549"/>
      <c r="H259" s="544"/>
      <c r="I259" s="544"/>
      <c r="J259" s="549"/>
      <c r="K259" s="544"/>
      <c r="L259" s="544"/>
      <c r="M259" s="549"/>
      <c r="N259" s="31"/>
      <c r="O259" s="31"/>
      <c r="P259" s="31"/>
      <c r="Q259" s="31"/>
      <c r="R259" s="31"/>
      <c r="S259" s="31"/>
    </row>
    <row r="260" spans="1:19" ht="16.5" thickTop="1">
      <c r="A260" s="31"/>
      <c r="B260" s="546"/>
      <c r="C260" s="98"/>
      <c r="D260" s="547"/>
      <c r="E260" s="324" t="str">
        <f t="shared" ref="E260:F265" si="59">E320</f>
        <v>Medio Aguinaldo</v>
      </c>
      <c r="F260" s="325"/>
      <c r="G260" s="549"/>
      <c r="H260" s="324" t="str">
        <f t="shared" ref="H260:I265" si="60">H320</f>
        <v>Medio Aguinaldo</v>
      </c>
      <c r="I260" s="325"/>
      <c r="J260" s="549"/>
      <c r="K260" s="324" t="str">
        <f t="shared" ref="K260:L265" si="61">K320</f>
        <v>Medio Aguinaldo</v>
      </c>
      <c r="L260" s="325"/>
      <c r="M260" s="549"/>
      <c r="N260" s="31"/>
      <c r="O260" s="31"/>
      <c r="P260" s="31"/>
      <c r="Q260" s="31"/>
      <c r="R260" s="31"/>
      <c r="S260" s="31"/>
    </row>
    <row r="261" spans="1:19" ht="15.75">
      <c r="A261" s="31"/>
      <c r="B261" s="546"/>
      <c r="C261" s="98"/>
      <c r="D261" s="547"/>
      <c r="E261" s="326" t="str">
        <f t="shared" si="59"/>
        <v>código 100</v>
      </c>
      <c r="F261" s="566">
        <f t="shared" si="59"/>
        <v>977080.14882172807</v>
      </c>
      <c r="G261" s="549"/>
      <c r="H261" s="326" t="str">
        <f t="shared" si="60"/>
        <v>código 100</v>
      </c>
      <c r="I261" s="566">
        <f t="shared" si="60"/>
        <v>946898.69187582261</v>
      </c>
      <c r="J261" s="549"/>
      <c r="K261" s="326" t="str">
        <f t="shared" si="61"/>
        <v>código 100</v>
      </c>
      <c r="L261" s="566">
        <f t="shared" si="61"/>
        <v>946898.69187582261</v>
      </c>
      <c r="M261" s="549"/>
      <c r="N261" s="31"/>
      <c r="O261" s="31"/>
      <c r="P261" s="31"/>
      <c r="Q261" s="31"/>
      <c r="R261" s="31"/>
      <c r="S261" s="31"/>
    </row>
    <row r="262" spans="1:19" ht="15.75">
      <c r="A262" s="31"/>
      <c r="B262" s="546"/>
      <c r="C262" s="98"/>
      <c r="D262" s="547"/>
      <c r="E262" s="567" t="str">
        <f t="shared" si="59"/>
        <v>código 186 (No remun)</v>
      </c>
      <c r="F262" s="568">
        <f t="shared" si="59"/>
        <v>0</v>
      </c>
      <c r="G262" s="549"/>
      <c r="H262" s="567" t="str">
        <f t="shared" si="60"/>
        <v>código 186 (No remun)</v>
      </c>
      <c r="I262" s="568">
        <f t="shared" si="60"/>
        <v>0</v>
      </c>
      <c r="J262" s="549"/>
      <c r="K262" s="567" t="str">
        <f t="shared" si="61"/>
        <v>código 186 (No remun)</v>
      </c>
      <c r="L262" s="568">
        <f t="shared" si="61"/>
        <v>0</v>
      </c>
      <c r="M262" s="549"/>
      <c r="N262" s="31"/>
      <c r="O262" s="31"/>
      <c r="P262" s="31"/>
      <c r="Q262" s="31"/>
      <c r="R262" s="31"/>
      <c r="S262" s="31"/>
    </row>
    <row r="263" spans="1:19" ht="15.75">
      <c r="A263" s="31"/>
      <c r="B263" s="546"/>
      <c r="C263" s="98"/>
      <c r="D263" s="569"/>
      <c r="E263" s="326" t="str">
        <f t="shared" si="59"/>
        <v>Líquido</v>
      </c>
      <c r="F263" s="328">
        <f t="shared" si="59"/>
        <v>762122.51608094794</v>
      </c>
      <c r="G263" s="549"/>
      <c r="H263" s="326" t="str">
        <f t="shared" si="60"/>
        <v>Líquido</v>
      </c>
      <c r="I263" s="328">
        <f t="shared" si="60"/>
        <v>738580.97966314165</v>
      </c>
      <c r="J263" s="549"/>
      <c r="K263" s="326" t="str">
        <f t="shared" si="61"/>
        <v>Líquido</v>
      </c>
      <c r="L263" s="328">
        <f t="shared" si="61"/>
        <v>738580.97966314165</v>
      </c>
      <c r="M263" s="549"/>
      <c r="N263" s="31"/>
      <c r="O263" s="31"/>
      <c r="P263" s="31"/>
      <c r="Q263" s="31"/>
      <c r="R263" s="31"/>
      <c r="S263" s="31"/>
    </row>
    <row r="264" spans="1:19" ht="15.75">
      <c r="A264" s="31"/>
      <c r="B264" s="546"/>
      <c r="C264" s="98"/>
      <c r="D264" s="547"/>
      <c r="E264" s="567" t="str">
        <f t="shared" si="59"/>
        <v>Descuentos con aguinaldo</v>
      </c>
      <c r="F264" s="568"/>
      <c r="G264" s="549"/>
      <c r="H264" s="567" t="str">
        <f t="shared" si="60"/>
        <v>Descuentos con aguinaldo</v>
      </c>
      <c r="I264" s="568"/>
      <c r="J264" s="549"/>
      <c r="K264" s="567" t="str">
        <f t="shared" si="61"/>
        <v>Descuentos con aguinaldo</v>
      </c>
      <c r="L264" s="568"/>
      <c r="M264" s="549"/>
      <c r="N264" s="31"/>
      <c r="O264" s="31"/>
      <c r="P264" s="31"/>
      <c r="Q264" s="31"/>
      <c r="R264" s="31"/>
      <c r="S264" s="31"/>
    </row>
    <row r="265" spans="1:19" ht="15.75">
      <c r="A265" s="31"/>
      <c r="B265" s="546"/>
      <c r="C265" s="98"/>
      <c r="D265" s="547"/>
      <c r="E265" s="326">
        <f t="shared" si="59"/>
        <v>502</v>
      </c>
      <c r="F265" s="328">
        <f>F325</f>
        <v>-556935.68482838501</v>
      </c>
      <c r="G265" s="549"/>
      <c r="H265" s="326">
        <f t="shared" si="60"/>
        <v>502</v>
      </c>
      <c r="I265" s="328">
        <f>I325</f>
        <v>-539732.25436921883</v>
      </c>
      <c r="J265" s="549"/>
      <c r="K265" s="326">
        <f t="shared" si="61"/>
        <v>502</v>
      </c>
      <c r="L265" s="328">
        <f>L325</f>
        <v>-539732.25436921883</v>
      </c>
      <c r="M265" s="549"/>
      <c r="N265" s="31"/>
      <c r="O265" s="31"/>
      <c r="P265" s="31"/>
      <c r="Q265" s="31"/>
      <c r="R265" s="31"/>
      <c r="S265" s="31"/>
    </row>
    <row r="266" spans="1:19" ht="15.75">
      <c r="A266" s="31"/>
      <c r="B266" s="546"/>
      <c r="C266" s="98"/>
      <c r="D266" s="547"/>
      <c r="E266" s="326">
        <f t="shared" ref="E266:F266" si="62">E327</f>
        <v>505</v>
      </c>
      <c r="F266" s="328">
        <f t="shared" si="62"/>
        <v>-87937.213393955521</v>
      </c>
      <c r="G266" s="549"/>
      <c r="H266" s="326">
        <f t="shared" ref="H266:I266" si="63">H327</f>
        <v>505</v>
      </c>
      <c r="I266" s="328">
        <f t="shared" si="63"/>
        <v>-85220.882268824018</v>
      </c>
      <c r="J266" s="549"/>
      <c r="K266" s="326">
        <f t="shared" ref="K266:L266" si="64">K327</f>
        <v>505</v>
      </c>
      <c r="L266" s="328">
        <f t="shared" si="64"/>
        <v>-85220.882268824018</v>
      </c>
      <c r="M266" s="549"/>
      <c r="N266" s="31"/>
      <c r="O266" s="31"/>
      <c r="P266" s="31"/>
      <c r="Q266" s="31"/>
      <c r="R266" s="31"/>
      <c r="S266" s="31"/>
    </row>
    <row r="267" spans="1:19" ht="15.75">
      <c r="A267" s="31"/>
      <c r="B267" s="546"/>
      <c r="C267" s="98"/>
      <c r="D267" s="547"/>
      <c r="E267" s="567"/>
      <c r="F267" s="568"/>
      <c r="G267" s="549"/>
      <c r="H267" s="567"/>
      <c r="I267" s="568"/>
      <c r="J267" s="549"/>
      <c r="K267" s="567"/>
      <c r="L267" s="568"/>
      <c r="M267" s="549"/>
      <c r="N267" s="31"/>
      <c r="O267" s="31"/>
      <c r="P267" s="31"/>
      <c r="Q267" s="31"/>
      <c r="R267" s="31"/>
      <c r="S267" s="31"/>
    </row>
    <row r="268" spans="1:19" ht="15.75">
      <c r="A268" s="31"/>
      <c r="B268" s="546"/>
      <c r="C268" s="98"/>
      <c r="D268" s="547"/>
      <c r="E268" s="326" t="str">
        <f t="shared" ref="E268" si="65">E329</f>
        <v>Sueldo líquido incluyendo aguinaldo</v>
      </c>
      <c r="F268" s="328"/>
      <c r="G268" s="549"/>
      <c r="H268" s="326" t="str">
        <f t="shared" ref="H268" si="66">H329</f>
        <v>Sueldo líquido incluyendo aguinaldo</v>
      </c>
      <c r="I268" s="328"/>
      <c r="J268" s="549"/>
      <c r="K268" s="326" t="str">
        <f t="shared" ref="K268" si="67">K329</f>
        <v>Sueldo líquido incluyendo aguinaldo</v>
      </c>
      <c r="L268" s="328"/>
      <c r="M268" s="549"/>
      <c r="N268" s="31"/>
      <c r="O268" s="31"/>
      <c r="P268" s="31"/>
      <c r="Q268" s="31"/>
      <c r="R268" s="31"/>
      <c r="S268" s="31"/>
    </row>
    <row r="269" spans="1:19" ht="15.75">
      <c r="A269" s="31"/>
      <c r="B269" s="546"/>
      <c r="C269" s="98"/>
      <c r="D269" s="547"/>
      <c r="E269" s="567"/>
      <c r="F269" s="570">
        <f t="shared" ref="F269" si="68">F330</f>
        <v>2474779.5482428437</v>
      </c>
      <c r="G269" s="549"/>
      <c r="H269" s="567"/>
      <c r="I269" s="570">
        <f t="shared" ref="I269" si="69">I330</f>
        <v>2404154.9389894246</v>
      </c>
      <c r="J269" s="549"/>
      <c r="K269" s="567"/>
      <c r="L269" s="570">
        <f t="shared" ref="L269" si="70">L330</f>
        <v>2344154.9389894246</v>
      </c>
      <c r="M269" s="549"/>
      <c r="N269" s="31"/>
      <c r="O269" s="31"/>
      <c r="P269" s="31"/>
      <c r="Q269" s="31"/>
      <c r="R269" s="31"/>
      <c r="S269" s="31"/>
    </row>
    <row r="270" spans="1:19" ht="15.75">
      <c r="A270" s="31"/>
      <c r="B270" s="546"/>
      <c r="C270" s="98"/>
      <c r="D270" s="547"/>
      <c r="E270" s="571" t="str">
        <f t="shared" ref="E270" si="71">E331</f>
        <v>Aguinaldo de bolsillo</v>
      </c>
      <c r="F270" s="328"/>
      <c r="G270" s="549"/>
      <c r="H270" s="571" t="str">
        <f t="shared" ref="H270" si="72">H331</f>
        <v>Aguinaldo de bolsillo</v>
      </c>
      <c r="I270" s="328"/>
      <c r="J270" s="549"/>
      <c r="K270" s="571" t="str">
        <f t="shared" ref="K270" si="73">K331</f>
        <v>Aguinaldo de bolsillo</v>
      </c>
      <c r="L270" s="328"/>
      <c r="M270" s="549"/>
      <c r="N270" s="31"/>
      <c r="O270" s="31"/>
      <c r="P270" s="31"/>
      <c r="Q270" s="31"/>
      <c r="R270" s="31"/>
      <c r="S270" s="31"/>
    </row>
    <row r="271" spans="1:19" ht="16.5" thickBot="1">
      <c r="A271" s="31"/>
      <c r="B271" s="546"/>
      <c r="C271" s="98"/>
      <c r="D271" s="547"/>
      <c r="E271" s="572"/>
      <c r="F271" s="573">
        <f t="shared" ref="F271" si="74">F332</f>
        <v>762122.51608094783</v>
      </c>
      <c r="G271" s="549"/>
      <c r="H271" s="572"/>
      <c r="I271" s="573">
        <f t="shared" ref="I271" si="75">I332</f>
        <v>738580.9796631413</v>
      </c>
      <c r="J271" s="549"/>
      <c r="K271" s="572"/>
      <c r="L271" s="573">
        <f t="shared" ref="L271" si="76">L332</f>
        <v>738580.9796631413</v>
      </c>
      <c r="M271" s="549"/>
      <c r="N271" s="31"/>
      <c r="O271" s="31"/>
      <c r="P271" s="31"/>
      <c r="Q271" s="31"/>
      <c r="R271" s="31"/>
      <c r="S271" s="31"/>
    </row>
    <row r="272" spans="1:19" ht="18.75" thickTop="1">
      <c r="A272" s="31"/>
      <c r="B272" s="546"/>
      <c r="C272" s="98"/>
      <c r="D272" s="547"/>
      <c r="E272" s="547"/>
      <c r="F272" s="547"/>
      <c r="G272" s="549"/>
      <c r="H272" s="547"/>
      <c r="I272" s="547"/>
      <c r="J272" s="549"/>
      <c r="K272" s="22">
        <v>45992</v>
      </c>
      <c r="L272" s="547"/>
      <c r="M272" s="549"/>
      <c r="N272" s="31"/>
      <c r="O272" s="31"/>
      <c r="P272" s="31"/>
      <c r="Q272" s="31"/>
      <c r="R272" s="31"/>
      <c r="S272" s="31"/>
    </row>
    <row r="273" spans="1:19" ht="20.25" hidden="1">
      <c r="A273" s="31"/>
      <c r="B273" s="31"/>
      <c r="C273" s="31"/>
      <c r="D273" s="31"/>
      <c r="E273" s="865">
        <v>46143</v>
      </c>
      <c r="F273" s="866">
        <v>3.5000000000000003E-2</v>
      </c>
      <c r="G273" s="867"/>
      <c r="H273" s="865">
        <v>46054</v>
      </c>
      <c r="I273" s="866">
        <v>0</v>
      </c>
      <c r="J273" s="867"/>
      <c r="K273" s="865">
        <v>45992</v>
      </c>
      <c r="L273" s="23" t="e">
        <f>(1+Aumentodic25respene25)*(1+Aumentoene25respdic24)-1</f>
        <v>#NAME?</v>
      </c>
      <c r="M273" s="21"/>
      <c r="N273" s="31"/>
      <c r="O273" s="31"/>
      <c r="P273" s="31"/>
      <c r="Q273" s="31"/>
      <c r="R273" s="31"/>
      <c r="S273" s="31"/>
    </row>
    <row r="274" spans="1:19" hidden="1">
      <c r="A274" s="31"/>
      <c r="B274" s="574"/>
      <c r="C274" s="574"/>
      <c r="D274" s="574"/>
      <c r="E274" s="574"/>
      <c r="F274" s="574"/>
      <c r="G274" s="575"/>
      <c r="H274" s="574"/>
      <c r="I274" s="574"/>
      <c r="J274" s="575"/>
      <c r="K274" s="574"/>
      <c r="L274" s="574"/>
      <c r="M274" s="575"/>
      <c r="N274" s="31"/>
      <c r="O274" s="31"/>
      <c r="P274" s="31"/>
      <c r="Q274" s="31"/>
      <c r="R274" s="31"/>
      <c r="S274" s="31"/>
    </row>
    <row r="275" spans="1:19" hidden="1">
      <c r="A275" s="31"/>
      <c r="B275" s="574"/>
      <c r="C275" s="574"/>
      <c r="D275" s="574"/>
      <c r="E275" s="574">
        <f>5141/15</f>
        <v>342.73333333333335</v>
      </c>
      <c r="F275" s="574"/>
      <c r="G275" s="575"/>
      <c r="H275" s="574">
        <f>5141/15</f>
        <v>342.73333333333335</v>
      </c>
      <c r="I275" s="574"/>
      <c r="J275" s="575"/>
      <c r="K275" s="574">
        <f>5141/15</f>
        <v>342.73333333333335</v>
      </c>
      <c r="L275" s="574"/>
      <c r="M275" s="575"/>
      <c r="N275" s="31"/>
      <c r="O275" s="31"/>
      <c r="P275" s="31"/>
      <c r="Q275" s="31"/>
      <c r="R275" s="31"/>
      <c r="S275" s="31"/>
    </row>
    <row r="276" spans="1:19" hidden="1">
      <c r="A276" s="31"/>
      <c r="B276" s="574"/>
      <c r="C276" s="574"/>
      <c r="D276" s="574"/>
      <c r="E276" s="574">
        <f>5141*2</f>
        <v>10282</v>
      </c>
      <c r="F276" s="574"/>
      <c r="G276" s="575"/>
      <c r="H276" s="574">
        <f>5141*2</f>
        <v>10282</v>
      </c>
      <c r="I276" s="574"/>
      <c r="J276" s="575"/>
      <c r="K276" s="574">
        <f>5141*2</f>
        <v>10282</v>
      </c>
      <c r="L276" s="574"/>
      <c r="M276" s="575"/>
      <c r="N276" s="31"/>
      <c r="O276" s="31"/>
      <c r="P276" s="31"/>
      <c r="Q276" s="31"/>
      <c r="R276" s="31"/>
      <c r="S276" s="31"/>
    </row>
    <row r="277" spans="1:19" hidden="1">
      <c r="A277" s="31"/>
      <c r="B277" s="574"/>
      <c r="C277" s="574"/>
      <c r="D277" s="574"/>
      <c r="E277" s="574"/>
      <c r="F277" s="574"/>
      <c r="G277" s="575"/>
      <c r="H277" s="574"/>
      <c r="I277" s="574"/>
      <c r="J277" s="575"/>
      <c r="K277" s="574"/>
      <c r="L277" s="574"/>
      <c r="M277" s="575"/>
      <c r="N277" s="31"/>
      <c r="O277" s="31"/>
      <c r="P277" s="31"/>
      <c r="Q277" s="31"/>
      <c r="R277" s="31"/>
      <c r="S277" s="31"/>
    </row>
    <row r="278" spans="1:19" hidden="1">
      <c r="A278" s="31"/>
      <c r="B278" s="574"/>
      <c r="C278" s="574"/>
      <c r="D278" s="576">
        <f>5353.23/30</f>
        <v>178.44099999999997</v>
      </c>
      <c r="E278" s="574"/>
      <c r="F278" s="574"/>
      <c r="G278" s="575"/>
      <c r="H278" s="574"/>
      <c r="I278" s="574"/>
      <c r="J278" s="575"/>
      <c r="K278" s="574"/>
      <c r="L278" s="574"/>
      <c r="M278" s="575"/>
      <c r="N278" s="31"/>
      <c r="O278" s="31"/>
      <c r="P278" s="31"/>
      <c r="Q278" s="31"/>
      <c r="R278" s="31"/>
      <c r="S278" s="31"/>
    </row>
    <row r="279" spans="1:19" ht="18" hidden="1">
      <c r="A279" s="31"/>
      <c r="B279" s="574"/>
      <c r="C279" s="574"/>
      <c r="D279" s="574"/>
      <c r="E279" s="574"/>
      <c r="F279" s="574"/>
      <c r="G279" s="575"/>
      <c r="H279" s="574"/>
      <c r="I279" s="574"/>
      <c r="J279" s="575"/>
      <c r="K279" s="22">
        <v>45992</v>
      </c>
      <c r="L279" s="574"/>
      <c r="M279" s="575"/>
      <c r="N279" s="31"/>
      <c r="O279" s="31"/>
      <c r="P279" s="31"/>
      <c r="Q279" s="31"/>
      <c r="R279" s="31"/>
      <c r="S279" s="31"/>
    </row>
    <row r="280" spans="1:19" ht="27" hidden="1" thickBot="1">
      <c r="A280" s="31"/>
      <c r="B280" s="476"/>
      <c r="C280" s="31"/>
      <c r="D280" s="476"/>
      <c r="E280" s="865">
        <v>46143</v>
      </c>
      <c r="F280" s="866">
        <v>3.5000000000000003E-2</v>
      </c>
      <c r="G280" s="867"/>
      <c r="H280" s="865">
        <v>46054</v>
      </c>
      <c r="I280" s="866">
        <v>0</v>
      </c>
      <c r="J280" s="867"/>
      <c r="K280" s="865">
        <v>45992</v>
      </c>
      <c r="L280" s="23" t="e">
        <f>(1+Aumentodic25respene25)*(1+Aumentoene25respdic24)-1</f>
        <v>#NAME?</v>
      </c>
      <c r="M280" s="21"/>
      <c r="N280" s="425"/>
      <c r="O280" s="577"/>
      <c r="P280" s="425"/>
      <c r="Q280" s="425"/>
      <c r="R280" s="31"/>
      <c r="S280" s="31"/>
    </row>
    <row r="281" spans="1:19" ht="15.75" hidden="1" thickBot="1">
      <c r="A281" s="31"/>
      <c r="B281" s="337" t="s">
        <v>468</v>
      </c>
      <c r="C281" s="337" t="s">
        <v>469</v>
      </c>
      <c r="D281" s="337" t="s">
        <v>470</v>
      </c>
      <c r="E281" s="337"/>
      <c r="F281" s="337"/>
      <c r="G281" s="337"/>
      <c r="H281" s="337"/>
      <c r="I281" s="337"/>
      <c r="J281" s="337"/>
      <c r="K281" s="337"/>
      <c r="L281" s="337"/>
      <c r="M281" s="337"/>
      <c r="N281" s="31"/>
      <c r="O281" s="51"/>
      <c r="P281" s="51"/>
      <c r="Q281" s="31"/>
      <c r="R281" s="31"/>
      <c r="S281" s="31"/>
    </row>
    <row r="282" spans="1:19" ht="15.75" hidden="1" thickBot="1">
      <c r="A282" s="31"/>
      <c r="B282" s="578">
        <v>4</v>
      </c>
      <c r="C282" s="579">
        <f>canthormed</f>
        <v>36</v>
      </c>
      <c r="D282" s="344" t="s">
        <v>532</v>
      </c>
      <c r="E282" s="346">
        <f>indicemay26*punbashormed</f>
        <v>636792.81926400005</v>
      </c>
      <c r="F282" s="344"/>
      <c r="G282" s="580"/>
      <c r="H282" s="346">
        <f>indicedic25*punbashormed</f>
        <v>615258.64407461567</v>
      </c>
      <c r="I282" s="344"/>
      <c r="J282" s="580"/>
      <c r="K282" s="346">
        <f>indicedic25*punbashormed</f>
        <v>615258.64407461567</v>
      </c>
      <c r="L282" s="344"/>
      <c r="M282" s="580"/>
      <c r="N282" s="31"/>
      <c r="O282" s="378"/>
      <c r="P282" s="31"/>
      <c r="Q282" s="31"/>
      <c r="R282" s="31"/>
      <c r="S282" s="31"/>
    </row>
    <row r="283" spans="1:19" ht="15.75" hidden="1" thickBot="1">
      <c r="A283" s="31"/>
      <c r="B283" s="581">
        <v>10</v>
      </c>
      <c r="C283" s="582">
        <f>porantighormed</f>
        <v>1.2</v>
      </c>
      <c r="D283" s="339" t="s">
        <v>480</v>
      </c>
      <c r="E283" s="341">
        <f>(E282+E292)*porantighormed</f>
        <v>794151.38311679999</v>
      </c>
      <c r="F283" s="339"/>
      <c r="G283" s="583"/>
      <c r="H283" s="341">
        <f>(H282+H292)*porantighormed</f>
        <v>768310.37288953876</v>
      </c>
      <c r="I283" s="339"/>
      <c r="J283" s="583"/>
      <c r="K283" s="341">
        <f>(K282+K292)*porantighormed</f>
        <v>768310.37288953876</v>
      </c>
      <c r="L283" s="339"/>
      <c r="M283" s="583"/>
      <c r="N283" s="31"/>
      <c r="O283" s="378"/>
      <c r="P283" s="31"/>
      <c r="Q283" s="31"/>
      <c r="R283" s="31"/>
      <c r="S283" s="31"/>
    </row>
    <row r="284" spans="1:19" ht="16.5" hidden="1" thickBot="1">
      <c r="A284" s="31"/>
      <c r="B284" s="578">
        <v>6</v>
      </c>
      <c r="C284" s="584">
        <f>IF(porantighormed&lt;100%,H284/4241.88,H284/4271.53)</f>
        <v>36</v>
      </c>
      <c r="D284" s="344" t="s">
        <v>479</v>
      </c>
      <c r="E284" s="346">
        <f>IF(porantighormed&lt;100%,IF(canthor06med&gt;36,36*4241.88,4241.88*canthor06med),IF(canthor06med&gt;36,36*4271.53,4271.53*canthor06med))*(1+Aumentomayo26)</f>
        <v>159157.20779999997</v>
      </c>
      <c r="F284" s="585"/>
      <c r="G284" s="580"/>
      <c r="H284" s="346">
        <f>IF(porantighormed&lt;100%,IF(canthor06med&gt;36,36*4241.88,4241.88*canthor06med),IF(canthor06med&gt;36,36*4271.53,4271.53*canthor06med))</f>
        <v>153775.07999999999</v>
      </c>
      <c r="I284" s="585"/>
      <c r="J284" s="580"/>
      <c r="K284" s="346">
        <f>IF(porantighormed&lt;100%,IF(canthor06med&gt;36,36*4241.88,4241.88*canthor06med),IF(canthor06med&gt;36,36*4271.53,4271.53*canthor06med))</f>
        <v>153775.07999999999</v>
      </c>
      <c r="L284" s="585"/>
      <c r="M284" s="580"/>
      <c r="N284" s="31"/>
      <c r="O284" s="378"/>
      <c r="P284" s="31"/>
      <c r="Q284" s="31"/>
      <c r="R284" s="31"/>
      <c r="S284" s="31"/>
    </row>
    <row r="285" spans="1:19" ht="15.75" hidden="1" thickBot="1">
      <c r="A285" s="31"/>
      <c r="B285" s="581">
        <v>14</v>
      </c>
      <c r="C285" s="377">
        <v>7.0000000000000007E-2</v>
      </c>
      <c r="D285" s="339" t="s">
        <v>533</v>
      </c>
      <c r="E285" s="341">
        <f>E284*0.07</f>
        <v>11141.004546</v>
      </c>
      <c r="F285" s="586"/>
      <c r="G285" s="583"/>
      <c r="H285" s="341">
        <f>H284*0.07</f>
        <v>10764.2556</v>
      </c>
      <c r="I285" s="586"/>
      <c r="J285" s="583"/>
      <c r="K285" s="341">
        <f>K284*0.07</f>
        <v>10764.2556</v>
      </c>
      <c r="L285" s="586"/>
      <c r="M285" s="583"/>
      <c r="N285" s="31"/>
      <c r="O285" s="378"/>
      <c r="P285" s="31"/>
      <c r="Q285" s="31"/>
      <c r="R285" s="31"/>
      <c r="S285" s="31"/>
    </row>
    <row r="286" spans="1:19" ht="15.75" hidden="1" thickBot="1">
      <c r="A286" s="147"/>
      <c r="B286" s="587">
        <v>18</v>
      </c>
      <c r="C286" s="588">
        <v>18</v>
      </c>
      <c r="D286" s="589" t="s">
        <v>534</v>
      </c>
      <c r="E286" s="589">
        <f>IF(canthormed&gt;18,61229,3401.61111*canthormed)*IF(adichsmedia&gt;1,1,adichsmedia)*(1+Aumentomayo26)</f>
        <v>63372.014999999992</v>
      </c>
      <c r="F286" s="590"/>
      <c r="G286" s="591"/>
      <c r="H286" s="589">
        <f>IF(canthormed&gt;18,61229,3401.61111*canthormed)*IF(adichsmedia&gt;1,1,adichsmedia)</f>
        <v>61229</v>
      </c>
      <c r="I286" s="590"/>
      <c r="J286" s="591"/>
      <c r="K286" s="589">
        <f>IF(canthormed&gt;18,61229,3401.61111*canthormed)*IF(adichsmedia&gt;1,1,adichsmedia)</f>
        <v>61229</v>
      </c>
      <c r="L286" s="590"/>
      <c r="M286" s="591"/>
      <c r="N286" s="147"/>
      <c r="O286" s="592"/>
      <c r="P286" s="147"/>
      <c r="Q286" s="147"/>
      <c r="R286" s="147"/>
      <c r="S286" s="147"/>
    </row>
    <row r="287" spans="1:19" ht="15.75" hidden="1" thickBot="1">
      <c r="A287" s="31"/>
      <c r="B287" s="578">
        <v>188</v>
      </c>
      <c r="C287" s="360">
        <v>7.0000000000000007E-2</v>
      </c>
      <c r="D287" s="344" t="s">
        <v>482</v>
      </c>
      <c r="E287" s="346">
        <f>(E282+E283+E286+E288+E290+E291+E292)*0.07</f>
        <v>116701.25791665602</v>
      </c>
      <c r="F287" s="593"/>
      <c r="G287" s="580"/>
      <c r="H287" s="346">
        <f>(H282+H283+H286+H288+H290+H291+H292)*0.07</f>
        <v>113129.03118749081</v>
      </c>
      <c r="I287" s="593"/>
      <c r="J287" s="580"/>
      <c r="K287" s="346">
        <f>(K282+K283+K286+K288+K290+K291+K292)*0.07</f>
        <v>113129.03118749081</v>
      </c>
      <c r="L287" s="593"/>
      <c r="M287" s="580"/>
      <c r="N287" s="31"/>
      <c r="O287" s="378"/>
      <c r="P287" s="31"/>
      <c r="Q287" s="31"/>
      <c r="R287" s="31"/>
      <c r="S287" s="31"/>
    </row>
    <row r="288" spans="1:19" ht="16.5" hidden="1" thickBot="1">
      <c r="A288" s="31"/>
      <c r="B288" s="581">
        <v>78</v>
      </c>
      <c r="C288" s="594">
        <f>C225</f>
        <v>0</v>
      </c>
      <c r="D288" s="339" t="s">
        <v>485</v>
      </c>
      <c r="E288" s="341">
        <f>(E282+E292)*porzonahsmed</f>
        <v>0</v>
      </c>
      <c r="F288" s="39"/>
      <c r="G288" s="583"/>
      <c r="H288" s="341">
        <f>(H282+H292)*porzonahsmed</f>
        <v>0</v>
      </c>
      <c r="I288" s="39"/>
      <c r="J288" s="583"/>
      <c r="K288" s="341">
        <f>(K282+K292)*porzonahsmed</f>
        <v>0</v>
      </c>
      <c r="L288" s="39"/>
      <c r="M288" s="583"/>
      <c r="N288" s="31"/>
      <c r="O288" s="378"/>
      <c r="P288" s="31"/>
      <c r="Q288" s="31"/>
      <c r="R288" s="31"/>
      <c r="S288" s="31"/>
    </row>
    <row r="289" spans="1:19" ht="15.75" hidden="1" thickBot="1">
      <c r="A289" s="31"/>
      <c r="B289" s="578">
        <v>29</v>
      </c>
      <c r="C289" s="588">
        <f>cantkmhm</f>
        <v>0</v>
      </c>
      <c r="D289" s="344" t="s">
        <v>489</v>
      </c>
      <c r="E289" s="346">
        <f>kmsemhsmed*1820/15*4</f>
        <v>0</v>
      </c>
      <c r="F289" s="39"/>
      <c r="G289" s="580"/>
      <c r="H289" s="346">
        <f>kmsemhsmed*1820/15*4</f>
        <v>0</v>
      </c>
      <c r="I289" s="39"/>
      <c r="J289" s="580"/>
      <c r="K289" s="346">
        <f>kmsemhsmed*1820/15*4</f>
        <v>0</v>
      </c>
      <c r="L289" s="39"/>
      <c r="M289" s="580"/>
      <c r="N289" s="31"/>
      <c r="O289" s="378"/>
      <c r="P289" s="31"/>
      <c r="Q289" s="31"/>
      <c r="R289" s="31"/>
      <c r="S289" s="31"/>
    </row>
    <row r="290" spans="1:19" ht="15.75" hidden="1" thickBot="1">
      <c r="A290" s="147"/>
      <c r="B290" s="587">
        <v>117</v>
      </c>
      <c r="C290" s="595"/>
      <c r="D290" s="595" t="s">
        <v>487</v>
      </c>
      <c r="E290" s="589">
        <f>IF(canthormed*43246&gt;43246,43246,canthormed*1441.53333)*(1+Aumentomayo26)</f>
        <v>44759.609999999993</v>
      </c>
      <c r="F290" s="596"/>
      <c r="G290" s="597"/>
      <c r="H290" s="589">
        <f>IF(canthormed*43246&gt;43246,43246,canthormed*1441.53333)</f>
        <v>43246</v>
      </c>
      <c r="I290" s="596"/>
      <c r="J290" s="597"/>
      <c r="K290" s="589">
        <f>IF(canthormed*43246&gt;43246,43246,canthormed*1441.53333)</f>
        <v>43246</v>
      </c>
      <c r="L290" s="596"/>
      <c r="M290" s="597"/>
      <c r="N290" s="147"/>
      <c r="O290" s="592"/>
      <c r="P290" s="147"/>
      <c r="Q290" s="147"/>
      <c r="R290" s="147"/>
      <c r="S290" s="147"/>
    </row>
    <row r="291" spans="1:19" ht="15.75" hidden="1" thickBot="1">
      <c r="A291" s="147"/>
      <c r="B291" s="598">
        <v>38</v>
      </c>
      <c r="C291" s="599">
        <f>C228</f>
        <v>15</v>
      </c>
      <c r="D291" s="600" t="s">
        <v>536</v>
      </c>
      <c r="E291" s="601">
        <f>IF($C291="",IF(canthormed&lt;15,6872.3333*canthormed,103085),IF($C291&lt;15,6872.3333*$C291,103085))</f>
        <v>103085</v>
      </c>
      <c r="F291" s="411"/>
      <c r="G291" s="602"/>
      <c r="H291" s="601">
        <f>IF($C291="",IF(canthormed&lt;15,6872.3333*canthormed,103085),IF($C291&lt;15,6872.3333*$C291,103085))</f>
        <v>103085</v>
      </c>
      <c r="I291" s="411"/>
      <c r="J291" s="602"/>
      <c r="K291" s="601">
        <f>IF($C291="",IF(canthormed&lt;15,6872.3333*canthormed,103085),IF($C291&lt;15,6872.3333*$C291,103085))</f>
        <v>103085</v>
      </c>
      <c r="L291" s="411"/>
      <c r="M291" s="602"/>
      <c r="N291" s="147"/>
      <c r="O291" s="603"/>
      <c r="P291" s="147"/>
      <c r="Q291" s="147"/>
      <c r="R291" s="147"/>
      <c r="S291" s="147"/>
    </row>
    <row r="292" spans="1:19" ht="15.75" hidden="1" thickBot="1">
      <c r="A292" s="31"/>
      <c r="B292" s="373">
        <v>25</v>
      </c>
      <c r="C292" s="266">
        <f>C229</f>
        <v>1</v>
      </c>
      <c r="D292" s="374" t="s">
        <v>488</v>
      </c>
      <c r="E292" s="604">
        <f>IF(AND(porantighormed&gt;=0.5,$C292=1),IF(canthormed&gt;15,25000,1666.6666*canthormed),0)</f>
        <v>25000</v>
      </c>
      <c r="F292" s="339"/>
      <c r="G292" s="605"/>
      <c r="H292" s="604">
        <f>IF(AND(porantighormed&gt;=0.5,$C292=1),IF(canthormed&gt;15,25000,1666.6666*canthormed),0)</f>
        <v>25000</v>
      </c>
      <c r="I292" s="339"/>
      <c r="J292" s="605"/>
      <c r="K292" s="604">
        <f>IF(AND(porantighormed&gt;=0.5,$C292=1),IF(canthormed&gt;15,25000,1666.6666*canthormed),0)</f>
        <v>25000</v>
      </c>
      <c r="L292" s="339"/>
      <c r="M292" s="605"/>
      <c r="N292" s="31"/>
      <c r="O292" s="606"/>
      <c r="P292" s="31"/>
      <c r="Q292" s="31"/>
      <c r="R292" s="31"/>
      <c r="S292" s="31"/>
    </row>
    <row r="293" spans="1:19" ht="16.5" hidden="1" thickBot="1">
      <c r="A293" s="31"/>
      <c r="B293" s="581"/>
      <c r="C293" s="607"/>
      <c r="D293" s="385" t="s">
        <v>537</v>
      </c>
      <c r="E293" s="608">
        <f>SUM(E282:E292)</f>
        <v>1954160.2976434561</v>
      </c>
      <c r="F293" s="339"/>
      <c r="G293" s="609"/>
      <c r="H293" s="608">
        <f>SUM(H282:H292)</f>
        <v>1893797.3837516452</v>
      </c>
      <c r="I293" s="339"/>
      <c r="J293" s="609"/>
      <c r="K293" s="608">
        <f>SUM(K282:K292)</f>
        <v>1893797.3837516452</v>
      </c>
      <c r="L293" s="339"/>
      <c r="M293" s="609"/>
      <c r="N293" s="31"/>
      <c r="O293" s="606"/>
      <c r="P293" s="31"/>
      <c r="Q293" s="31"/>
      <c r="R293" s="31"/>
      <c r="S293" s="31"/>
    </row>
    <row r="294" spans="1:19" ht="15.75" hidden="1" thickBot="1">
      <c r="A294" s="31"/>
      <c r="B294" s="610" t="s">
        <v>538</v>
      </c>
      <c r="C294" s="339"/>
      <c r="D294" s="339"/>
      <c r="E294" s="611">
        <f>E232</f>
        <v>0</v>
      </c>
      <c r="F294" s="411"/>
      <c r="G294" s="612"/>
      <c r="H294" s="611">
        <f>H232</f>
        <v>0</v>
      </c>
      <c r="I294" s="411"/>
      <c r="J294" s="612"/>
      <c r="K294" s="611">
        <f>K232</f>
        <v>0</v>
      </c>
      <c r="L294" s="411"/>
      <c r="M294" s="612"/>
      <c r="N294" s="31"/>
      <c r="O294" s="606"/>
      <c r="P294" s="31"/>
      <c r="Q294" s="31"/>
      <c r="R294" s="31"/>
      <c r="S294" s="31"/>
    </row>
    <row r="295" spans="1:19" ht="16.5" hidden="1" thickBot="1">
      <c r="A295" s="31"/>
      <c r="B295" s="581">
        <v>184</v>
      </c>
      <c r="C295" s="613">
        <f>H295/2450.16</f>
        <v>29.999999999999996</v>
      </c>
      <c r="D295" s="339" t="s">
        <v>493</v>
      </c>
      <c r="E295" s="341">
        <f>IF(canthorincmed*2450.16&gt;73504.8,73504.8,canthorincmed*2450.16)</f>
        <v>73504.799999999988</v>
      </c>
      <c r="F295" s="39"/>
      <c r="G295" s="583"/>
      <c r="H295" s="341">
        <f>IF(canthorincmed*2450.16&gt;73504.8,73504.8,canthorincmed*2450.16)</f>
        <v>73504.799999999988</v>
      </c>
      <c r="I295" s="39"/>
      <c r="J295" s="583"/>
      <c r="K295" s="341">
        <f>IF(canthorincmed*2450.16&gt;73504.8,73504.8,canthorincmed*2450.16)</f>
        <v>73504.799999999988</v>
      </c>
      <c r="L295" s="39"/>
      <c r="M295" s="583"/>
      <c r="N295" s="31"/>
      <c r="O295" s="378"/>
      <c r="P295" s="31"/>
      <c r="Q295" s="31"/>
      <c r="R295" s="31"/>
      <c r="S295" s="31"/>
    </row>
    <row r="296" spans="1:19" ht="16.5" hidden="1" thickBot="1">
      <c r="A296" s="31"/>
      <c r="B296" s="581">
        <v>204</v>
      </c>
      <c r="C296" s="613">
        <f>H296/1830.24</f>
        <v>30</v>
      </c>
      <c r="D296" s="339" t="s">
        <v>494</v>
      </c>
      <c r="E296" s="341">
        <f>IF(canthorincmed*1830.24&gt;54907.2,54907.2,canthorincmed*1830.24)</f>
        <v>54907.199999999997</v>
      </c>
      <c r="F296" s="614"/>
      <c r="G296" s="583"/>
      <c r="H296" s="341">
        <f>IF(canthorincmed*1830.24&gt;54907.2,54907.2,canthorincmed*1830.24)</f>
        <v>54907.199999999997</v>
      </c>
      <c r="I296" s="614"/>
      <c r="J296" s="583"/>
      <c r="K296" s="341">
        <f>IF(canthorincmed*1830.24&gt;54907.2,54907.2,canthorincmed*1830.24)</f>
        <v>54907.199999999997</v>
      </c>
      <c r="L296" s="614"/>
      <c r="M296" s="583"/>
      <c r="N296" s="31"/>
      <c r="O296" s="378"/>
      <c r="P296" s="31"/>
      <c r="Q296" s="31"/>
      <c r="R296" s="31"/>
      <c r="S296" s="31"/>
    </row>
    <row r="297" spans="1:19" ht="16.5" hidden="1" thickBot="1">
      <c r="A297" s="31"/>
      <c r="B297" s="279" t="s">
        <v>495</v>
      </c>
      <c r="C297" s="613">
        <f>H297/4000</f>
        <v>15</v>
      </c>
      <c r="D297" s="385" t="s">
        <v>496</v>
      </c>
      <c r="E297" s="283">
        <f>IF(canthormed*4000&gt;60000,60000,canthormed*4000)</f>
        <v>60000</v>
      </c>
      <c r="F297" s="339"/>
      <c r="G297" s="583"/>
      <c r="H297" s="283">
        <f>IF(canthormed*4000&gt;60000,60000,canthormed*4000)</f>
        <v>60000</v>
      </c>
      <c r="I297" s="339"/>
      <c r="J297" s="583"/>
      <c r="K297" s="283"/>
      <c r="L297" s="339"/>
      <c r="M297" s="583"/>
      <c r="N297" s="31"/>
      <c r="O297" s="606"/>
      <c r="P297" s="31"/>
      <c r="Q297" s="31"/>
      <c r="R297" s="31"/>
      <c r="S297" s="31"/>
    </row>
    <row r="298" spans="1:19" ht="16.5" hidden="1" thickBot="1">
      <c r="A298" s="31"/>
      <c r="B298" s="360"/>
      <c r="C298" s="387" t="s">
        <v>539</v>
      </c>
      <c r="D298" s="387"/>
      <c r="E298" s="615">
        <f>SUM(E293:E297)</f>
        <v>2142572.2976434561</v>
      </c>
      <c r="F298" s="344"/>
      <c r="G298" s="616"/>
      <c r="H298" s="615">
        <f>SUM(H293:H297)</f>
        <v>2082209.3837516452</v>
      </c>
      <c r="I298" s="344"/>
      <c r="J298" s="616"/>
      <c r="K298" s="615">
        <f>SUM(K293:K297)</f>
        <v>2022209.3837516452</v>
      </c>
      <c r="L298" s="344"/>
      <c r="M298" s="616"/>
      <c r="N298" s="31"/>
      <c r="O298" s="415"/>
      <c r="P298" s="31"/>
      <c r="Q298" s="31"/>
      <c r="R298" s="31"/>
      <c r="S298" s="31"/>
    </row>
    <row r="299" spans="1:19" ht="21" hidden="1" thickBot="1">
      <c r="A299" s="31"/>
      <c r="B299" s="377">
        <v>440</v>
      </c>
      <c r="C299" s="337"/>
      <c r="D299" s="339" t="s">
        <v>498</v>
      </c>
      <c r="E299" s="617">
        <f>E237</f>
        <v>0</v>
      </c>
      <c r="F299" s="377">
        <f>-E299</f>
        <v>0</v>
      </c>
      <c r="G299" s="583"/>
      <c r="H299" s="617">
        <f>H237</f>
        <v>0</v>
      </c>
      <c r="I299" s="377">
        <f>-H299</f>
        <v>0</v>
      </c>
      <c r="J299" s="583"/>
      <c r="K299" s="617">
        <f>K237</f>
        <v>0</v>
      </c>
      <c r="L299" s="377">
        <f>-K299</f>
        <v>0</v>
      </c>
      <c r="M299" s="583"/>
      <c r="N299" s="31"/>
      <c r="O299" s="606"/>
      <c r="P299" s="78"/>
      <c r="Q299" s="31"/>
      <c r="R299" s="31"/>
      <c r="S299" s="31"/>
    </row>
    <row r="300" spans="1:19" ht="15.75" hidden="1" thickBot="1">
      <c r="A300" s="31"/>
      <c r="B300" s="360">
        <v>502</v>
      </c>
      <c r="C300" s="389">
        <v>0.16</v>
      </c>
      <c r="D300" s="346" t="s">
        <v>540</v>
      </c>
      <c r="E300" s="346"/>
      <c r="F300" s="360">
        <f>-(E282+E283+E287+E288+E284+E285+E286+F299+E290+E291+E292)*0.19</f>
        <v>-371290.45655225666</v>
      </c>
      <c r="G300" s="618"/>
      <c r="H300" s="346"/>
      <c r="I300" s="360">
        <f>-(H282+H283+H287+H288+H284+H285+H286+I299+H290+H291+H292)*0.19</f>
        <v>-359821.50291281258</v>
      </c>
      <c r="J300" s="618"/>
      <c r="K300" s="346"/>
      <c r="L300" s="360">
        <f>-(K282+K283+K287+K288+K284+K285+K286+L299+K290+K291+K292)*0.19</f>
        <v>-359821.50291281258</v>
      </c>
      <c r="M300" s="618"/>
      <c r="N300" s="31"/>
      <c r="O300" s="378"/>
      <c r="P300" s="31"/>
      <c r="Q300" s="31"/>
      <c r="R300" s="31"/>
      <c r="S300" s="31"/>
    </row>
    <row r="301" spans="1:19" ht="15.75" hidden="1" thickBot="1">
      <c r="A301" s="31"/>
      <c r="B301" s="360">
        <v>505</v>
      </c>
      <c r="C301" s="619">
        <v>0.03</v>
      </c>
      <c r="D301" s="346" t="s">
        <v>541</v>
      </c>
      <c r="E301" s="346"/>
      <c r="F301" s="360">
        <f>-(E282+E283+E287+E288+E284+E285+E286+F299+E290+E291+E292)*0.03</f>
        <v>-58624.808929303683</v>
      </c>
      <c r="G301" s="618"/>
      <c r="H301" s="346"/>
      <c r="I301" s="360">
        <f>-(H282+H283+H287+H288+H284+H285+H286+I299+H290+H291+H292)*0.03</f>
        <v>-56813.921512549357</v>
      </c>
      <c r="J301" s="618"/>
      <c r="K301" s="346"/>
      <c r="L301" s="360">
        <f>-(K282+K283+K287+K288+K284+K285+K286+L299+K290+K291+K292)*0.03</f>
        <v>-56813.921512549357</v>
      </c>
      <c r="M301" s="618"/>
      <c r="N301" s="31"/>
      <c r="O301" s="378"/>
      <c r="P301" s="31"/>
      <c r="Q301" s="31"/>
      <c r="R301" s="31"/>
      <c r="S301" s="31"/>
    </row>
    <row r="302" spans="1:19" ht="16.5" hidden="1" thickBot="1">
      <c r="A302" s="31"/>
      <c r="B302" s="395">
        <v>332</v>
      </c>
      <c r="C302" s="594">
        <f>C240</f>
        <v>0</v>
      </c>
      <c r="D302" s="341" t="s">
        <v>503</v>
      </c>
      <c r="E302" s="341"/>
      <c r="F302" s="377">
        <f>-(E282+E283+E287+E284+E288+E286+E285+E286+F299+E290+E291+E292)*$C302</f>
        <v>0</v>
      </c>
      <c r="G302" s="620"/>
      <c r="H302" s="341"/>
      <c r="I302" s="377">
        <f>-(H282+H283+H287+H284+H288+H286+H285+H286+I299+H290+H291+H292)*$C302</f>
        <v>0</v>
      </c>
      <c r="J302" s="620"/>
      <c r="K302" s="341"/>
      <c r="L302" s="377">
        <f>-(K282+K283+K287+K284+K288+K286+K285+K286+L299+K290+K291+K292)*$C302</f>
        <v>0</v>
      </c>
      <c r="M302" s="620"/>
      <c r="N302" s="31"/>
      <c r="O302" s="378"/>
      <c r="P302" s="31"/>
      <c r="Q302" s="31"/>
      <c r="R302" s="31"/>
      <c r="S302" s="31"/>
    </row>
    <row r="303" spans="1:19" ht="16.5" hidden="1" thickBot="1">
      <c r="A303" s="31"/>
      <c r="B303" s="379" t="s">
        <v>504</v>
      </c>
      <c r="C303" s="594">
        <f>C241</f>
        <v>0</v>
      </c>
      <c r="D303" s="344"/>
      <c r="E303" s="344"/>
      <c r="F303" s="360">
        <f>-(E282+E283+E287+E288+E284+E285+E286+F299+E290)*$C303</f>
        <v>0</v>
      </c>
      <c r="G303" s="580"/>
      <c r="H303" s="344"/>
      <c r="I303" s="360">
        <f>-(H282+H283+H287+H288+H284+H285+H286+I299+H290)*$C303</f>
        <v>0</v>
      </c>
      <c r="J303" s="580"/>
      <c r="K303" s="344"/>
      <c r="L303" s="360">
        <f>-(K282+K283+K287+K288+K284+K285+K286+L299+K290)*$C303</f>
        <v>0</v>
      </c>
      <c r="M303" s="580"/>
      <c r="N303" s="31"/>
      <c r="O303" s="31"/>
      <c r="P303" s="31"/>
      <c r="Q303" s="31"/>
      <c r="R303" s="31"/>
      <c r="S303" s="31"/>
    </row>
    <row r="304" spans="1:19" ht="16.5" hidden="1" thickBot="1">
      <c r="A304" s="31"/>
      <c r="B304" s="337"/>
      <c r="C304" s="337"/>
      <c r="D304" s="400" t="s">
        <v>505</v>
      </c>
      <c r="E304" s="337"/>
      <c r="F304" s="279">
        <f>SUM(F300:F303)</f>
        <v>-429915.26548156032</v>
      </c>
      <c r="G304" s="621"/>
      <c r="H304" s="337"/>
      <c r="I304" s="279">
        <f>SUM(I300:I303)</f>
        <v>-416635.42442536191</v>
      </c>
      <c r="J304" s="621"/>
      <c r="K304" s="337"/>
      <c r="L304" s="279">
        <f>SUM(L300:L303)</f>
        <v>-416635.42442536191</v>
      </c>
      <c r="M304" s="621"/>
      <c r="N304" s="31"/>
      <c r="O304" s="51"/>
      <c r="P304" s="51"/>
      <c r="Q304" s="31"/>
      <c r="R304" s="31"/>
      <c r="S304" s="31"/>
    </row>
    <row r="305" spans="1:19" ht="15.75" hidden="1" thickBot="1">
      <c r="A305" s="31"/>
      <c r="B305" s="377"/>
      <c r="C305" s="339"/>
      <c r="D305" s="339"/>
      <c r="E305" s="339"/>
      <c r="F305" s="339"/>
      <c r="G305" s="583"/>
      <c r="H305" s="339"/>
      <c r="I305" s="339"/>
      <c r="J305" s="583"/>
      <c r="K305" s="339"/>
      <c r="L305" s="339"/>
      <c r="M305" s="583"/>
      <c r="N305" s="31"/>
      <c r="O305" s="31"/>
      <c r="P305" s="31"/>
      <c r="Q305" s="31"/>
      <c r="R305" s="31"/>
      <c r="S305" s="31"/>
    </row>
    <row r="306" spans="1:19" ht="24" hidden="1" thickBot="1">
      <c r="A306" s="31"/>
      <c r="B306" s="377"/>
      <c r="C306" s="339"/>
      <c r="D306" s="400"/>
      <c r="E306" s="400" t="s">
        <v>509</v>
      </c>
      <c r="F306" s="401">
        <f>E298+F304</f>
        <v>1712657.0321618959</v>
      </c>
      <c r="G306" s="621"/>
      <c r="H306" s="400" t="s">
        <v>509</v>
      </c>
      <c r="I306" s="401">
        <f>H298+I304</f>
        <v>1665573.9593262833</v>
      </c>
      <c r="J306" s="621"/>
      <c r="K306" s="400" t="s">
        <v>509</v>
      </c>
      <c r="L306" s="401">
        <f>K298+L304</f>
        <v>1605573.9593262833</v>
      </c>
      <c r="M306" s="621"/>
      <c r="N306" s="622"/>
      <c r="O306" s="31"/>
      <c r="P306" s="31"/>
      <c r="Q306" s="31"/>
      <c r="R306" s="31"/>
      <c r="S306" s="31"/>
    </row>
    <row r="307" spans="1:19" ht="24" hidden="1" thickBot="1">
      <c r="A307" s="31"/>
      <c r="B307" s="623"/>
      <c r="C307" s="339"/>
      <c r="D307" s="400"/>
      <c r="E307" s="400"/>
      <c r="F307" s="624"/>
      <c r="G307" s="621"/>
      <c r="H307" s="400"/>
      <c r="I307" s="624"/>
      <c r="J307" s="621"/>
      <c r="K307" s="400"/>
      <c r="L307" s="624"/>
      <c r="M307" s="621"/>
      <c r="N307" s="31"/>
      <c r="O307" s="98"/>
      <c r="P307" s="622"/>
      <c r="Q307" s="31"/>
      <c r="R307" s="31"/>
      <c r="S307" s="31"/>
    </row>
    <row r="308" spans="1:19" ht="18.75" hidden="1" thickBot="1">
      <c r="A308" s="31"/>
      <c r="B308" s="395"/>
      <c r="C308" s="400"/>
      <c r="D308" s="625"/>
      <c r="E308" s="405" t="s">
        <v>511</v>
      </c>
      <c r="F308" s="406">
        <f>F306-I306</f>
        <v>47083.072835612576</v>
      </c>
      <c r="G308" s="626"/>
      <c r="H308" s="405" t="s">
        <v>511</v>
      </c>
      <c r="I308" s="406">
        <f>I306-L306</f>
        <v>60000</v>
      </c>
      <c r="J308" s="626"/>
      <c r="K308" s="405" t="s">
        <v>511</v>
      </c>
      <c r="L308" s="406"/>
      <c r="M308" s="626"/>
      <c r="N308" s="627"/>
      <c r="O308" s="410"/>
      <c r="P308" s="409"/>
      <c r="Q308" s="627"/>
      <c r="R308" s="31"/>
      <c r="S308" s="31"/>
    </row>
    <row r="309" spans="1:19" ht="18.75" hidden="1" thickBot="1">
      <c r="A309" s="31"/>
      <c r="B309" s="395"/>
      <c r="C309" s="400"/>
      <c r="D309" s="625"/>
      <c r="E309" s="405" t="s">
        <v>512</v>
      </c>
      <c r="F309" s="408">
        <f>F308/I306</f>
        <v>2.826837713928804E-2</v>
      </c>
      <c r="G309" s="626"/>
      <c r="H309" s="405" t="s">
        <v>512</v>
      </c>
      <c r="I309" s="408">
        <f>I308/L306</f>
        <v>3.7369813860942708E-2</v>
      </c>
      <c r="J309" s="626"/>
      <c r="K309" s="405" t="s">
        <v>512</v>
      </c>
      <c r="L309" s="408"/>
      <c r="M309" s="626"/>
      <c r="N309" s="627"/>
      <c r="O309" s="410"/>
      <c r="P309" s="409"/>
      <c r="Q309" s="627"/>
      <c r="R309" s="31"/>
      <c r="S309" s="31"/>
    </row>
    <row r="310" spans="1:19" ht="18.75" hidden="1" thickBot="1">
      <c r="A310" s="31"/>
      <c r="B310" s="395"/>
      <c r="C310" s="400"/>
      <c r="D310" s="625"/>
      <c r="E310" s="411"/>
      <c r="F310" s="628"/>
      <c r="G310" s="625"/>
      <c r="H310" s="411"/>
      <c r="I310" s="628"/>
      <c r="J310" s="625"/>
      <c r="K310" s="411"/>
      <c r="L310" s="628"/>
      <c r="M310" s="625"/>
      <c r="N310" s="627"/>
      <c r="O310" s="410"/>
      <c r="P310" s="409"/>
      <c r="Q310" s="627"/>
      <c r="R310" s="31"/>
      <c r="S310" s="31"/>
    </row>
    <row r="311" spans="1:19" ht="18.75" hidden="1" thickBot="1">
      <c r="A311" s="31"/>
      <c r="B311" s="395"/>
      <c r="C311" s="400"/>
      <c r="D311" s="625"/>
      <c r="E311" s="416" t="s">
        <v>542</v>
      </c>
      <c r="F311" s="417">
        <f>F306-$L306</f>
        <v>107083.07283561258</v>
      </c>
      <c r="G311" s="388"/>
      <c r="H311" s="416" t="s">
        <v>542</v>
      </c>
      <c r="I311" s="417">
        <f>I306-$L306</f>
        <v>60000</v>
      </c>
      <c r="J311" s="388"/>
      <c r="K311" s="416" t="s">
        <v>542</v>
      </c>
      <c r="L311" s="417"/>
      <c r="M311" s="388"/>
      <c r="N311" s="627"/>
      <c r="O311" s="410"/>
      <c r="P311" s="409"/>
      <c r="Q311" s="627"/>
      <c r="R311" s="31"/>
      <c r="S311" s="31"/>
    </row>
    <row r="312" spans="1:19" ht="18.75" hidden="1" thickBot="1">
      <c r="A312" s="31"/>
      <c r="B312" s="395"/>
      <c r="C312" s="400"/>
      <c r="D312" s="625"/>
      <c r="E312" s="416" t="s">
        <v>514</v>
      </c>
      <c r="F312" s="418">
        <f>F311/$L306</f>
        <v>6.6694574992076872E-2</v>
      </c>
      <c r="G312" s="388"/>
      <c r="H312" s="416" t="s">
        <v>514</v>
      </c>
      <c r="I312" s="418">
        <f>I311/$L306</f>
        <v>3.7369813860942708E-2</v>
      </c>
      <c r="J312" s="388"/>
      <c r="K312" s="416" t="s">
        <v>514</v>
      </c>
      <c r="L312" s="418"/>
      <c r="M312" s="388"/>
      <c r="N312" s="627"/>
      <c r="O312" s="410"/>
      <c r="P312" s="409"/>
      <c r="Q312" s="627"/>
      <c r="R312" s="31"/>
      <c r="S312" s="31"/>
    </row>
    <row r="313" spans="1:19" ht="18.75" hidden="1" thickBot="1">
      <c r="A313" s="31"/>
      <c r="B313" s="395"/>
      <c r="C313" s="400"/>
      <c r="D313" s="625"/>
      <c r="E313" s="339"/>
      <c r="F313" s="339"/>
      <c r="G313" s="626"/>
      <c r="H313" s="339"/>
      <c r="I313" s="339"/>
      <c r="J313" s="626"/>
      <c r="K313" s="339"/>
      <c r="L313" s="339"/>
      <c r="M313" s="626"/>
      <c r="N313" s="627"/>
      <c r="O313" s="410"/>
      <c r="P313" s="409"/>
      <c r="Q313" s="627"/>
      <c r="R313" s="31"/>
      <c r="S313" s="31"/>
    </row>
    <row r="314" spans="1:19" ht="18.75" hidden="1" thickBot="1">
      <c r="A314" s="31"/>
      <c r="B314" s="395"/>
      <c r="C314" s="400"/>
      <c r="D314" s="625"/>
      <c r="E314" s="320" t="s">
        <v>506</v>
      </c>
      <c r="F314" s="417">
        <f>(F306-E295-E296-E297)-($L306-$K295-$K296-$K297)</f>
        <v>47083.072835612576</v>
      </c>
      <c r="G314" s="388"/>
      <c r="H314" s="320" t="s">
        <v>506</v>
      </c>
      <c r="I314" s="417">
        <f>(I306-H295-H296-H297)-($L306-$K295-$K296-$K297)</f>
        <v>0</v>
      </c>
      <c r="J314" s="388"/>
      <c r="K314" s="320" t="s">
        <v>506</v>
      </c>
      <c r="L314" s="417"/>
      <c r="M314" s="388"/>
      <c r="N314" s="627"/>
      <c r="O314" s="410"/>
      <c r="P314" s="409"/>
      <c r="Q314" s="627"/>
      <c r="R314" s="31"/>
      <c r="S314" s="31"/>
    </row>
    <row r="315" spans="1:19" ht="18.75" hidden="1" thickBot="1">
      <c r="A315" s="31"/>
      <c r="B315" s="395"/>
      <c r="C315" s="400"/>
      <c r="D315" s="625"/>
      <c r="E315" s="322" t="s">
        <v>513</v>
      </c>
      <c r="F315" s="418">
        <f>F314/($L306-$K295-$K296-$K297)</f>
        <v>3.187400849199138E-2</v>
      </c>
      <c r="G315" s="388"/>
      <c r="H315" s="322" t="s">
        <v>513</v>
      </c>
      <c r="I315" s="418">
        <f>I314/($L306-$K295-$K296-$K297)</f>
        <v>0</v>
      </c>
      <c r="J315" s="388"/>
      <c r="K315" s="322" t="s">
        <v>513</v>
      </c>
      <c r="L315" s="418"/>
      <c r="M315" s="388"/>
      <c r="N315" s="627"/>
      <c r="O315" s="410"/>
      <c r="P315" s="409"/>
      <c r="Q315" s="627"/>
      <c r="R315" s="31"/>
      <c r="S315" s="31"/>
    </row>
    <row r="316" spans="1:19" ht="18.75" hidden="1" thickBot="1">
      <c r="A316" s="31"/>
      <c r="B316" s="395"/>
      <c r="C316" s="400"/>
      <c r="D316" s="625"/>
      <c r="E316" s="385"/>
      <c r="F316" s="629"/>
      <c r="G316" s="626"/>
      <c r="H316" s="385"/>
      <c r="I316" s="629"/>
      <c r="J316" s="626"/>
      <c r="K316" s="385"/>
      <c r="L316" s="629"/>
      <c r="M316" s="626"/>
      <c r="N316" s="627"/>
      <c r="O316" s="410"/>
      <c r="P316" s="409"/>
      <c r="Q316" s="627"/>
      <c r="R316" s="31"/>
      <c r="S316" s="31"/>
    </row>
    <row r="317" spans="1:19" ht="18.75" hidden="1" thickBot="1">
      <c r="A317" s="31"/>
      <c r="B317" s="395"/>
      <c r="C317" s="400"/>
      <c r="D317" s="625"/>
      <c r="E317" s="320" t="s">
        <v>515</v>
      </c>
      <c r="F317" s="417">
        <f>(F306-E295-E296-E297)-($L306-$K295-$K296-$K297)</f>
        <v>47083.072835612576</v>
      </c>
      <c r="G317" s="626"/>
      <c r="H317" s="320" t="s">
        <v>515</v>
      </c>
      <c r="I317" s="417">
        <f>(I306-H295-H296-H297)-($L306-$K295-$K296-$K297)</f>
        <v>0</v>
      </c>
      <c r="J317" s="626"/>
      <c r="K317" s="385"/>
      <c r="L317" s="629"/>
      <c r="M317" s="626"/>
      <c r="N317" s="627"/>
      <c r="O317" s="410"/>
      <c r="P317" s="409"/>
      <c r="Q317" s="627"/>
      <c r="R317" s="31"/>
      <c r="S317" s="31"/>
    </row>
    <row r="318" spans="1:19" ht="18.75" hidden="1" thickBot="1">
      <c r="A318" s="31"/>
      <c r="B318" s="395"/>
      <c r="C318" s="400"/>
      <c r="D318" s="625"/>
      <c r="E318" s="322" t="s">
        <v>507</v>
      </c>
      <c r="F318" s="419">
        <f>F317/($L306-$K295-$K296-$K297)</f>
        <v>3.187400849199138E-2</v>
      </c>
      <c r="G318" s="626"/>
      <c r="H318" s="322" t="s">
        <v>507</v>
      </c>
      <c r="I318" s="419">
        <f>I317/($L306-$K295-$K296-$K297)</f>
        <v>0</v>
      </c>
      <c r="J318" s="626"/>
      <c r="K318" s="385"/>
      <c r="L318" s="629"/>
      <c r="M318" s="626"/>
      <c r="N318" s="627"/>
      <c r="O318" s="410"/>
      <c r="P318" s="409"/>
      <c r="Q318" s="627"/>
      <c r="R318" s="31"/>
      <c r="S318" s="31"/>
    </row>
    <row r="319" spans="1:19" ht="18.75" hidden="1" thickBot="1">
      <c r="A319" s="31"/>
      <c r="B319" s="395"/>
      <c r="C319" s="400"/>
      <c r="D319" s="625"/>
      <c r="E319" s="385"/>
      <c r="F319" s="629"/>
      <c r="G319" s="626"/>
      <c r="H319" s="385"/>
      <c r="I319" s="629"/>
      <c r="J319" s="626"/>
      <c r="K319" s="385"/>
      <c r="L319" s="629"/>
      <c r="M319" s="626"/>
      <c r="N319" s="627"/>
      <c r="O319" s="410"/>
      <c r="P319" s="409"/>
      <c r="Q319" s="627"/>
      <c r="R319" s="31"/>
      <c r="S319" s="31"/>
    </row>
    <row r="320" spans="1:19" ht="18.75" hidden="1" thickBot="1">
      <c r="A320" s="31"/>
      <c r="B320" s="395"/>
      <c r="C320" s="400"/>
      <c r="D320" s="625"/>
      <c r="E320" s="400" t="s">
        <v>516</v>
      </c>
      <c r="F320" s="404"/>
      <c r="G320" s="626"/>
      <c r="H320" s="400" t="s">
        <v>516</v>
      </c>
      <c r="I320" s="404"/>
      <c r="J320" s="626"/>
      <c r="K320" s="400" t="s">
        <v>516</v>
      </c>
      <c r="L320" s="404"/>
      <c r="M320" s="626"/>
      <c r="N320" s="627"/>
      <c r="O320" s="410"/>
      <c r="P320" s="409"/>
      <c r="Q320" s="627"/>
      <c r="R320" s="31"/>
      <c r="S320" s="31"/>
    </row>
    <row r="321" spans="1:19" ht="18.75" hidden="1" thickBot="1">
      <c r="A321" s="31"/>
      <c r="B321" s="395"/>
      <c r="C321" s="400"/>
      <c r="D321" s="625"/>
      <c r="E321" s="337" t="s">
        <v>517</v>
      </c>
      <c r="F321" s="420">
        <f>(E282+E283+E284+E285+E286+E287+E288+E290+E291+E292)*0.5</f>
        <v>977080.14882172807</v>
      </c>
      <c r="G321" s="626"/>
      <c r="H321" s="337" t="s">
        <v>517</v>
      </c>
      <c r="I321" s="420">
        <f>(H282+H283+H284+H285+H286+H287+H288+H290+H291+H292)*0.5</f>
        <v>946898.69187582261</v>
      </c>
      <c r="J321" s="626"/>
      <c r="K321" s="337" t="s">
        <v>517</v>
      </c>
      <c r="L321" s="420">
        <f>(K282+K283+K284+K285+K286+K287+K288+K290+K291+K292)*0.5</f>
        <v>946898.69187582261</v>
      </c>
      <c r="M321" s="626"/>
      <c r="N321" s="627"/>
      <c r="O321" s="410"/>
      <c r="P321" s="409"/>
      <c r="Q321" s="627"/>
      <c r="R321" s="31"/>
      <c r="S321" s="31"/>
    </row>
    <row r="322" spans="1:19" ht="18.75" hidden="1" thickBot="1">
      <c r="A322" s="31"/>
      <c r="B322" s="395"/>
      <c r="C322" s="400"/>
      <c r="D322" s="625"/>
      <c r="E322" s="337" t="s">
        <v>518</v>
      </c>
      <c r="F322" s="404"/>
      <c r="G322" s="626"/>
      <c r="H322" s="337" t="s">
        <v>518</v>
      </c>
      <c r="I322" s="404"/>
      <c r="J322" s="626"/>
      <c r="K322" s="337" t="s">
        <v>518</v>
      </c>
      <c r="L322" s="404"/>
      <c r="M322" s="626"/>
      <c r="N322" s="627"/>
      <c r="O322" s="410"/>
      <c r="P322" s="409"/>
      <c r="Q322" s="627"/>
      <c r="R322" s="31"/>
      <c r="S322" s="31"/>
    </row>
    <row r="323" spans="1:19" ht="18.75" hidden="1" thickBot="1">
      <c r="A323" s="31"/>
      <c r="B323" s="395"/>
      <c r="C323" s="400"/>
      <c r="D323" s="625"/>
      <c r="E323" s="339" t="s">
        <v>519</v>
      </c>
      <c r="F323" s="339">
        <f>F321*0.78</f>
        <v>762122.51608094794</v>
      </c>
      <c r="G323" s="626"/>
      <c r="H323" s="339" t="s">
        <v>519</v>
      </c>
      <c r="I323" s="339">
        <f>I321*0.78</f>
        <v>738580.97966314165</v>
      </c>
      <c r="J323" s="626"/>
      <c r="K323" s="339" t="s">
        <v>519</v>
      </c>
      <c r="L323" s="339">
        <f>L321*0.78</f>
        <v>738580.97966314165</v>
      </c>
      <c r="M323" s="626"/>
      <c r="N323" s="627"/>
      <c r="O323" s="410"/>
      <c r="P323" s="409"/>
      <c r="Q323" s="627"/>
      <c r="R323" s="31"/>
      <c r="S323" s="31"/>
    </row>
    <row r="324" spans="1:19" ht="18.75" hidden="1" thickBot="1">
      <c r="A324" s="31"/>
      <c r="B324" s="395"/>
      <c r="C324" s="400"/>
      <c r="D324" s="625"/>
      <c r="E324" s="337" t="s">
        <v>520</v>
      </c>
      <c r="F324" s="337"/>
      <c r="G324" s="626"/>
      <c r="H324" s="337" t="s">
        <v>520</v>
      </c>
      <c r="I324" s="337"/>
      <c r="J324" s="626"/>
      <c r="K324" s="337" t="s">
        <v>520</v>
      </c>
      <c r="L324" s="337"/>
      <c r="M324" s="626"/>
      <c r="N324" s="627"/>
      <c r="O324" s="410"/>
      <c r="P324" s="409"/>
      <c r="Q324" s="627"/>
      <c r="R324" s="31"/>
      <c r="S324" s="31"/>
    </row>
    <row r="325" spans="1:19" ht="18.75" hidden="1" thickBot="1">
      <c r="A325" s="31"/>
      <c r="B325" s="395"/>
      <c r="C325" s="400"/>
      <c r="D325" s="625"/>
      <c r="E325" s="279">
        <v>502</v>
      </c>
      <c r="F325" s="420">
        <f>-(E282+E283+E287+E288+E284+E285+E286+F299+E290+E291+F321+E292)*0.19</f>
        <v>-556935.68482838501</v>
      </c>
      <c r="G325" s="626"/>
      <c r="H325" s="279">
        <v>502</v>
      </c>
      <c r="I325" s="420">
        <f>-(H282+H283+H287+H288+H284+H285+H286+I299+H290+H291+I321+H292)*0.19</f>
        <v>-539732.25436921883</v>
      </c>
      <c r="J325" s="626"/>
      <c r="K325" s="279">
        <v>502</v>
      </c>
      <c r="L325" s="420">
        <f>-(K282+K283+K287+K288+K284+K285+K286+L299+K290+K291+L321+K292)*0.19</f>
        <v>-539732.25436921883</v>
      </c>
      <c r="M325" s="626"/>
      <c r="N325" s="627"/>
      <c r="O325" s="410"/>
      <c r="P325" s="409"/>
      <c r="Q325" s="627"/>
      <c r="R325" s="31"/>
      <c r="S325" s="31"/>
    </row>
    <row r="326" spans="1:19" ht="18.75" hidden="1" thickBot="1">
      <c r="A326" s="31"/>
      <c r="B326" s="395"/>
      <c r="C326" s="400"/>
      <c r="D326" s="625"/>
      <c r="E326" s="279">
        <v>504</v>
      </c>
      <c r="F326" s="420"/>
      <c r="G326" s="626"/>
      <c r="H326" s="279">
        <v>504</v>
      </c>
      <c r="I326" s="420"/>
      <c r="J326" s="626"/>
      <c r="K326" s="279">
        <v>504</v>
      </c>
      <c r="L326" s="420"/>
      <c r="M326" s="626"/>
      <c r="N326" s="627"/>
      <c r="O326" s="410"/>
      <c r="P326" s="409"/>
      <c r="Q326" s="627"/>
      <c r="R326" s="31"/>
      <c r="S326" s="31"/>
    </row>
    <row r="327" spans="1:19" ht="16.5" hidden="1" thickBot="1">
      <c r="A327" s="31"/>
      <c r="B327" s="395"/>
      <c r="C327" s="400"/>
      <c r="D327" s="625"/>
      <c r="E327" s="279">
        <v>505</v>
      </c>
      <c r="F327" s="420">
        <f>-(E282+E283+E287+E288+E284+E285+E286+F299+E290+E291+F321+E292)*0.03</f>
        <v>-87937.213393955521</v>
      </c>
      <c r="G327" s="626"/>
      <c r="H327" s="279">
        <v>505</v>
      </c>
      <c r="I327" s="420">
        <f>-(H282+H283+H287+H288+H284+H285+H286+I299+H290+H291+I321+H292)*0.03</f>
        <v>-85220.882268824018</v>
      </c>
      <c r="J327" s="626"/>
      <c r="K327" s="279">
        <v>505</v>
      </c>
      <c r="L327" s="420">
        <f>-(K282+K283+K287+K288+K284+K285+K286+L299+K290+K291+L321+K292)*0.03</f>
        <v>-85220.882268824018</v>
      </c>
      <c r="M327" s="626"/>
      <c r="N327" s="39"/>
      <c r="O327" s="39"/>
      <c r="P327" s="39"/>
      <c r="Q327" s="39"/>
      <c r="R327" s="39"/>
      <c r="S327" s="39"/>
    </row>
    <row r="328" spans="1:19" ht="18.75" hidden="1" thickBot="1">
      <c r="A328" s="31"/>
      <c r="B328" s="395"/>
      <c r="C328" s="400"/>
      <c r="D328" s="625"/>
      <c r="E328" s="404"/>
      <c r="F328" s="404"/>
      <c r="G328" s="626"/>
      <c r="H328" s="404"/>
      <c r="I328" s="404"/>
      <c r="J328" s="626"/>
      <c r="K328" s="404"/>
      <c r="L328" s="404"/>
      <c r="M328" s="626"/>
      <c r="N328" s="627"/>
      <c r="O328" s="410"/>
      <c r="P328" s="409"/>
      <c r="Q328" s="627"/>
      <c r="R328" s="31"/>
      <c r="S328" s="31"/>
    </row>
    <row r="329" spans="1:19" ht="18.75" hidden="1" thickBot="1">
      <c r="A329" s="31"/>
      <c r="B329" s="395"/>
      <c r="C329" s="400"/>
      <c r="D329" s="625"/>
      <c r="E329" s="385" t="s">
        <v>521</v>
      </c>
      <c r="F329" s="385"/>
      <c r="G329" s="626"/>
      <c r="H329" s="385" t="s">
        <v>521</v>
      </c>
      <c r="I329" s="385"/>
      <c r="J329" s="626"/>
      <c r="K329" s="385" t="s">
        <v>521</v>
      </c>
      <c r="L329" s="385"/>
      <c r="M329" s="626"/>
      <c r="N329" s="627"/>
      <c r="O329" s="410"/>
      <c r="P329" s="409"/>
      <c r="Q329" s="627"/>
      <c r="R329" s="31"/>
      <c r="S329" s="31"/>
    </row>
    <row r="330" spans="1:19" ht="18.75" hidden="1" thickBot="1">
      <c r="A330" s="31"/>
      <c r="B330" s="395"/>
      <c r="C330" s="400"/>
      <c r="D330" s="625"/>
      <c r="E330" s="385"/>
      <c r="F330" s="404">
        <f>E298+F321+F322+F325+F326+F327</f>
        <v>2474779.5482428437</v>
      </c>
      <c r="G330" s="626"/>
      <c r="H330" s="385"/>
      <c r="I330" s="404">
        <f>H298+I321+I322+I325+I326+I327</f>
        <v>2404154.9389894246</v>
      </c>
      <c r="J330" s="626"/>
      <c r="K330" s="385"/>
      <c r="L330" s="404">
        <f>K298+L321+L322+L325+L326+L327</f>
        <v>2344154.9389894246</v>
      </c>
      <c r="M330" s="626"/>
      <c r="N330" s="627"/>
      <c r="O330" s="410"/>
      <c r="P330" s="409"/>
      <c r="Q330" s="627"/>
      <c r="R330" s="31"/>
      <c r="S330" s="31"/>
    </row>
    <row r="331" spans="1:19" ht="18.75" hidden="1" thickBot="1">
      <c r="A331" s="31"/>
      <c r="B331" s="395"/>
      <c r="C331" s="400"/>
      <c r="D331" s="625"/>
      <c r="E331" s="422" t="s">
        <v>522</v>
      </c>
      <c r="F331" s="422"/>
      <c r="G331" s="626"/>
      <c r="H331" s="422" t="s">
        <v>522</v>
      </c>
      <c r="I331" s="422"/>
      <c r="J331" s="626"/>
      <c r="K331" s="422" t="s">
        <v>522</v>
      </c>
      <c r="L331" s="422"/>
      <c r="M331" s="626"/>
      <c r="N331" s="627"/>
      <c r="O331" s="410"/>
      <c r="P331" s="409"/>
      <c r="Q331" s="627"/>
      <c r="R331" s="31"/>
      <c r="S331" s="31"/>
    </row>
    <row r="332" spans="1:19" ht="21" hidden="1" thickBot="1">
      <c r="A332" s="31"/>
      <c r="B332" s="395"/>
      <c r="C332" s="400"/>
      <c r="D332" s="625"/>
      <c r="E332" s="339"/>
      <c r="F332" s="630">
        <f>F330-F306+F302</f>
        <v>762122.51608094783</v>
      </c>
      <c r="G332" s="626"/>
      <c r="H332" s="339"/>
      <c r="I332" s="630">
        <f>I330-I306+I302</f>
        <v>738580.9796631413</v>
      </c>
      <c r="J332" s="626"/>
      <c r="K332" s="339"/>
      <c r="L332" s="630">
        <f>L330-L306+L302</f>
        <v>738580.9796631413</v>
      </c>
      <c r="M332" s="626"/>
      <c r="N332" s="627"/>
      <c r="O332" s="410"/>
      <c r="P332" s="409"/>
      <c r="Q332" s="627"/>
      <c r="R332" s="31"/>
      <c r="S332" s="31"/>
    </row>
    <row r="333" spans="1:19" ht="18" hidden="1">
      <c r="A333" s="31"/>
      <c r="B333" s="546"/>
      <c r="C333" s="98"/>
      <c r="D333" s="547"/>
      <c r="E333" s="22">
        <v>46082</v>
      </c>
      <c r="F333" s="23">
        <v>0</v>
      </c>
      <c r="G333" s="21"/>
      <c r="H333" s="22">
        <v>46054</v>
      </c>
      <c r="I333" s="23">
        <v>0</v>
      </c>
      <c r="J333" s="21"/>
      <c r="K333" s="22">
        <v>45992</v>
      </c>
      <c r="L333" s="23" t="e">
        <f>(1+Aumentodic25respene25)*(1+Aumentoene25respdic24)-1</f>
        <v>#NAME?</v>
      </c>
      <c r="M333" s="21"/>
      <c r="N333" s="631"/>
      <c r="O333" s="409"/>
      <c r="P333" s="627"/>
      <c r="Q333" s="31"/>
      <c r="R333" s="31"/>
      <c r="S333" s="31"/>
    </row>
    <row r="334" spans="1:19" ht="18" hidden="1">
      <c r="A334" s="31"/>
      <c r="B334" s="546"/>
      <c r="C334" s="98"/>
      <c r="D334" s="547"/>
      <c r="E334" s="547"/>
      <c r="F334" s="547"/>
      <c r="G334" s="547"/>
      <c r="H334" s="547"/>
      <c r="I334" s="547"/>
      <c r="J334" s="547"/>
      <c r="K334" s="22">
        <v>46023</v>
      </c>
      <c r="L334" s="547"/>
      <c r="M334" s="547"/>
      <c r="N334" s="31"/>
      <c r="O334" s="31"/>
      <c r="P334" s="31"/>
      <c r="Q334" s="31"/>
      <c r="R334" s="31"/>
      <c r="S334" s="31"/>
    </row>
    <row r="335" spans="1:19" ht="18" hidden="1">
      <c r="A335" s="56"/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</row>
    <row r="336" spans="1:19" ht="18.75" thickBot="1">
      <c r="A336" s="632"/>
      <c r="B336" s="632"/>
      <c r="C336" s="632"/>
      <c r="D336" s="632"/>
      <c r="E336" s="632"/>
      <c r="F336" s="632"/>
      <c r="G336" s="632"/>
      <c r="H336" s="632"/>
      <c r="I336" s="632"/>
      <c r="J336" s="632"/>
      <c r="K336" s="633"/>
      <c r="L336" s="633"/>
      <c r="M336" s="633"/>
      <c r="N336" s="633"/>
      <c r="O336" s="633"/>
      <c r="P336" s="633"/>
      <c r="Q336" s="633"/>
      <c r="R336" s="633"/>
      <c r="S336" s="633"/>
    </row>
    <row r="337" spans="1:19">
      <c r="A337" s="160"/>
      <c r="B337" s="160"/>
      <c r="C337" s="31"/>
      <c r="D337" s="31"/>
      <c r="E337" s="427"/>
      <c r="F337" s="39"/>
      <c r="G337" s="427"/>
      <c r="H337" s="429"/>
      <c r="I337" s="430" t="str">
        <f>canthorsup&amp;" horas sup"</f>
        <v>36 horas sup</v>
      </c>
      <c r="J337" s="431">
        <f>porantighorsup</f>
        <v>1.2</v>
      </c>
      <c r="K337" s="432"/>
      <c r="L337" s="433"/>
      <c r="M337" s="433"/>
      <c r="N337" s="433"/>
      <c r="O337" s="39"/>
      <c r="P337" s="433"/>
      <c r="Q337" s="39"/>
      <c r="R337" s="39"/>
      <c r="S337" s="39"/>
    </row>
    <row r="338" spans="1:19" ht="15.75">
      <c r="A338" s="31"/>
      <c r="B338" s="31"/>
      <c r="C338" s="31"/>
      <c r="D338" s="31"/>
      <c r="E338" s="434"/>
      <c r="F338" s="39"/>
      <c r="G338" s="438"/>
      <c r="H338" s="634">
        <v>45992</v>
      </c>
      <c r="I338" s="635">
        <v>46054</v>
      </c>
      <c r="J338" s="635">
        <v>46143</v>
      </c>
      <c r="K338" s="636"/>
      <c r="L338" s="637"/>
      <c r="M338" s="637"/>
      <c r="N338" s="637"/>
      <c r="O338" s="637"/>
      <c r="P338" s="438"/>
      <c r="Q338" s="438"/>
      <c r="R338" s="438"/>
      <c r="S338" s="438"/>
    </row>
    <row r="339" spans="1:19">
      <c r="A339" s="31"/>
      <c r="B339" s="31"/>
      <c r="C339" s="31"/>
      <c r="D339" s="31"/>
      <c r="E339" s="440"/>
      <c r="F339" s="39"/>
      <c r="G339" s="440"/>
      <c r="H339" s="210">
        <f>K344</f>
        <v>1880873.4413984646</v>
      </c>
      <c r="I339" s="441">
        <f>H344</f>
        <v>1940873.4413984646</v>
      </c>
      <c r="J339" s="442">
        <f>E344</f>
        <v>2000603.2891705274</v>
      </c>
      <c r="K339" s="443"/>
      <c r="L339" s="444"/>
      <c r="M339" s="444"/>
      <c r="N339" s="444"/>
      <c r="O339" s="444"/>
      <c r="P339" s="444"/>
      <c r="Q339" s="444"/>
      <c r="R339" s="444"/>
      <c r="S339" s="444"/>
    </row>
    <row r="340" spans="1:19" ht="23.25">
      <c r="A340" s="31"/>
      <c r="B340" s="31"/>
      <c r="C340" s="638" t="s">
        <v>543</v>
      </c>
      <c r="D340" s="639"/>
      <c r="E340" s="445"/>
      <c r="F340" s="39"/>
      <c r="G340" s="446"/>
      <c r="H340" s="210" t="s">
        <v>457</v>
      </c>
      <c r="I340" s="211">
        <f t="shared" ref="I340:K340" si="77">I339-$H339</f>
        <v>60000</v>
      </c>
      <c r="J340" s="211">
        <f t="shared" si="77"/>
        <v>119729.84777206276</v>
      </c>
      <c r="K340" s="447"/>
      <c r="L340" s="214"/>
      <c r="M340" s="214"/>
      <c r="N340" s="214"/>
      <c r="O340" s="214"/>
      <c r="P340" s="214"/>
      <c r="Q340" s="214"/>
      <c r="R340" s="214"/>
      <c r="S340" s="214"/>
    </row>
    <row r="341" spans="1:19" ht="15.75">
      <c r="A341" s="31"/>
      <c r="B341" s="842" t="s">
        <v>524</v>
      </c>
      <c r="C341" s="841"/>
      <c r="D341" s="448">
        <v>36</v>
      </c>
      <c r="E341" s="449"/>
      <c r="F341" s="39"/>
      <c r="G341" s="450"/>
      <c r="H341" s="216" t="s">
        <v>460</v>
      </c>
      <c r="I341" s="217">
        <f t="shared" ref="I341:K341" si="78">I340/$H339</f>
        <v>3.1900072955141988E-2</v>
      </c>
      <c r="J341" s="217">
        <f t="shared" si="78"/>
        <v>6.3656514647280768E-2</v>
      </c>
      <c r="K341" s="451"/>
      <c r="L341" s="220"/>
      <c r="M341" s="220"/>
      <c r="N341" s="220"/>
      <c r="O341" s="220"/>
      <c r="P341" s="220"/>
      <c r="Q341" s="220"/>
      <c r="R341" s="220"/>
      <c r="S341" s="220"/>
    </row>
    <row r="342" spans="1:19" ht="16.5" thickBot="1">
      <c r="A342" s="31"/>
      <c r="B342" s="842" t="s">
        <v>525</v>
      </c>
      <c r="C342" s="841"/>
      <c r="D342" s="452">
        <v>24</v>
      </c>
      <c r="E342" s="453"/>
      <c r="F342" s="39"/>
      <c r="G342" s="433"/>
      <c r="H342" s="223" t="s">
        <v>461</v>
      </c>
      <c r="I342" s="224"/>
      <c r="J342" s="640"/>
      <c r="K342" s="456"/>
      <c r="L342" s="457"/>
      <c r="M342" s="457"/>
      <c r="N342" s="457"/>
      <c r="O342" s="457"/>
      <c r="P342" s="457"/>
      <c r="Q342" s="457"/>
      <c r="R342" s="457"/>
      <c r="S342" s="457"/>
    </row>
    <row r="343" spans="1:19" ht="24" thickBot="1">
      <c r="A343" s="31"/>
      <c r="B343" s="31"/>
      <c r="C343" s="31"/>
      <c r="D343" s="641">
        <f>LOOKUP(D342,D18:D29,E18:E29)</f>
        <v>1.2</v>
      </c>
      <c r="E343" s="459" t="s">
        <v>463</v>
      </c>
      <c r="F343" s="228"/>
      <c r="G343" s="642"/>
      <c r="H343" s="459" t="s">
        <v>463</v>
      </c>
      <c r="I343" s="228"/>
      <c r="J343" s="642"/>
      <c r="K343" s="459" t="s">
        <v>463</v>
      </c>
      <c r="L343" s="228"/>
      <c r="M343" s="643"/>
      <c r="N343" s="31"/>
      <c r="O343" s="31"/>
      <c r="P343" s="31"/>
      <c r="Q343" s="31"/>
      <c r="R343" s="31"/>
      <c r="S343" s="31"/>
    </row>
    <row r="344" spans="1:19" ht="21" thickBot="1">
      <c r="A344" s="123"/>
      <c r="B344" s="644" t="s">
        <v>526</v>
      </c>
      <c r="C344" s="462"/>
      <c r="D344" s="645"/>
      <c r="E344" s="646">
        <f>F375</f>
        <v>2000603.2891705274</v>
      </c>
      <c r="F344" s="231"/>
      <c r="G344" s="647"/>
      <c r="H344" s="646">
        <f>I375</f>
        <v>1940873.4413984646</v>
      </c>
      <c r="I344" s="231"/>
      <c r="J344" s="647"/>
      <c r="K344" s="646">
        <f>L375</f>
        <v>1880873.4413984646</v>
      </c>
      <c r="L344" s="231"/>
      <c r="M344" s="647"/>
      <c r="N344" s="123"/>
      <c r="O344" s="648"/>
      <c r="P344" s="123"/>
      <c r="Q344" s="123"/>
      <c r="R344" s="123"/>
      <c r="S344" s="123"/>
    </row>
    <row r="345" spans="1:19" ht="16.5" thickTop="1">
      <c r="A345" s="31"/>
      <c r="B345" s="860" t="s">
        <v>527</v>
      </c>
      <c r="C345" s="837"/>
      <c r="D345" s="649">
        <v>17</v>
      </c>
      <c r="E345" s="233" t="s">
        <v>466</v>
      </c>
      <c r="F345" s="467"/>
      <c r="G345" s="650"/>
      <c r="H345" s="233" t="s">
        <v>466</v>
      </c>
      <c r="I345" s="467"/>
      <c r="J345" s="650"/>
      <c r="K345" s="233" t="s">
        <v>466</v>
      </c>
      <c r="L345" s="467"/>
      <c r="M345" s="650"/>
      <c r="N345" s="31"/>
      <c r="O345" s="98"/>
      <c r="P345" s="31"/>
      <c r="Q345" s="31"/>
      <c r="R345" s="31"/>
      <c r="S345" s="31"/>
    </row>
    <row r="346" spans="1:19" ht="18">
      <c r="A346" s="31"/>
      <c r="B346" s="860" t="s">
        <v>528</v>
      </c>
      <c r="C346" s="837"/>
      <c r="D346" s="651">
        <v>24</v>
      </c>
      <c r="E346" s="238">
        <f>E344-E364-E365-E366</f>
        <v>1812191.2891705274</v>
      </c>
      <c r="F346" s="469"/>
      <c r="G346" s="470"/>
      <c r="H346" s="238">
        <f>H344-H364-H365-H366</f>
        <v>1752461.4413984646</v>
      </c>
      <c r="I346" s="469"/>
      <c r="J346" s="470"/>
      <c r="K346" s="238">
        <f>K344-K364-K365-K366</f>
        <v>1752461.4413984646</v>
      </c>
      <c r="L346" s="469"/>
      <c r="M346" s="470"/>
      <c r="N346" s="31"/>
      <c r="O346" s="98"/>
      <c r="P346" s="31"/>
      <c r="Q346" s="31"/>
      <c r="R346" s="31"/>
      <c r="S346" s="31"/>
    </row>
    <row r="347" spans="1:19" ht="15.75">
      <c r="A347" s="31"/>
      <c r="B347" s="81" t="s">
        <v>530</v>
      </c>
      <c r="C347" s="39"/>
      <c r="D347" s="471">
        <v>15</v>
      </c>
      <c r="E347" s="471"/>
      <c r="F347" s="471"/>
      <c r="G347" s="471"/>
      <c r="H347" s="471"/>
      <c r="I347" s="471"/>
      <c r="J347" s="471"/>
      <c r="K347" s="471"/>
      <c r="L347" s="471"/>
      <c r="M347" s="471"/>
      <c r="N347" s="31"/>
      <c r="O347" s="31"/>
      <c r="P347" s="31"/>
      <c r="Q347" s="31"/>
      <c r="R347" s="31"/>
      <c r="S347" s="31"/>
    </row>
    <row r="348" spans="1:19">
      <c r="A348" s="31"/>
      <c r="B348" s="861" t="s">
        <v>462</v>
      </c>
      <c r="C348" s="837"/>
      <c r="D348" s="652">
        <v>0</v>
      </c>
      <c r="E348" s="652"/>
      <c r="F348" s="652"/>
      <c r="G348" s="652"/>
      <c r="H348" s="652"/>
      <c r="I348" s="652"/>
      <c r="J348" s="652"/>
      <c r="K348" s="652"/>
      <c r="L348" s="652"/>
      <c r="M348" s="652"/>
      <c r="N348" s="31"/>
      <c r="O348" s="51"/>
      <c r="P348" s="653"/>
      <c r="Q348" s="31"/>
      <c r="R348" s="31"/>
      <c r="S348" s="31"/>
    </row>
    <row r="349" spans="1:19" ht="18">
      <c r="A349" s="123"/>
      <c r="B349" s="862" t="s">
        <v>464</v>
      </c>
      <c r="C349" s="837"/>
      <c r="D349" s="475">
        <f>canthorsup*86.9</f>
        <v>3128.4</v>
      </c>
      <c r="E349" s="475"/>
      <c r="F349" s="475"/>
      <c r="G349" s="475"/>
      <c r="H349" s="475"/>
      <c r="I349" s="475"/>
      <c r="J349" s="475"/>
      <c r="K349" s="22">
        <v>45992</v>
      </c>
      <c r="L349" s="475"/>
      <c r="M349" s="475"/>
      <c r="N349" s="123"/>
      <c r="O349" s="98"/>
      <c r="P349" s="648"/>
      <c r="Q349" s="123"/>
      <c r="R349" s="123"/>
      <c r="S349" s="123"/>
    </row>
    <row r="350" spans="1:19" ht="20.25">
      <c r="A350" s="123"/>
      <c r="B350" s="654"/>
      <c r="C350" s="655"/>
      <c r="D350" s="656"/>
      <c r="E350" s="865">
        <v>46143</v>
      </c>
      <c r="F350" s="866">
        <v>3.5000000000000003E-2</v>
      </c>
      <c r="G350" s="867"/>
      <c r="H350" s="865">
        <v>46054</v>
      </c>
      <c r="I350" s="866">
        <v>0</v>
      </c>
      <c r="J350" s="867"/>
      <c r="K350" s="865">
        <v>45992</v>
      </c>
      <c r="L350" s="23"/>
      <c r="M350" s="21"/>
      <c r="N350" s="657"/>
      <c r="O350" s="123"/>
      <c r="P350" s="123"/>
      <c r="Q350" s="123"/>
      <c r="R350" s="123"/>
      <c r="S350" s="123"/>
    </row>
    <row r="351" spans="1:19" ht="15.75">
      <c r="A351" s="123"/>
      <c r="B351" s="477" t="s">
        <v>468</v>
      </c>
      <c r="C351" s="478" t="s">
        <v>469</v>
      </c>
      <c r="D351" s="479" t="s">
        <v>470</v>
      </c>
      <c r="E351" s="479"/>
      <c r="F351" s="479"/>
      <c r="G351" s="658"/>
      <c r="H351" s="479"/>
      <c r="I351" s="479"/>
      <c r="J351" s="658"/>
      <c r="K351" s="479"/>
      <c r="L351" s="479"/>
      <c r="M351" s="658"/>
      <c r="N351" s="657"/>
      <c r="O351" s="123"/>
      <c r="P351" s="123"/>
      <c r="Q351" s="123"/>
      <c r="R351" s="123"/>
      <c r="S351" s="123"/>
    </row>
    <row r="352" spans="1:19" ht="15.75">
      <c r="A352" s="123"/>
      <c r="B352" s="492">
        <v>4</v>
      </c>
      <c r="C352" s="659">
        <f>C406</f>
        <v>36</v>
      </c>
      <c r="D352" s="246" t="s">
        <v>532</v>
      </c>
      <c r="E352" s="660">
        <f t="shared" ref="E352:E361" si="79">E406</f>
        <v>854894.11392000003</v>
      </c>
      <c r="F352" s="660"/>
      <c r="G352" s="661"/>
      <c r="H352" s="660">
        <f t="shared" ref="H352:H361" si="80">H406</f>
        <v>825984.49204517377</v>
      </c>
      <c r="I352" s="660"/>
      <c r="J352" s="661"/>
      <c r="K352" s="660">
        <f t="shared" ref="K352:K361" si="81">K406</f>
        <v>825984.49204517377</v>
      </c>
      <c r="L352" s="660"/>
      <c r="M352" s="661"/>
      <c r="N352" s="657"/>
      <c r="O352" s="123"/>
      <c r="P352" s="123"/>
      <c r="Q352" s="123"/>
      <c r="R352" s="123"/>
      <c r="S352" s="123"/>
    </row>
    <row r="353" spans="1:19" ht="15.75">
      <c r="A353" s="123"/>
      <c r="B353" s="486">
        <v>10</v>
      </c>
      <c r="C353" s="487">
        <f>porantighorsup</f>
        <v>1.2</v>
      </c>
      <c r="D353" s="249" t="s">
        <v>480</v>
      </c>
      <c r="E353" s="662">
        <f t="shared" si="79"/>
        <v>1055872.936704</v>
      </c>
      <c r="F353" s="662"/>
      <c r="G353" s="663"/>
      <c r="H353" s="662">
        <f t="shared" si="80"/>
        <v>1021181.3904542085</v>
      </c>
      <c r="I353" s="662"/>
      <c r="J353" s="663"/>
      <c r="K353" s="662">
        <f t="shared" si="81"/>
        <v>1021181.3904542085</v>
      </c>
      <c r="L353" s="662"/>
      <c r="M353" s="663"/>
      <c r="N353" s="657"/>
      <c r="O353" s="123"/>
      <c r="P353" s="123"/>
      <c r="Q353" s="123"/>
      <c r="R353" s="123"/>
      <c r="S353" s="123"/>
    </row>
    <row r="354" spans="1:19" ht="15.75">
      <c r="A354" s="123"/>
      <c r="B354" s="492">
        <v>6</v>
      </c>
      <c r="C354" s="507">
        <f>C408</f>
        <v>17</v>
      </c>
      <c r="D354" s="246" t="s">
        <v>479</v>
      </c>
      <c r="E354" s="664">
        <f t="shared" si="79"/>
        <v>75157.570349999995</v>
      </c>
      <c r="F354" s="664"/>
      <c r="G354" s="247"/>
      <c r="H354" s="664">
        <f t="shared" si="80"/>
        <v>72616.009999999995</v>
      </c>
      <c r="I354" s="664"/>
      <c r="J354" s="247"/>
      <c r="K354" s="664">
        <f t="shared" si="81"/>
        <v>72616.009999999995</v>
      </c>
      <c r="L354" s="664"/>
      <c r="M354" s="247"/>
      <c r="N354" s="657"/>
      <c r="O354" s="123"/>
      <c r="P354" s="123"/>
      <c r="Q354" s="123"/>
      <c r="R354" s="123"/>
      <c r="S354" s="123"/>
    </row>
    <row r="355" spans="1:19" ht="15.75">
      <c r="A355" s="123"/>
      <c r="B355" s="486">
        <v>14</v>
      </c>
      <c r="C355" s="487">
        <v>7.0000000000000007E-2</v>
      </c>
      <c r="D355" s="249" t="s">
        <v>533</v>
      </c>
      <c r="E355" s="662">
        <f t="shared" si="79"/>
        <v>5261.0299245000006</v>
      </c>
      <c r="F355" s="662"/>
      <c r="G355" s="663"/>
      <c r="H355" s="662">
        <f t="shared" si="80"/>
        <v>5083.1207000000004</v>
      </c>
      <c r="I355" s="662"/>
      <c r="J355" s="663"/>
      <c r="K355" s="662">
        <f t="shared" si="81"/>
        <v>5083.1207000000004</v>
      </c>
      <c r="L355" s="662"/>
      <c r="M355" s="663"/>
      <c r="N355" s="657"/>
      <c r="O355" s="123"/>
      <c r="P355" s="123"/>
      <c r="Q355" s="123"/>
      <c r="R355" s="123"/>
      <c r="S355" s="123"/>
    </row>
    <row r="356" spans="1:19" ht="15.75">
      <c r="A356" s="123"/>
      <c r="B356" s="480">
        <v>188</v>
      </c>
      <c r="C356" s="665">
        <v>7.0000000000000007E-2</v>
      </c>
      <c r="D356" s="482" t="s">
        <v>482</v>
      </c>
      <c r="E356" s="666">
        <f t="shared" si="79"/>
        <v>146732.00894674001</v>
      </c>
      <c r="F356" s="666"/>
      <c r="G356" s="247"/>
      <c r="H356" s="666">
        <f t="shared" si="80"/>
        <v>141900.22569095678</v>
      </c>
      <c r="I356" s="666"/>
      <c r="J356" s="247"/>
      <c r="K356" s="666">
        <f t="shared" si="81"/>
        <v>141900.22569095678</v>
      </c>
      <c r="L356" s="666"/>
      <c r="M356" s="247"/>
      <c r="N356" s="657"/>
      <c r="O356" s="123"/>
      <c r="P356" s="123"/>
      <c r="Q356" s="123"/>
      <c r="R356" s="123"/>
      <c r="S356" s="123"/>
    </row>
    <row r="357" spans="1:19" ht="15.75">
      <c r="A357" s="123"/>
      <c r="B357" s="486">
        <v>117</v>
      </c>
      <c r="C357" s="667"/>
      <c r="D357" s="249" t="s">
        <v>487</v>
      </c>
      <c r="E357" s="662">
        <f t="shared" si="79"/>
        <v>53711.530757999994</v>
      </c>
      <c r="F357" s="662"/>
      <c r="G357" s="247"/>
      <c r="H357" s="662">
        <f t="shared" si="80"/>
        <v>51895.198799999998</v>
      </c>
      <c r="I357" s="662"/>
      <c r="J357" s="247"/>
      <c r="K357" s="662">
        <f t="shared" si="81"/>
        <v>51895.198799999998</v>
      </c>
      <c r="L357" s="662"/>
      <c r="M357" s="247"/>
      <c r="N357" s="657"/>
      <c r="O357" s="123"/>
      <c r="P357" s="123"/>
      <c r="Q357" s="123"/>
      <c r="R357" s="123"/>
      <c r="S357" s="123"/>
    </row>
    <row r="358" spans="1:19" ht="15.75">
      <c r="A358" s="123"/>
      <c r="B358" s="492">
        <v>29</v>
      </c>
      <c r="C358" s="492">
        <f>cantkmhs</f>
        <v>0</v>
      </c>
      <c r="D358" s="246" t="s">
        <v>489</v>
      </c>
      <c r="E358" s="664">
        <f t="shared" si="79"/>
        <v>0</v>
      </c>
      <c r="F358" s="664"/>
      <c r="G358" s="247"/>
      <c r="H358" s="664">
        <f t="shared" si="80"/>
        <v>0</v>
      </c>
      <c r="I358" s="664"/>
      <c r="J358" s="247"/>
      <c r="K358" s="664">
        <f t="shared" si="81"/>
        <v>0</v>
      </c>
      <c r="L358" s="664"/>
      <c r="M358" s="247"/>
      <c r="N358" s="657"/>
      <c r="O358" s="123"/>
      <c r="P358" s="123"/>
      <c r="Q358" s="123"/>
      <c r="R358" s="123"/>
      <c r="S358" s="123"/>
    </row>
    <row r="359" spans="1:19" ht="16.5" thickBot="1">
      <c r="A359" s="123"/>
      <c r="B359" s="498">
        <v>38</v>
      </c>
      <c r="C359" s="668">
        <f>D347</f>
        <v>15</v>
      </c>
      <c r="D359" s="500" t="s">
        <v>536</v>
      </c>
      <c r="E359" s="669">
        <f t="shared" si="79"/>
        <v>106692.97499999999</v>
      </c>
      <c r="F359" s="669"/>
      <c r="G359" s="670"/>
      <c r="H359" s="669">
        <f t="shared" si="80"/>
        <v>103085</v>
      </c>
      <c r="I359" s="669"/>
      <c r="J359" s="670"/>
      <c r="K359" s="669">
        <f t="shared" si="81"/>
        <v>103085</v>
      </c>
      <c r="L359" s="669"/>
      <c r="M359" s="670"/>
      <c r="N359" s="657"/>
      <c r="O359" s="123"/>
      <c r="P359" s="123"/>
      <c r="Q359" s="123"/>
      <c r="R359" s="123"/>
      <c r="S359" s="123"/>
    </row>
    <row r="360" spans="1:19" ht="16.5" thickBot="1">
      <c r="A360" s="123"/>
      <c r="B360" s="266">
        <v>25</v>
      </c>
      <c r="C360" s="501">
        <v>1</v>
      </c>
      <c r="D360" s="374" t="s">
        <v>488</v>
      </c>
      <c r="E360" s="671">
        <f t="shared" si="79"/>
        <v>25000</v>
      </c>
      <c r="F360" s="669"/>
      <c r="G360" s="670"/>
      <c r="H360" s="671">
        <f t="shared" si="80"/>
        <v>25000</v>
      </c>
      <c r="I360" s="669"/>
      <c r="J360" s="670"/>
      <c r="K360" s="671">
        <f t="shared" si="81"/>
        <v>25000</v>
      </c>
      <c r="L360" s="669"/>
      <c r="M360" s="670"/>
      <c r="N360" s="657"/>
      <c r="O360" s="123"/>
      <c r="P360" s="123"/>
      <c r="Q360" s="123"/>
      <c r="R360" s="123"/>
      <c r="S360" s="123"/>
    </row>
    <row r="361" spans="1:19" ht="15.75">
      <c r="A361" s="123"/>
      <c r="B361" s="480"/>
      <c r="C361" s="672"/>
      <c r="D361" s="673" t="s">
        <v>544</v>
      </c>
      <c r="E361" s="674">
        <f t="shared" si="79"/>
        <v>2323322.16560324</v>
      </c>
      <c r="F361" s="674"/>
      <c r="G361" s="675"/>
      <c r="H361" s="674">
        <f t="shared" si="80"/>
        <v>2246745.4376903391</v>
      </c>
      <c r="I361" s="674"/>
      <c r="J361" s="675"/>
      <c r="K361" s="674">
        <f t="shared" si="81"/>
        <v>2246745.4376903391</v>
      </c>
      <c r="L361" s="674"/>
      <c r="M361" s="675"/>
      <c r="N361" s="657"/>
      <c r="O361" s="123"/>
      <c r="P361" s="123"/>
      <c r="Q361" s="123"/>
      <c r="R361" s="123"/>
      <c r="S361" s="123"/>
    </row>
    <row r="362" spans="1:19" ht="15.75">
      <c r="A362" s="123"/>
      <c r="B362" s="505" t="s">
        <v>538</v>
      </c>
      <c r="C362" s="676"/>
      <c r="D362" s="249"/>
      <c r="E362" s="677">
        <v>0</v>
      </c>
      <c r="F362" s="662"/>
      <c r="G362" s="663"/>
      <c r="H362" s="677">
        <v>0</v>
      </c>
      <c r="I362" s="662"/>
      <c r="J362" s="663"/>
      <c r="K362" s="677">
        <v>0</v>
      </c>
      <c r="L362" s="662"/>
      <c r="M362" s="663"/>
      <c r="N362" s="657"/>
      <c r="O362" s="123"/>
      <c r="P362" s="123"/>
      <c r="Q362" s="123"/>
      <c r="R362" s="123"/>
      <c r="S362" s="123"/>
    </row>
    <row r="363" spans="1:19" ht="15.75">
      <c r="A363" s="336">
        <f>1.6874*1.1888-1</f>
        <v>1.00598112</v>
      </c>
      <c r="B363" s="678"/>
      <c r="C363" s="679"/>
      <c r="D363" s="246"/>
      <c r="E363" s="664">
        <f t="shared" ref="E363:E367" si="82">E417</f>
        <v>0</v>
      </c>
      <c r="F363" s="664"/>
      <c r="G363" s="247"/>
      <c r="H363" s="664">
        <f t="shared" ref="H363:H367" si="83">H417</f>
        <v>0</v>
      </c>
      <c r="I363" s="664"/>
      <c r="J363" s="247"/>
      <c r="K363" s="664">
        <f>K417</f>
        <v>0</v>
      </c>
      <c r="L363" s="664"/>
      <c r="M363" s="247"/>
      <c r="N363" s="657"/>
      <c r="O363" s="123"/>
      <c r="P363" s="123"/>
      <c r="Q363" s="123"/>
      <c r="R363" s="123"/>
      <c r="S363" s="123"/>
    </row>
    <row r="364" spans="1:19" ht="15.75">
      <c r="A364" s="123"/>
      <c r="B364" s="486">
        <v>184</v>
      </c>
      <c r="C364" s="680">
        <f>C418</f>
        <v>23.999999999999996</v>
      </c>
      <c r="D364" s="249" t="s">
        <v>493</v>
      </c>
      <c r="E364" s="662">
        <f t="shared" si="82"/>
        <v>73504.799999999988</v>
      </c>
      <c r="F364" s="662"/>
      <c r="G364" s="247"/>
      <c r="H364" s="662">
        <f t="shared" si="83"/>
        <v>73504.799999999988</v>
      </c>
      <c r="I364" s="662"/>
      <c r="J364" s="247"/>
      <c r="K364" s="662">
        <f>K418</f>
        <v>73504.799999999988</v>
      </c>
      <c r="L364" s="662"/>
      <c r="M364" s="247"/>
      <c r="N364" s="657"/>
      <c r="O364" s="123"/>
      <c r="P364" s="123"/>
      <c r="Q364" s="123"/>
      <c r="R364" s="123"/>
      <c r="S364" s="123"/>
    </row>
    <row r="365" spans="1:19" ht="15.75">
      <c r="A365" s="123"/>
      <c r="B365" s="480">
        <v>204</v>
      </c>
      <c r="C365" s="490">
        <f>C419</f>
        <v>24</v>
      </c>
      <c r="D365" s="482" t="s">
        <v>494</v>
      </c>
      <c r="E365" s="666">
        <f t="shared" si="82"/>
        <v>54907.200000000004</v>
      </c>
      <c r="F365" s="666"/>
      <c r="G365" s="681"/>
      <c r="H365" s="666">
        <f t="shared" si="83"/>
        <v>54907.200000000004</v>
      </c>
      <c r="I365" s="666"/>
      <c r="J365" s="681"/>
      <c r="K365" s="666">
        <f>K419</f>
        <v>54907.200000000004</v>
      </c>
      <c r="L365" s="666"/>
      <c r="M365" s="681"/>
      <c r="N365" s="657"/>
      <c r="O365" s="123"/>
      <c r="P365" s="123"/>
      <c r="Q365" s="123"/>
      <c r="R365" s="123"/>
      <c r="S365" s="123"/>
    </row>
    <row r="366" spans="1:19" ht="15.75">
      <c r="A366" s="123"/>
      <c r="B366" s="682" t="str">
        <f t="shared" ref="B366:D366" si="84">B420</f>
        <v>Negro</v>
      </c>
      <c r="C366" s="682">
        <f t="shared" si="84"/>
        <v>15</v>
      </c>
      <c r="D366" s="682" t="str">
        <f t="shared" si="84"/>
        <v>Nuevo Monto en Negro</v>
      </c>
      <c r="E366" s="683">
        <f t="shared" si="82"/>
        <v>60000</v>
      </c>
      <c r="F366" s="662"/>
      <c r="G366" s="663"/>
      <c r="H366" s="683">
        <f t="shared" si="83"/>
        <v>60000</v>
      </c>
      <c r="I366" s="662"/>
      <c r="J366" s="663"/>
      <c r="K366" s="684"/>
      <c r="L366" s="662"/>
      <c r="M366" s="663"/>
      <c r="N366" s="657"/>
      <c r="O366" s="123"/>
      <c r="P366" s="123"/>
      <c r="Q366" s="123"/>
      <c r="R366" s="123"/>
      <c r="S366" s="123"/>
    </row>
    <row r="367" spans="1:19" ht="15.75">
      <c r="A367" s="123"/>
      <c r="B367" s="492"/>
      <c r="C367" s="685"/>
      <c r="D367" s="686" t="s">
        <v>539</v>
      </c>
      <c r="E367" s="687">
        <f t="shared" si="82"/>
        <v>2511734.16560324</v>
      </c>
      <c r="F367" s="687"/>
      <c r="G367" s="688"/>
      <c r="H367" s="687">
        <f t="shared" si="83"/>
        <v>2435157.4376903391</v>
      </c>
      <c r="I367" s="687"/>
      <c r="J367" s="688"/>
      <c r="K367" s="687">
        <f>K421</f>
        <v>2375157.4376903391</v>
      </c>
      <c r="L367" s="687"/>
      <c r="M367" s="688"/>
      <c r="N367" s="657"/>
      <c r="O367" s="123"/>
      <c r="P367" s="123"/>
      <c r="Q367" s="123"/>
      <c r="R367" s="123"/>
      <c r="S367" s="123"/>
    </row>
    <row r="368" spans="1:19" ht="15.75">
      <c r="A368" s="123"/>
      <c r="B368" s="486">
        <v>440</v>
      </c>
      <c r="C368" s="689"/>
      <c r="D368" s="249" t="s">
        <v>498</v>
      </c>
      <c r="E368" s="677">
        <v>0</v>
      </c>
      <c r="F368" s="662">
        <f t="shared" ref="F368:F373" si="85">F422</f>
        <v>0</v>
      </c>
      <c r="G368" s="663"/>
      <c r="H368" s="677">
        <v>0</v>
      </c>
      <c r="I368" s="662">
        <f t="shared" ref="I368:I373" si="86">I422</f>
        <v>0</v>
      </c>
      <c r="J368" s="663"/>
      <c r="K368" s="677">
        <v>0</v>
      </c>
      <c r="L368" s="662">
        <f t="shared" ref="L368:L373" si="87">L422</f>
        <v>0</v>
      </c>
      <c r="M368" s="663"/>
      <c r="N368" s="657"/>
      <c r="O368" s="123"/>
      <c r="P368" s="123"/>
      <c r="Q368" s="123"/>
      <c r="R368" s="123"/>
      <c r="S368" s="123"/>
    </row>
    <row r="369" spans="1:19" ht="15.75">
      <c r="A369" s="123"/>
      <c r="B369" s="492">
        <v>502</v>
      </c>
      <c r="C369" s="287" t="s">
        <v>499</v>
      </c>
      <c r="D369" s="521" t="s">
        <v>540</v>
      </c>
      <c r="E369" s="483"/>
      <c r="F369" s="660">
        <f t="shared" si="85"/>
        <v>-441431.2114646156</v>
      </c>
      <c r="G369" s="690"/>
      <c r="H369" s="483"/>
      <c r="I369" s="660">
        <f t="shared" si="86"/>
        <v>-426881.63316116441</v>
      </c>
      <c r="J369" s="690"/>
      <c r="K369" s="483"/>
      <c r="L369" s="660">
        <f t="shared" si="87"/>
        <v>-426881.63316116441</v>
      </c>
      <c r="M369" s="690"/>
      <c r="N369" s="657"/>
      <c r="O369" s="123"/>
      <c r="P369" s="123"/>
      <c r="Q369" s="123"/>
      <c r="R369" s="123"/>
      <c r="S369" s="123"/>
    </row>
    <row r="370" spans="1:19" ht="15.75">
      <c r="A370" s="123"/>
      <c r="B370" s="492">
        <v>505</v>
      </c>
      <c r="C370" s="492">
        <v>0.03</v>
      </c>
      <c r="D370" s="521" t="s">
        <v>541</v>
      </c>
      <c r="E370" s="483"/>
      <c r="F370" s="660">
        <f t="shared" si="85"/>
        <v>-69699.664968097204</v>
      </c>
      <c r="G370" s="690"/>
      <c r="H370" s="483"/>
      <c r="I370" s="660">
        <f t="shared" si="86"/>
        <v>-67402.363130710175</v>
      </c>
      <c r="J370" s="690"/>
      <c r="K370" s="483"/>
      <c r="L370" s="660">
        <f t="shared" si="87"/>
        <v>-67402.363130710175</v>
      </c>
      <c r="M370" s="690"/>
      <c r="N370" s="657"/>
      <c r="O370" s="123"/>
      <c r="P370" s="123"/>
      <c r="Q370" s="123"/>
      <c r="R370" s="123"/>
      <c r="S370" s="123"/>
    </row>
    <row r="371" spans="1:19" ht="15.75">
      <c r="A371" s="123"/>
      <c r="B371" s="691">
        <v>332</v>
      </c>
      <c r="C371" s="692">
        <v>0</v>
      </c>
      <c r="D371" s="517" t="s">
        <v>503</v>
      </c>
      <c r="E371" s="488"/>
      <c r="F371" s="693">
        <f t="shared" si="85"/>
        <v>0</v>
      </c>
      <c r="G371" s="694"/>
      <c r="H371" s="488"/>
      <c r="I371" s="693">
        <f t="shared" si="86"/>
        <v>0</v>
      </c>
      <c r="J371" s="694"/>
      <c r="K371" s="488"/>
      <c r="L371" s="693">
        <f t="shared" si="87"/>
        <v>0</v>
      </c>
      <c r="M371" s="694"/>
      <c r="N371" s="657"/>
      <c r="O371" s="123"/>
      <c r="P371" s="123"/>
      <c r="Q371" s="123"/>
      <c r="R371" s="123"/>
      <c r="S371" s="123"/>
    </row>
    <row r="372" spans="1:19" ht="15.75">
      <c r="A372" s="123"/>
      <c r="B372" s="519" t="s">
        <v>504</v>
      </c>
      <c r="C372" s="493">
        <v>0</v>
      </c>
      <c r="D372" s="246"/>
      <c r="E372" s="664"/>
      <c r="F372" s="664">
        <f t="shared" si="85"/>
        <v>0</v>
      </c>
      <c r="G372" s="247"/>
      <c r="H372" s="664"/>
      <c r="I372" s="664">
        <f t="shared" si="86"/>
        <v>0</v>
      </c>
      <c r="J372" s="247"/>
      <c r="K372" s="664"/>
      <c r="L372" s="664">
        <f t="shared" si="87"/>
        <v>0</v>
      </c>
      <c r="M372" s="247"/>
      <c r="N372" s="657"/>
      <c r="O372" s="123"/>
      <c r="P372" s="123"/>
      <c r="Q372" s="123"/>
      <c r="R372" s="123"/>
      <c r="S372" s="123"/>
    </row>
    <row r="373" spans="1:19" ht="15.75">
      <c r="A373" s="123"/>
      <c r="B373" s="695"/>
      <c r="C373" s="695"/>
      <c r="D373" s="696" t="s">
        <v>505</v>
      </c>
      <c r="E373" s="697"/>
      <c r="F373" s="697">
        <f t="shared" si="85"/>
        <v>-511130.87643271277</v>
      </c>
      <c r="G373" s="698"/>
      <c r="H373" s="697"/>
      <c r="I373" s="697">
        <f t="shared" si="86"/>
        <v>-494283.99629187456</v>
      </c>
      <c r="J373" s="698"/>
      <c r="K373" s="697"/>
      <c r="L373" s="697">
        <f t="shared" si="87"/>
        <v>-494283.99629187456</v>
      </c>
      <c r="M373" s="698"/>
      <c r="N373" s="657"/>
      <c r="O373" s="123"/>
      <c r="P373" s="123"/>
      <c r="Q373" s="123"/>
      <c r="R373" s="123"/>
      <c r="S373" s="123"/>
    </row>
    <row r="374" spans="1:19" ht="15.75">
      <c r="A374" s="123"/>
      <c r="B374" s="699"/>
      <c r="C374" s="699"/>
      <c r="D374" s="699"/>
      <c r="E374" s="700"/>
      <c r="F374" s="700"/>
      <c r="G374" s="701"/>
      <c r="H374" s="700"/>
      <c r="I374" s="700"/>
      <c r="J374" s="701"/>
      <c r="K374" s="700"/>
      <c r="L374" s="700"/>
      <c r="M374" s="701"/>
      <c r="N374" s="123"/>
      <c r="O374" s="123"/>
      <c r="P374" s="123"/>
      <c r="Q374" s="123"/>
      <c r="R374" s="123"/>
      <c r="S374" s="123"/>
    </row>
    <row r="375" spans="1:19" ht="18">
      <c r="A375" s="702"/>
      <c r="B375" s="703"/>
      <c r="C375" s="702"/>
      <c r="D375" s="704"/>
      <c r="E375" s="705" t="str">
        <f t="shared" ref="E375:F375" si="88">E429</f>
        <v>Sueldo líquido</v>
      </c>
      <c r="F375" s="705">
        <f t="shared" si="88"/>
        <v>2000603.2891705274</v>
      </c>
      <c r="G375" s="704"/>
      <c r="H375" s="705" t="str">
        <f t="shared" ref="H375:I375" si="89">H429</f>
        <v>Sueldo líquido</v>
      </c>
      <c r="I375" s="705">
        <f t="shared" si="89"/>
        <v>1940873.4413984646</v>
      </c>
      <c r="J375" s="704"/>
      <c r="K375" s="705" t="str">
        <f t="shared" ref="K375:L375" si="90">K429</f>
        <v>Sueldo líquido</v>
      </c>
      <c r="L375" s="705">
        <f t="shared" si="90"/>
        <v>1880873.4413984646</v>
      </c>
      <c r="M375" s="704"/>
      <c r="N375" s="706"/>
      <c r="O375" s="702"/>
      <c r="P375" s="702"/>
      <c r="Q375" s="702"/>
      <c r="R375" s="702"/>
      <c r="S375" s="702"/>
    </row>
    <row r="376" spans="1:19" ht="15.75">
      <c r="A376" s="123"/>
      <c r="B376" s="707"/>
      <c r="C376" s="31"/>
      <c r="D376" s="98"/>
      <c r="E376" s="708"/>
      <c r="F376" s="543"/>
      <c r="G376" s="541"/>
      <c r="H376" s="708"/>
      <c r="I376" s="543"/>
      <c r="J376" s="541"/>
      <c r="K376" s="708"/>
      <c r="L376" s="543"/>
      <c r="M376" s="541"/>
      <c r="N376" s="657"/>
      <c r="O376" s="123"/>
      <c r="P376" s="123"/>
      <c r="Q376" s="123"/>
      <c r="R376" s="123"/>
      <c r="S376" s="123"/>
    </row>
    <row r="377" spans="1:19" ht="16.5" thickBot="1">
      <c r="A377" s="123"/>
      <c r="B377" s="378"/>
      <c r="C377" s="31"/>
      <c r="D377" s="98"/>
      <c r="E377" s="709"/>
      <c r="F377" s="710"/>
      <c r="G377" s="541"/>
      <c r="H377" s="709"/>
      <c r="I377" s="710"/>
      <c r="J377" s="541"/>
      <c r="K377" s="709"/>
      <c r="L377" s="710"/>
      <c r="M377" s="541"/>
      <c r="N377" s="657"/>
      <c r="O377" s="123"/>
      <c r="P377" s="123"/>
      <c r="Q377" s="123"/>
      <c r="R377" s="123"/>
      <c r="S377" s="123"/>
    </row>
    <row r="378" spans="1:19" ht="15.75">
      <c r="A378" s="123"/>
      <c r="B378" s="378"/>
      <c r="C378" s="31"/>
      <c r="D378" s="98"/>
      <c r="E378" s="711" t="str">
        <f t="shared" ref="E378:F379" si="91">E431</f>
        <v>Aumento del mes</v>
      </c>
      <c r="F378" s="712">
        <f t="shared" si="91"/>
        <v>59729.847772062756</v>
      </c>
      <c r="G378" s="541"/>
      <c r="H378" s="711" t="str">
        <f t="shared" ref="H378:I379" si="92">H431</f>
        <v>Aumento del mes</v>
      </c>
      <c r="I378" s="712">
        <f t="shared" si="92"/>
        <v>60000</v>
      </c>
      <c r="J378" s="541"/>
      <c r="K378" s="711" t="str">
        <f t="shared" ref="K378:L379" si="93">K431</f>
        <v>Aumento del mes</v>
      </c>
      <c r="L378" s="712">
        <f t="shared" si="93"/>
        <v>0</v>
      </c>
      <c r="M378" s="541"/>
      <c r="N378" s="657"/>
      <c r="O378" s="123"/>
      <c r="P378" s="123"/>
      <c r="Q378" s="123"/>
      <c r="R378" s="123"/>
      <c r="S378" s="123"/>
    </row>
    <row r="379" spans="1:19" ht="16.5" thickBot="1">
      <c r="A379" s="123"/>
      <c r="B379" s="378"/>
      <c r="C379" s="31"/>
      <c r="D379" s="98"/>
      <c r="E379" s="713" t="str">
        <f t="shared" si="91"/>
        <v>Porc resp a anterior</v>
      </c>
      <c r="F379" s="714">
        <f t="shared" si="91"/>
        <v>3.077472569722289E-2</v>
      </c>
      <c r="G379" s="541"/>
      <c r="H379" s="713" t="str">
        <f t="shared" si="92"/>
        <v>Porc resp a anterior</v>
      </c>
      <c r="I379" s="714">
        <f t="shared" si="92"/>
        <v>3.1900072955141988E-2</v>
      </c>
      <c r="J379" s="541"/>
      <c r="K379" s="713" t="str">
        <f t="shared" si="93"/>
        <v>Porc resp a anterior</v>
      </c>
      <c r="L379" s="714">
        <f t="shared" si="93"/>
        <v>0</v>
      </c>
      <c r="M379" s="541"/>
      <c r="N379" s="657"/>
      <c r="O379" s="123"/>
      <c r="P379" s="123"/>
      <c r="Q379" s="123"/>
      <c r="R379" s="123"/>
      <c r="S379" s="123"/>
    </row>
    <row r="380" spans="1:19" ht="16.5" thickBot="1">
      <c r="A380" s="123"/>
      <c r="B380" s="31"/>
      <c r="C380" s="31"/>
      <c r="D380" s="715"/>
      <c r="E380" s="709"/>
      <c r="F380" s="709"/>
      <c r="G380" s="297"/>
      <c r="H380" s="709"/>
      <c r="I380" s="709"/>
      <c r="J380" s="297"/>
      <c r="K380" s="709"/>
      <c r="L380" s="709"/>
      <c r="M380" s="297"/>
      <c r="N380" s="657"/>
      <c r="O380" s="123"/>
      <c r="P380" s="123"/>
      <c r="Q380" s="123"/>
      <c r="R380" s="123"/>
      <c r="S380" s="123"/>
    </row>
    <row r="381" spans="1:19" ht="15.75">
      <c r="A381" s="123"/>
      <c r="B381" s="546"/>
      <c r="C381" s="716"/>
      <c r="D381" s="87"/>
      <c r="E381" s="717" t="str">
        <f>E434</f>
        <v>Aumento acumulado</v>
      </c>
      <c r="F381" s="317">
        <f>F434</f>
        <v>119729.84777206276</v>
      </c>
      <c r="G381" s="549"/>
      <c r="H381" s="717" t="str">
        <f>H434</f>
        <v>Aumento acumulado</v>
      </c>
      <c r="I381" s="317">
        <f>I434</f>
        <v>60000</v>
      </c>
      <c r="J381" s="549"/>
      <c r="K381" s="717" t="str">
        <f>K434</f>
        <v>Aumento acumulado</v>
      </c>
      <c r="L381" s="317">
        <f>L434</f>
        <v>0</v>
      </c>
      <c r="M381" s="549"/>
      <c r="N381" s="657"/>
      <c r="O381" s="123"/>
      <c r="P381" s="123"/>
      <c r="Q381" s="123"/>
      <c r="R381" s="123"/>
      <c r="S381" s="123"/>
    </row>
    <row r="382" spans="1:19" ht="18.75" thickBot="1">
      <c r="A382" s="123"/>
      <c r="B382" s="546"/>
      <c r="C382" s="98"/>
      <c r="D382" s="305"/>
      <c r="E382" s="718" t="str">
        <f>E435</f>
        <v>Porcentaje acumulado</v>
      </c>
      <c r="F382" s="556">
        <f>F435</f>
        <v>6.3656514647280768E-2</v>
      </c>
      <c r="G382" s="549"/>
      <c r="H382" s="718" t="str">
        <f>H435</f>
        <v>Porcentaje acumulado</v>
      </c>
      <c r="I382" s="556">
        <f>I435</f>
        <v>3.1900072955141988E-2</v>
      </c>
      <c r="J382" s="549"/>
      <c r="K382" s="718" t="str">
        <f>K435</f>
        <v>Porcentaje acumulado</v>
      </c>
      <c r="L382" s="556">
        <f>L435</f>
        <v>0</v>
      </c>
      <c r="M382" s="549"/>
      <c r="N382" s="657"/>
      <c r="O382" s="123"/>
      <c r="P382" s="123"/>
      <c r="Q382" s="123"/>
      <c r="R382" s="123"/>
      <c r="S382" s="123"/>
    </row>
    <row r="383" spans="1:19" ht="16.5" thickBot="1">
      <c r="A383" s="123"/>
      <c r="B383" s="546"/>
      <c r="C383" s="719"/>
      <c r="D383" s="31"/>
      <c r="E383" s="709"/>
      <c r="F383" s="709"/>
      <c r="G383" s="549"/>
      <c r="H383" s="709"/>
      <c r="I383" s="709"/>
      <c r="J383" s="549"/>
      <c r="K383" s="709"/>
      <c r="L383" s="709"/>
      <c r="M383" s="549"/>
      <c r="N383" s="123"/>
      <c r="O383" s="123"/>
      <c r="P383" s="123"/>
      <c r="Q383" s="123"/>
      <c r="R383" s="123"/>
      <c r="S383" s="123"/>
    </row>
    <row r="384" spans="1:19" ht="15.75">
      <c r="A384" s="123"/>
      <c r="B384" s="31"/>
      <c r="C384" s="31"/>
      <c r="D384" s="31"/>
      <c r="E384" s="720" t="str">
        <f t="shared" ref="E384:F385" si="94">E437</f>
        <v>Aumento Remunerativo</v>
      </c>
      <c r="F384" s="321">
        <f t="shared" si="94"/>
        <v>59729.847772062756</v>
      </c>
      <c r="G384" s="297"/>
      <c r="H384" s="720" t="str">
        <f t="shared" ref="H384:I385" si="95">H437</f>
        <v>Aumento Remunerativo</v>
      </c>
      <c r="I384" s="321">
        <f t="shared" si="95"/>
        <v>0</v>
      </c>
      <c r="J384" s="297"/>
      <c r="K384" s="720" t="str">
        <f t="shared" ref="K384:L385" si="96">K437</f>
        <v>Aumento Remunerativo</v>
      </c>
      <c r="L384" s="321">
        <f t="shared" si="96"/>
        <v>0</v>
      </c>
      <c r="M384" s="297"/>
      <c r="N384" s="657"/>
      <c r="O384" s="123"/>
      <c r="P384" s="123"/>
      <c r="Q384" s="123"/>
      <c r="R384" s="123"/>
      <c r="S384" s="123"/>
    </row>
    <row r="385" spans="1:19" ht="16.5" thickBot="1">
      <c r="A385" s="123"/>
      <c r="B385" s="31"/>
      <c r="C385" s="31"/>
      <c r="D385" s="31"/>
      <c r="E385" s="721" t="str">
        <f t="shared" si="94"/>
        <v>Rem Porcentual</v>
      </c>
      <c r="F385" s="564">
        <f t="shared" si="94"/>
        <v>3.4083401985950869E-2</v>
      </c>
      <c r="G385" s="297"/>
      <c r="H385" s="721" t="str">
        <f t="shared" si="95"/>
        <v>Rem Porcentual</v>
      </c>
      <c r="I385" s="564">
        <f t="shared" si="95"/>
        <v>0</v>
      </c>
      <c r="J385" s="297"/>
      <c r="K385" s="721" t="str">
        <f t="shared" si="96"/>
        <v>Rem Porcentual</v>
      </c>
      <c r="L385" s="564">
        <f t="shared" si="96"/>
        <v>0</v>
      </c>
      <c r="M385" s="297"/>
      <c r="N385" s="657"/>
      <c r="O385" s="123"/>
      <c r="P385" s="123"/>
      <c r="Q385" s="123"/>
      <c r="R385" s="123"/>
      <c r="S385" s="123"/>
    </row>
    <row r="386" spans="1:19" ht="16.5" thickBot="1">
      <c r="A386" s="123"/>
      <c r="B386" s="31"/>
      <c r="C386" s="31"/>
      <c r="D386" s="31"/>
      <c r="E386" s="709"/>
      <c r="F386" s="709"/>
      <c r="G386" s="297"/>
      <c r="H386" s="709"/>
      <c r="I386" s="709"/>
      <c r="J386" s="297"/>
      <c r="K386" s="709"/>
      <c r="L386" s="709"/>
      <c r="M386" s="297"/>
      <c r="N386" s="657"/>
      <c r="O386" s="123"/>
      <c r="P386" s="123"/>
      <c r="Q386" s="123"/>
      <c r="R386" s="123"/>
      <c r="S386" s="123"/>
    </row>
    <row r="387" spans="1:19" ht="15.75">
      <c r="A387" s="123"/>
      <c r="B387" s="31"/>
      <c r="C387" s="31"/>
      <c r="D387" s="31"/>
      <c r="E387" s="320" t="s">
        <v>515</v>
      </c>
      <c r="F387" s="321">
        <f t="shared" ref="F387:F388" si="97">F440</f>
        <v>59729.847772062756</v>
      </c>
      <c r="G387" s="297"/>
      <c r="H387" s="320" t="s">
        <v>515</v>
      </c>
      <c r="I387" s="321">
        <f t="shared" ref="I387:I388" si="98">I440</f>
        <v>0</v>
      </c>
      <c r="J387" s="297"/>
      <c r="K387" s="709"/>
      <c r="L387" s="722"/>
      <c r="M387" s="297"/>
      <c r="N387" s="657"/>
      <c r="O387" s="123"/>
      <c r="P387" s="123"/>
      <c r="Q387" s="123"/>
      <c r="R387" s="123"/>
      <c r="S387" s="123"/>
    </row>
    <row r="388" spans="1:19" ht="16.5" thickBot="1">
      <c r="A388" s="123"/>
      <c r="B388" s="31"/>
      <c r="C388" s="31"/>
      <c r="D388" s="31"/>
      <c r="E388" s="322" t="s">
        <v>507</v>
      </c>
      <c r="F388" s="323">
        <f t="shared" si="97"/>
        <v>3.4083401985950869E-2</v>
      </c>
      <c r="G388" s="297"/>
      <c r="H388" s="322" t="s">
        <v>507</v>
      </c>
      <c r="I388" s="323">
        <f t="shared" si="98"/>
        <v>0</v>
      </c>
      <c r="J388" s="297"/>
      <c r="K388" s="709"/>
      <c r="L388" s="722"/>
      <c r="M388" s="297"/>
      <c r="N388" s="657"/>
      <c r="O388" s="123"/>
      <c r="P388" s="123"/>
      <c r="Q388" s="123"/>
      <c r="R388" s="123"/>
      <c r="S388" s="123"/>
    </row>
    <row r="389" spans="1:19" ht="16.5" thickBot="1">
      <c r="A389" s="123"/>
      <c r="B389" s="31"/>
      <c r="C389" s="31"/>
      <c r="D389" s="31"/>
      <c r="E389" s="709"/>
      <c r="F389" s="722"/>
      <c r="G389" s="297"/>
      <c r="H389" s="709"/>
      <c r="I389" s="722"/>
      <c r="J389" s="297"/>
      <c r="K389" s="709"/>
      <c r="L389" s="722"/>
      <c r="M389" s="297"/>
      <c r="N389" s="657"/>
      <c r="O389" s="123"/>
      <c r="P389" s="123"/>
      <c r="Q389" s="123"/>
      <c r="R389" s="123"/>
      <c r="S389" s="123"/>
    </row>
    <row r="390" spans="1:19" ht="16.5" thickTop="1">
      <c r="A390" s="123"/>
      <c r="B390" s="31"/>
      <c r="C390" s="31"/>
      <c r="D390" s="31"/>
      <c r="E390" s="723" t="str">
        <f t="shared" ref="E390:F396" si="99">E443</f>
        <v>Medio Aguinaldo</v>
      </c>
      <c r="F390" s="724"/>
      <c r="G390" s="297"/>
      <c r="H390" s="723" t="str">
        <f t="shared" ref="H390:I396" si="100">H443</f>
        <v>Medio Aguinaldo</v>
      </c>
      <c r="I390" s="724"/>
      <c r="J390" s="297"/>
      <c r="K390" s="723" t="str">
        <f t="shared" ref="K390:L396" si="101">K443</f>
        <v>Medio Aguinaldo</v>
      </c>
      <c r="L390" s="724"/>
      <c r="M390" s="297"/>
      <c r="N390" s="657"/>
      <c r="O390" s="123"/>
      <c r="P390" s="123"/>
      <c r="Q390" s="123"/>
      <c r="R390" s="123"/>
      <c r="S390" s="123"/>
    </row>
    <row r="391" spans="1:19" ht="15.75">
      <c r="A391" s="123"/>
      <c r="B391" s="31"/>
      <c r="C391" s="31"/>
      <c r="D391" s="31"/>
      <c r="E391" s="725" t="str">
        <f t="shared" si="99"/>
        <v>código 100</v>
      </c>
      <c r="F391" s="726">
        <f t="shared" si="99"/>
        <v>1161661.08280162</v>
      </c>
      <c r="G391" s="297"/>
      <c r="H391" s="725" t="str">
        <f t="shared" si="100"/>
        <v>código 100</v>
      </c>
      <c r="I391" s="726">
        <f t="shared" si="100"/>
        <v>1123372.7188451695</v>
      </c>
      <c r="J391" s="297"/>
      <c r="K391" s="725" t="str">
        <f t="shared" si="101"/>
        <v>código 100</v>
      </c>
      <c r="L391" s="726">
        <f t="shared" si="101"/>
        <v>1123372.7188451695</v>
      </c>
      <c r="M391" s="297"/>
      <c r="N391" s="123"/>
      <c r="O391" s="123"/>
      <c r="P391" s="123"/>
      <c r="Q391" s="123"/>
      <c r="R391" s="123"/>
      <c r="S391" s="123"/>
    </row>
    <row r="392" spans="1:19" ht="15.75">
      <c r="A392" s="123"/>
      <c r="B392" s="31"/>
      <c r="C392" s="31"/>
      <c r="D392" s="31"/>
      <c r="E392" s="727" t="str">
        <f t="shared" si="99"/>
        <v>código 186 (No remun)</v>
      </c>
      <c r="F392" s="728">
        <f t="shared" si="99"/>
        <v>0</v>
      </c>
      <c r="G392" s="297"/>
      <c r="H392" s="727" t="str">
        <f t="shared" si="100"/>
        <v>código 186 (No remun)</v>
      </c>
      <c r="I392" s="728">
        <f t="shared" si="100"/>
        <v>0</v>
      </c>
      <c r="J392" s="297"/>
      <c r="K392" s="727" t="str">
        <f t="shared" si="101"/>
        <v>código 186 (No remun)</v>
      </c>
      <c r="L392" s="728">
        <f t="shared" si="101"/>
        <v>0</v>
      </c>
      <c r="M392" s="297"/>
      <c r="N392" s="123"/>
      <c r="O392" s="123"/>
      <c r="P392" s="123"/>
      <c r="Q392" s="123"/>
      <c r="R392" s="123"/>
      <c r="S392" s="123"/>
    </row>
    <row r="393" spans="1:19" ht="15.75">
      <c r="A393" s="123"/>
      <c r="B393" s="31"/>
      <c r="C393" s="31"/>
      <c r="D393" s="31"/>
      <c r="E393" s="729" t="str">
        <f t="shared" si="99"/>
        <v>Líquido</v>
      </c>
      <c r="F393" s="730">
        <f t="shared" si="99"/>
        <v>906095.64458526368</v>
      </c>
      <c r="G393" s="297"/>
      <c r="H393" s="729" t="str">
        <f t="shared" si="100"/>
        <v>Líquido</v>
      </c>
      <c r="I393" s="730">
        <f t="shared" si="100"/>
        <v>876230.7206992323</v>
      </c>
      <c r="J393" s="297"/>
      <c r="K393" s="729" t="str">
        <f t="shared" si="101"/>
        <v>Líquido</v>
      </c>
      <c r="L393" s="730">
        <f t="shared" si="101"/>
        <v>876230.7206992323</v>
      </c>
      <c r="M393" s="297"/>
      <c r="N393" s="123"/>
      <c r="O393" s="123"/>
      <c r="P393" s="123"/>
      <c r="Q393" s="123"/>
      <c r="R393" s="123"/>
      <c r="S393" s="123"/>
    </row>
    <row r="394" spans="1:19" ht="15.75">
      <c r="A394" s="123"/>
      <c r="B394" s="31"/>
      <c r="C394" s="31"/>
      <c r="D394" s="31"/>
      <c r="E394" s="727" t="str">
        <f t="shared" si="99"/>
        <v>Descuentos con aguinaldo</v>
      </c>
      <c r="F394" s="728"/>
      <c r="G394" s="297"/>
      <c r="H394" s="727" t="str">
        <f t="shared" si="100"/>
        <v>Descuentos con aguinaldo</v>
      </c>
      <c r="I394" s="728"/>
      <c r="J394" s="297"/>
      <c r="K394" s="727" t="str">
        <f t="shared" si="101"/>
        <v>Descuentos con aguinaldo</v>
      </c>
      <c r="L394" s="728"/>
      <c r="M394" s="297"/>
      <c r="N394" s="123"/>
      <c r="O394" s="123"/>
      <c r="P394" s="123"/>
      <c r="Q394" s="123"/>
      <c r="R394" s="123"/>
      <c r="S394" s="123"/>
    </row>
    <row r="395" spans="1:19" ht="15.75">
      <c r="A395" s="123"/>
      <c r="B395" s="31"/>
      <c r="C395" s="31"/>
      <c r="D395" s="31"/>
      <c r="E395" s="729">
        <f t="shared" si="99"/>
        <v>502</v>
      </c>
      <c r="F395" s="730">
        <f t="shared" si="99"/>
        <v>-662146.81719692342</v>
      </c>
      <c r="G395" s="297"/>
      <c r="H395" s="729">
        <f t="shared" si="100"/>
        <v>502</v>
      </c>
      <c r="I395" s="730">
        <f t="shared" si="100"/>
        <v>-640322.44974174665</v>
      </c>
      <c r="J395" s="297"/>
      <c r="K395" s="729">
        <f t="shared" si="101"/>
        <v>502</v>
      </c>
      <c r="L395" s="730">
        <f t="shared" si="101"/>
        <v>-640322.44974174665</v>
      </c>
      <c r="M395" s="297"/>
      <c r="N395" s="123"/>
      <c r="O395" s="123"/>
      <c r="P395" s="123"/>
      <c r="Q395" s="123"/>
      <c r="R395" s="123"/>
      <c r="S395" s="123"/>
    </row>
    <row r="396" spans="1:19" ht="15.75">
      <c r="A396" s="123"/>
      <c r="B396" s="31"/>
      <c r="C396" s="31"/>
      <c r="D396" s="31"/>
      <c r="E396" s="729">
        <f t="shared" si="99"/>
        <v>505</v>
      </c>
      <c r="F396" s="730">
        <f t="shared" si="99"/>
        <v>-104549.49745214579</v>
      </c>
      <c r="G396" s="297"/>
      <c r="H396" s="729">
        <f t="shared" si="100"/>
        <v>505</v>
      </c>
      <c r="I396" s="730">
        <f t="shared" si="100"/>
        <v>-101103.54469606525</v>
      </c>
      <c r="J396" s="297"/>
      <c r="K396" s="729">
        <f t="shared" si="101"/>
        <v>505</v>
      </c>
      <c r="L396" s="730">
        <f t="shared" si="101"/>
        <v>-101103.54469606525</v>
      </c>
      <c r="M396" s="297"/>
      <c r="N396" s="123"/>
      <c r="O396" s="123"/>
      <c r="P396" s="123"/>
      <c r="Q396" s="123"/>
      <c r="R396" s="123"/>
      <c r="S396" s="123"/>
    </row>
    <row r="397" spans="1:19" ht="15.75">
      <c r="A397" s="123"/>
      <c r="B397" s="31"/>
      <c r="C397" s="31"/>
      <c r="D397" s="31"/>
      <c r="E397" s="727"/>
      <c r="F397" s="728"/>
      <c r="G397" s="297"/>
      <c r="H397" s="727"/>
      <c r="I397" s="728"/>
      <c r="J397" s="297"/>
      <c r="K397" s="727"/>
      <c r="L397" s="728"/>
      <c r="M397" s="297"/>
      <c r="N397" s="123"/>
      <c r="O397" s="123"/>
      <c r="P397" s="123"/>
      <c r="Q397" s="123"/>
      <c r="R397" s="123"/>
      <c r="S397" s="123"/>
    </row>
    <row r="398" spans="1:19" ht="15.75">
      <c r="A398" s="123"/>
      <c r="B398" s="31"/>
      <c r="C398" s="31"/>
      <c r="D398" s="31"/>
      <c r="E398" s="729" t="str">
        <f>E451</f>
        <v>Sueldo líquido incluyendo aguinaldo</v>
      </c>
      <c r="F398" s="730"/>
      <c r="G398" s="297"/>
      <c r="H398" s="729" t="str">
        <f>H451</f>
        <v>Sueldo líquido incluyendo aguinaldo</v>
      </c>
      <c r="I398" s="730"/>
      <c r="J398" s="297"/>
      <c r="K398" s="729" t="str">
        <f>K451</f>
        <v>Sueldo líquido incluyendo aguinaldo</v>
      </c>
      <c r="L398" s="730"/>
      <c r="M398" s="297"/>
      <c r="N398" s="123"/>
      <c r="O398" s="123"/>
      <c r="P398" s="123"/>
      <c r="Q398" s="123"/>
      <c r="R398" s="123"/>
      <c r="S398" s="123"/>
    </row>
    <row r="399" spans="1:19" ht="15.75">
      <c r="A399" s="123"/>
      <c r="B399" s="31"/>
      <c r="C399" s="31"/>
      <c r="D399" s="31"/>
      <c r="E399" s="727"/>
      <c r="F399" s="731">
        <f t="shared" ref="F399" si="102">F452</f>
        <v>2906698.9337557908</v>
      </c>
      <c r="G399" s="297"/>
      <c r="H399" s="727"/>
      <c r="I399" s="731">
        <f t="shared" ref="I399" si="103">I452</f>
        <v>2817104.1620976967</v>
      </c>
      <c r="J399" s="297"/>
      <c r="K399" s="727"/>
      <c r="L399" s="731">
        <f t="shared" ref="L399" si="104">L452</f>
        <v>2757104.1620976967</v>
      </c>
      <c r="M399" s="297"/>
      <c r="N399" s="123"/>
      <c r="O399" s="123"/>
      <c r="P399" s="123"/>
      <c r="Q399" s="123"/>
      <c r="R399" s="123"/>
      <c r="S399" s="123"/>
    </row>
    <row r="400" spans="1:19" ht="15.75">
      <c r="A400" s="123"/>
      <c r="B400" s="31"/>
      <c r="C400" s="31"/>
      <c r="D400" s="31"/>
      <c r="E400" s="732" t="str">
        <f>E453</f>
        <v>Aguinaldo de bolsillo</v>
      </c>
      <c r="F400" s="733"/>
      <c r="G400" s="734"/>
      <c r="H400" s="732" t="str">
        <f>H453</f>
        <v>Aguinaldo de bolsillo</v>
      </c>
      <c r="I400" s="733"/>
      <c r="J400" s="734"/>
      <c r="K400" s="732" t="str">
        <f>K453</f>
        <v>Aguinaldo de bolsillo</v>
      </c>
      <c r="L400" s="733"/>
      <c r="M400" s="734"/>
      <c r="N400" s="123"/>
      <c r="O400" s="123"/>
      <c r="P400" s="123"/>
      <c r="Q400" s="123"/>
      <c r="R400" s="123"/>
      <c r="S400" s="123"/>
    </row>
    <row r="401" spans="1:19" ht="16.5" thickBot="1">
      <c r="A401" s="123"/>
      <c r="B401" s="31"/>
      <c r="C401" s="31"/>
      <c r="D401" s="31"/>
      <c r="E401" s="735"/>
      <c r="F401" s="736">
        <f>F454</f>
        <v>906095.64458526345</v>
      </c>
      <c r="G401" s="297"/>
      <c r="H401" s="735"/>
      <c r="I401" s="736">
        <f>I454</f>
        <v>876230.72069923207</v>
      </c>
      <c r="J401" s="297"/>
      <c r="K401" s="735"/>
      <c r="L401" s="736">
        <f>L454</f>
        <v>876230.72069923207</v>
      </c>
      <c r="M401" s="297"/>
      <c r="N401" s="123"/>
      <c r="O401" s="123"/>
      <c r="P401" s="123"/>
      <c r="Q401" s="123"/>
      <c r="R401" s="123"/>
      <c r="S401" s="123"/>
    </row>
    <row r="402" spans="1:19" ht="18.75" thickTop="1">
      <c r="A402" s="123"/>
      <c r="B402" s="31"/>
      <c r="C402" s="31"/>
      <c r="D402" s="31"/>
      <c r="E402" s="737"/>
      <c r="F402" s="737"/>
      <c r="G402" s="297"/>
      <c r="H402" s="737"/>
      <c r="I402" s="737"/>
      <c r="J402" s="297"/>
      <c r="K402" s="22"/>
      <c r="L402" s="737"/>
      <c r="M402" s="297"/>
      <c r="N402" s="123"/>
      <c r="O402" s="123"/>
      <c r="P402" s="123"/>
      <c r="Q402" s="123"/>
      <c r="R402" s="123"/>
      <c r="S402" s="123"/>
    </row>
    <row r="403" spans="1:19" ht="20.25" hidden="1">
      <c r="A403" s="123"/>
      <c r="B403" s="123"/>
      <c r="C403" s="547"/>
      <c r="D403" s="738"/>
      <c r="E403" s="865">
        <v>46143</v>
      </c>
      <c r="F403" s="866">
        <v>3.5000000000000003E-2</v>
      </c>
      <c r="G403" s="867"/>
      <c r="H403" s="865">
        <v>46054</v>
      </c>
      <c r="I403" s="866">
        <v>0</v>
      </c>
      <c r="J403" s="867"/>
      <c r="K403" s="865">
        <v>45992</v>
      </c>
      <c r="L403" s="739"/>
      <c r="M403" s="21"/>
      <c r="N403" s="123"/>
      <c r="O403" s="123"/>
      <c r="P403" s="123"/>
      <c r="Q403" s="123"/>
      <c r="R403" s="123"/>
      <c r="S403" s="123"/>
    </row>
    <row r="404" spans="1:19" ht="16.5" hidden="1" thickBot="1">
      <c r="A404" s="123"/>
      <c r="B404" s="654"/>
      <c r="C404" s="655"/>
      <c r="D404" s="656"/>
      <c r="E404" s="740"/>
      <c r="F404" s="740"/>
      <c r="G404" s="656"/>
      <c r="H404" s="740"/>
      <c r="I404" s="740"/>
      <c r="J404" s="656"/>
      <c r="K404" s="740"/>
      <c r="L404" s="740"/>
      <c r="M404" s="656"/>
      <c r="N404" s="123"/>
      <c r="O404" s="123"/>
      <c r="P404" s="123"/>
      <c r="Q404" s="123"/>
      <c r="R404" s="123"/>
      <c r="S404" s="123"/>
    </row>
    <row r="405" spans="1:19" ht="15.75" hidden="1" thickBot="1">
      <c r="A405" s="31"/>
      <c r="B405" s="741" t="s">
        <v>468</v>
      </c>
      <c r="C405" s="741" t="s">
        <v>469</v>
      </c>
      <c r="D405" s="741" t="s">
        <v>470</v>
      </c>
      <c r="E405" s="742" t="s">
        <v>471</v>
      </c>
      <c r="F405" s="742" t="s">
        <v>472</v>
      </c>
      <c r="G405" s="743"/>
      <c r="H405" s="742" t="s">
        <v>471</v>
      </c>
      <c r="I405" s="742" t="s">
        <v>472</v>
      </c>
      <c r="J405" s="743"/>
      <c r="K405" s="742" t="s">
        <v>471</v>
      </c>
      <c r="L405" s="742" t="s">
        <v>472</v>
      </c>
      <c r="M405" s="743"/>
      <c r="N405" s="31"/>
      <c r="O405" s="31"/>
      <c r="P405" s="31"/>
      <c r="Q405" s="31"/>
      <c r="R405" s="31"/>
      <c r="S405" s="31"/>
    </row>
    <row r="406" spans="1:19" ht="15.75" hidden="1" thickBot="1">
      <c r="A406" s="31"/>
      <c r="B406" s="744">
        <v>4</v>
      </c>
      <c r="C406" s="745">
        <f>canthorsup</f>
        <v>36</v>
      </c>
      <c r="D406" s="586" t="s">
        <v>532</v>
      </c>
      <c r="E406" s="746">
        <f>indicemay26*punbashorsup</f>
        <v>854894.11392000003</v>
      </c>
      <c r="F406" s="747"/>
      <c r="G406" s="748"/>
      <c r="H406" s="746">
        <f>indicedic25*punbashorsup</f>
        <v>825984.49204517377</v>
      </c>
      <c r="I406" s="747"/>
      <c r="J406" s="748"/>
      <c r="K406" s="746">
        <f>indicedic25*punbashorsup</f>
        <v>825984.49204517377</v>
      </c>
      <c r="L406" s="747"/>
      <c r="M406" s="748"/>
      <c r="N406" s="31"/>
      <c r="O406" s="31"/>
      <c r="P406" s="31"/>
      <c r="Q406" s="31"/>
      <c r="R406" s="31"/>
      <c r="S406" s="31"/>
    </row>
    <row r="407" spans="1:19" ht="15.75" hidden="1" thickBot="1">
      <c r="A407" s="31"/>
      <c r="B407" s="749">
        <v>10</v>
      </c>
      <c r="C407" s="750">
        <f>porantighorsup</f>
        <v>1.2</v>
      </c>
      <c r="D407" s="585" t="s">
        <v>480</v>
      </c>
      <c r="E407" s="751">
        <f>(E406+E414)*porantighorsup</f>
        <v>1055872.936704</v>
      </c>
      <c r="F407" s="497"/>
      <c r="G407" s="752"/>
      <c r="H407" s="751">
        <f>(H406+H414)*porantighorsup</f>
        <v>1021181.3904542085</v>
      </c>
      <c r="I407" s="497"/>
      <c r="J407" s="752"/>
      <c r="K407" s="751">
        <f>(K406+K414)*porantighorsup</f>
        <v>1021181.3904542085</v>
      </c>
      <c r="L407" s="497"/>
      <c r="M407" s="752"/>
      <c r="N407" s="31"/>
      <c r="O407" s="31"/>
      <c r="P407" s="31"/>
      <c r="Q407" s="31"/>
      <c r="R407" s="31"/>
      <c r="S407" s="31"/>
    </row>
    <row r="408" spans="1:19" ht="16.5" hidden="1" thickBot="1">
      <c r="A408" s="31"/>
      <c r="B408" s="744">
        <v>6</v>
      </c>
      <c r="C408" s="753">
        <f>IF(porantighorsup&lt;100%,H408/4241.88,H408/4271.53)</f>
        <v>17</v>
      </c>
      <c r="D408" s="586" t="s">
        <v>479</v>
      </c>
      <c r="E408" s="746">
        <f>IF(porantighorsup&lt;100%,IF(canthor06sup&gt;17,17*4241.88,4241.88*canthor06sup),IF(canthor06sup&gt;17,17*4271.53,4271.53*canthor06sup))*(1+Aumentomayo26)</f>
        <v>75157.570349999995</v>
      </c>
      <c r="F408" s="497"/>
      <c r="G408" s="748"/>
      <c r="H408" s="746">
        <f>IF(porantighorsup&lt;100%,IF(canthor06sup&gt;17,17*4241.88,4241.88*canthor06sup),IF(canthor06sup&gt;17,17*4271.53,4271.53*canthor06sup))</f>
        <v>72616.009999999995</v>
      </c>
      <c r="I408" s="497"/>
      <c r="J408" s="748"/>
      <c r="K408" s="746">
        <f>IF(porantighorsup&lt;100%,IF(canthor06sup&gt;17,17*4241.88,4241.88*canthor06sup),IF(canthor06sup&gt;17,17*4271.53,4271.53*canthor06sup))</f>
        <v>72616.009999999995</v>
      </c>
      <c r="L408" s="497"/>
      <c r="M408" s="748"/>
      <c r="N408" s="31"/>
      <c r="O408" s="31"/>
      <c r="P408" s="31"/>
      <c r="Q408" s="31"/>
      <c r="R408" s="31"/>
      <c r="S408" s="31"/>
    </row>
    <row r="409" spans="1:19" ht="15.75" hidden="1" thickBot="1">
      <c r="A409" s="31"/>
      <c r="B409" s="749">
        <v>14</v>
      </c>
      <c r="C409" s="754">
        <v>7.0000000000000007E-2</v>
      </c>
      <c r="D409" s="585" t="s">
        <v>533</v>
      </c>
      <c r="E409" s="751">
        <f>E408*0.07</f>
        <v>5261.0299245000006</v>
      </c>
      <c r="F409" s="755"/>
      <c r="G409" s="752"/>
      <c r="H409" s="751">
        <f>H408*0.07</f>
        <v>5083.1207000000004</v>
      </c>
      <c r="I409" s="755"/>
      <c r="J409" s="752"/>
      <c r="K409" s="751">
        <f>K408*0.07</f>
        <v>5083.1207000000004</v>
      </c>
      <c r="L409" s="755"/>
      <c r="M409" s="752"/>
      <c r="N409" s="31"/>
      <c r="O409" s="31"/>
      <c r="P409" s="31"/>
      <c r="Q409" s="31"/>
      <c r="R409" s="31"/>
      <c r="S409" s="31"/>
    </row>
    <row r="410" spans="1:19" ht="15.75" hidden="1" thickBot="1">
      <c r="A410" s="31"/>
      <c r="B410" s="749">
        <v>188</v>
      </c>
      <c r="C410" s="754">
        <v>7.0000000000000007E-2</v>
      </c>
      <c r="D410" s="585" t="s">
        <v>482</v>
      </c>
      <c r="E410" s="751">
        <f>(E406+E407+E411+E413+E414)*0.07</f>
        <v>146732.00894674001</v>
      </c>
      <c r="F410" s="756"/>
      <c r="G410" s="752"/>
      <c r="H410" s="751">
        <f>(H406+H407+H411+H413+H414)*0.07</f>
        <v>141900.22569095678</v>
      </c>
      <c r="I410" s="756"/>
      <c r="J410" s="752"/>
      <c r="K410" s="751">
        <f>(K406+K407+K411+K413+K414)*0.07</f>
        <v>141900.22569095678</v>
      </c>
      <c r="L410" s="756"/>
      <c r="M410" s="752"/>
      <c r="N410" s="31"/>
      <c r="O410" s="31"/>
      <c r="P410" s="31"/>
      <c r="Q410" s="31"/>
      <c r="R410" s="31"/>
      <c r="S410" s="31"/>
    </row>
    <row r="411" spans="1:19" ht="16.5" hidden="1" thickBot="1">
      <c r="A411" s="31"/>
      <c r="B411" s="744">
        <v>117</v>
      </c>
      <c r="C411" s="757"/>
      <c r="D411" s="586" t="s">
        <v>487</v>
      </c>
      <c r="E411" s="746">
        <f>IF(canthorsup*1141.5333&gt;43246,43246,canthorsup*1441.5333)*(1+Aumentomayo26)</f>
        <v>53711.530757999994</v>
      </c>
      <c r="F411" s="497"/>
      <c r="G411" s="748"/>
      <c r="H411" s="746">
        <f>IF(canthorsup*1141.5333&gt;43246,43246,canthorsup*1441.5333)</f>
        <v>51895.198799999998</v>
      </c>
      <c r="I411" s="497"/>
      <c r="J411" s="748"/>
      <c r="K411" s="746">
        <f>IF(canthorsup*1141.5333&gt;43246,43246,canthorsup*1441.5333)</f>
        <v>51895.198799999998</v>
      </c>
      <c r="L411" s="497"/>
      <c r="M411" s="748"/>
      <c r="N411" s="31"/>
      <c r="O411" s="31"/>
      <c r="P411" s="31"/>
      <c r="Q411" s="31"/>
      <c r="R411" s="31"/>
      <c r="S411" s="31"/>
    </row>
    <row r="412" spans="1:19" ht="15.75" hidden="1" thickBot="1">
      <c r="A412" s="31"/>
      <c r="B412" s="744">
        <v>29</v>
      </c>
      <c r="C412" s="758">
        <f>cantkmhs</f>
        <v>0</v>
      </c>
      <c r="D412" s="586" t="s">
        <v>489</v>
      </c>
      <c r="E412" s="746">
        <f>kmsemhssup*1820/15*4</f>
        <v>0</v>
      </c>
      <c r="F412" s="759">
        <f>81121/15</f>
        <v>5408.0666666666666</v>
      </c>
      <c r="G412" s="748"/>
      <c r="H412" s="746">
        <f>kmsemhssup*1820/15*4</f>
        <v>0</v>
      </c>
      <c r="I412" s="759">
        <f>81121/15</f>
        <v>5408.0666666666666</v>
      </c>
      <c r="J412" s="748"/>
      <c r="K412" s="746">
        <f>kmsemhssup*1820/15*4</f>
        <v>0</v>
      </c>
      <c r="L412" s="759">
        <f>81121/15</f>
        <v>5408.0666666666666</v>
      </c>
      <c r="M412" s="748"/>
      <c r="N412" s="31"/>
      <c r="O412" s="31"/>
      <c r="P412" s="31"/>
      <c r="Q412" s="31"/>
      <c r="R412" s="31"/>
      <c r="S412" s="31"/>
    </row>
    <row r="413" spans="1:19" ht="16.5" hidden="1" thickBot="1">
      <c r="A413" s="31"/>
      <c r="B413" s="760">
        <v>38</v>
      </c>
      <c r="C413" s="761">
        <f>C359</f>
        <v>15</v>
      </c>
      <c r="D413" s="762" t="s">
        <v>536</v>
      </c>
      <c r="E413" s="763">
        <f>IF($C413="",IF(canthorsup&lt;15,6872.3333*canthorsup,103085),IF($C413&lt;15,6872.3333*$C413,103085))*(1+Aumentomayo26)</f>
        <v>106692.97499999999</v>
      </c>
      <c r="F413" s="764"/>
      <c r="G413" s="765"/>
      <c r="H413" s="763">
        <f>IF($C413="",IF(canthorsup&lt;15,6872.3333*canthorsup,103085),IF($C413&lt;15,6872.3333*$C413,103085))</f>
        <v>103085</v>
      </c>
      <c r="I413" s="764"/>
      <c r="J413" s="765"/>
      <c r="K413" s="763">
        <f>IF($C413="",IF(canthorsup&lt;15,6872.3333*canthorsup,103085),IF($C413&lt;15,6872.3333*$C413,103085))</f>
        <v>103085</v>
      </c>
      <c r="L413" s="764"/>
      <c r="M413" s="765"/>
      <c r="N413" s="31"/>
      <c r="O413" s="31"/>
      <c r="P413" s="31"/>
      <c r="Q413" s="31"/>
      <c r="R413" s="31"/>
      <c r="S413" s="31"/>
    </row>
    <row r="414" spans="1:19" ht="15.75" hidden="1" thickBot="1">
      <c r="A414" s="31"/>
      <c r="B414" s="373">
        <v>25</v>
      </c>
      <c r="C414" s="266">
        <f>C360</f>
        <v>1</v>
      </c>
      <c r="D414" s="374" t="s">
        <v>488</v>
      </c>
      <c r="E414" s="766">
        <f>IF(AND(porantighorsup&gt;=0.5,$C414=1),IF(canthorsup&gt;15,25000,1666.6666*canthorsup),0)</f>
        <v>25000</v>
      </c>
      <c r="F414" s="767"/>
      <c r="G414" s="765"/>
      <c r="H414" s="766">
        <f>IF(AND(porantighorsup&gt;=0.5,$C414=1),IF(canthorsup&gt;15,25000,1666.6666*canthorsup),0)</f>
        <v>25000</v>
      </c>
      <c r="I414" s="767"/>
      <c r="J414" s="765"/>
      <c r="K414" s="766">
        <f>IF(AND(porantighorsup&gt;=0.5,$C414=1),IF(canthorsup&gt;15,25000,1666.6666*canthorsup),0)</f>
        <v>25000</v>
      </c>
      <c r="L414" s="767"/>
      <c r="M414" s="765"/>
      <c r="N414" s="31"/>
      <c r="O414" s="31"/>
      <c r="P414" s="31"/>
      <c r="Q414" s="31"/>
      <c r="R414" s="31"/>
      <c r="S414" s="31"/>
    </row>
    <row r="415" spans="1:19" ht="16.5" hidden="1" thickBot="1">
      <c r="A415" s="31"/>
      <c r="B415" s="760"/>
      <c r="C415" s="768"/>
      <c r="D415" s="769" t="s">
        <v>544</v>
      </c>
      <c r="E415" s="770">
        <f>SUM(E406:E414)</f>
        <v>2323322.16560324</v>
      </c>
      <c r="F415" s="771"/>
      <c r="G415" s="772"/>
      <c r="H415" s="770">
        <f>SUM(H406:H414)</f>
        <v>2246745.4376903391</v>
      </c>
      <c r="I415" s="771"/>
      <c r="J415" s="772"/>
      <c r="K415" s="770">
        <f>SUM(K406:K414)</f>
        <v>2246745.4376903391</v>
      </c>
      <c r="L415" s="771"/>
      <c r="M415" s="772"/>
      <c r="N415" s="31"/>
      <c r="O415" s="31"/>
      <c r="P415" s="31"/>
      <c r="Q415" s="31"/>
      <c r="R415" s="31"/>
      <c r="S415" s="31"/>
    </row>
    <row r="416" spans="1:19" ht="16.5" hidden="1" thickBot="1">
      <c r="A416" s="31"/>
      <c r="B416" s="773" t="s">
        <v>538</v>
      </c>
      <c r="C416" s="585"/>
      <c r="D416" s="585"/>
      <c r="E416" s="774">
        <f>E362</f>
        <v>0</v>
      </c>
      <c r="F416" s="755"/>
      <c r="G416" s="752"/>
      <c r="H416" s="774">
        <f>H362</f>
        <v>0</v>
      </c>
      <c r="I416" s="755"/>
      <c r="J416" s="752"/>
      <c r="K416" s="774">
        <f>K362</f>
        <v>0</v>
      </c>
      <c r="L416" s="755"/>
      <c r="M416" s="752"/>
      <c r="N416" s="31"/>
      <c r="O416" s="31"/>
      <c r="P416" s="31"/>
      <c r="Q416" s="31"/>
      <c r="R416" s="31"/>
      <c r="S416" s="31"/>
    </row>
    <row r="417" spans="1:19" ht="15.75" hidden="1" thickBot="1">
      <c r="A417" s="31"/>
      <c r="B417" s="773"/>
      <c r="C417" s="585"/>
      <c r="D417" s="586"/>
      <c r="E417" s="775"/>
      <c r="F417" s="755"/>
      <c r="G417" s="748"/>
      <c r="H417" s="775"/>
      <c r="I417" s="755"/>
      <c r="J417" s="748"/>
      <c r="K417" s="775"/>
      <c r="L417" s="755"/>
      <c r="M417" s="748"/>
      <c r="N417" s="31"/>
      <c r="O417" s="31"/>
      <c r="P417" s="31"/>
      <c r="Q417" s="31"/>
      <c r="R417" s="31"/>
      <c r="S417" s="31"/>
    </row>
    <row r="418" spans="1:19" ht="16.5" hidden="1" thickBot="1">
      <c r="A418" s="31"/>
      <c r="B418" s="744">
        <v>184</v>
      </c>
      <c r="C418" s="753">
        <f>H418/3062.7</f>
        <v>23.999999999999996</v>
      </c>
      <c r="D418" s="586" t="s">
        <v>493</v>
      </c>
      <c r="E418" s="746">
        <f>IF(canthorincsup*3062.7&gt;73504.8,73504.8,canthorincsup*3062.7)</f>
        <v>73504.799999999988</v>
      </c>
      <c r="F418" s="662"/>
      <c r="G418" s="748"/>
      <c r="H418" s="746">
        <f>IF(canthorincsup*3062.7&gt;73504.8,73504.8,canthorincsup*3062.7)</f>
        <v>73504.799999999988</v>
      </c>
      <c r="I418" s="662"/>
      <c r="J418" s="748"/>
      <c r="K418" s="746">
        <f>IF(canthorincsup*3062.7&gt;73504.8,73504.8,canthorincsup*3062.7)</f>
        <v>73504.799999999988</v>
      </c>
      <c r="L418" s="662"/>
      <c r="M418" s="748"/>
      <c r="N418" s="31"/>
      <c r="O418" s="31"/>
      <c r="P418" s="31"/>
      <c r="Q418" s="31"/>
      <c r="R418" s="31"/>
      <c r="S418" s="31"/>
    </row>
    <row r="419" spans="1:19" ht="16.5" hidden="1" thickBot="1">
      <c r="A419" s="31"/>
      <c r="B419" s="749">
        <v>204</v>
      </c>
      <c r="C419" s="776">
        <f>H419/2287.8</f>
        <v>24</v>
      </c>
      <c r="D419" s="586" t="s">
        <v>494</v>
      </c>
      <c r="E419" s="751">
        <f>IF(canthorincsup*2287.8&gt;54907.2,54907.2,canthorincsup*2287.8)</f>
        <v>54907.200000000004</v>
      </c>
      <c r="F419" s="755"/>
      <c r="G419" s="748"/>
      <c r="H419" s="751">
        <f>IF(canthorincsup*2287.8&gt;54907.2,54907.2,canthorincsup*2287.8)</f>
        <v>54907.200000000004</v>
      </c>
      <c r="I419" s="755"/>
      <c r="J419" s="748"/>
      <c r="K419" s="751">
        <f>IF(canthorincsup*2287.8&gt;54907.2,54907.2,canthorincsup*2287.8)</f>
        <v>54907.200000000004</v>
      </c>
      <c r="L419" s="755"/>
      <c r="M419" s="748"/>
      <c r="N419" s="31"/>
      <c r="O419" s="31"/>
      <c r="P419" s="31"/>
      <c r="Q419" s="31"/>
      <c r="R419" s="31"/>
      <c r="S419" s="31"/>
    </row>
    <row r="420" spans="1:19" ht="16.5" hidden="1" thickBot="1">
      <c r="A420" s="31"/>
      <c r="B420" s="777" t="s">
        <v>495</v>
      </c>
      <c r="C420" s="778">
        <f>H420/4000</f>
        <v>15</v>
      </c>
      <c r="D420" s="779" t="s">
        <v>496</v>
      </c>
      <c r="E420" s="780">
        <f>IF(canthorsup*4000&gt;60000,60000,canthorsup*4000)</f>
        <v>60000</v>
      </c>
      <c r="F420" s="755"/>
      <c r="G420" s="752"/>
      <c r="H420" s="780">
        <f>IF(canthorsup*4000&gt;60000,60000,canthorsup*4000)</f>
        <v>60000</v>
      </c>
      <c r="I420" s="755"/>
      <c r="J420" s="752"/>
      <c r="K420" s="780"/>
      <c r="L420" s="755"/>
      <c r="M420" s="752"/>
      <c r="N420" s="31"/>
      <c r="O420" s="31"/>
      <c r="P420" s="31"/>
      <c r="Q420" s="31"/>
      <c r="R420" s="31"/>
      <c r="S420" s="31"/>
    </row>
    <row r="421" spans="1:19" ht="16.5" hidden="1" thickBot="1">
      <c r="A421" s="31"/>
      <c r="B421" s="744"/>
      <c r="C421" s="781"/>
      <c r="D421" s="757" t="s">
        <v>539</v>
      </c>
      <c r="E421" s="782">
        <f>SUM(E415:E420)</f>
        <v>2511734.16560324</v>
      </c>
      <c r="F421" s="747"/>
      <c r="G421" s="783"/>
      <c r="H421" s="782">
        <f>SUM(H415:H420)</f>
        <v>2435157.4376903391</v>
      </c>
      <c r="I421" s="747"/>
      <c r="J421" s="783"/>
      <c r="K421" s="782">
        <f>SUM(K415:K420)</f>
        <v>2375157.4376903391</v>
      </c>
      <c r="L421" s="747"/>
      <c r="M421" s="783"/>
      <c r="N421" s="31"/>
      <c r="O421" s="31"/>
      <c r="P421" s="31"/>
      <c r="Q421" s="31"/>
      <c r="R421" s="31"/>
      <c r="S421" s="31"/>
    </row>
    <row r="422" spans="1:19" ht="16.5" hidden="1" thickBot="1">
      <c r="A422" s="31"/>
      <c r="B422" s="749">
        <v>440</v>
      </c>
      <c r="C422" s="784"/>
      <c r="D422" s="585" t="s">
        <v>498</v>
      </c>
      <c r="E422" s="774">
        <f>E368</f>
        <v>0</v>
      </c>
      <c r="F422" s="785">
        <f>-E422</f>
        <v>0</v>
      </c>
      <c r="G422" s="752"/>
      <c r="H422" s="774">
        <f>H368</f>
        <v>0</v>
      </c>
      <c r="I422" s="785">
        <f>-H422</f>
        <v>0</v>
      </c>
      <c r="J422" s="752"/>
      <c r="K422" s="774">
        <f>K368</f>
        <v>0</v>
      </c>
      <c r="L422" s="785">
        <f>-K422</f>
        <v>0</v>
      </c>
      <c r="M422" s="752"/>
      <c r="N422" s="31"/>
      <c r="O422" s="31"/>
      <c r="P422" s="31"/>
      <c r="Q422" s="31"/>
      <c r="R422" s="31"/>
      <c r="S422" s="31"/>
    </row>
    <row r="423" spans="1:19" ht="15.75" hidden="1" thickBot="1">
      <c r="A423" s="31"/>
      <c r="B423" s="744">
        <v>502</v>
      </c>
      <c r="C423" s="786">
        <v>0.16</v>
      </c>
      <c r="D423" s="787" t="s">
        <v>540</v>
      </c>
      <c r="E423" s="746"/>
      <c r="F423" s="788">
        <f>-(E406+E407+E410+E408+E409+F422+E411+E413+E414)*0.19</f>
        <v>-441431.2114646156</v>
      </c>
      <c r="G423" s="789"/>
      <c r="H423" s="746"/>
      <c r="I423" s="788">
        <f>-(H406+H407+H410+H408+H409+I422+H411+H413+H414)*0.19</f>
        <v>-426881.63316116441</v>
      </c>
      <c r="J423" s="789"/>
      <c r="K423" s="746"/>
      <c r="L423" s="788">
        <f>-(K406+K407+K410+K408+K409+L422+K411+K413+K414)*0.19</f>
        <v>-426881.63316116441</v>
      </c>
      <c r="M423" s="789"/>
      <c r="N423" s="31"/>
      <c r="O423" s="31"/>
      <c r="P423" s="31"/>
      <c r="Q423" s="31"/>
      <c r="R423" s="31"/>
      <c r="S423" s="31"/>
    </row>
    <row r="424" spans="1:19" ht="15.75" hidden="1" thickBot="1">
      <c r="A424" s="31"/>
      <c r="B424" s="744">
        <v>505</v>
      </c>
      <c r="C424" s="790">
        <v>0.03</v>
      </c>
      <c r="D424" s="787" t="s">
        <v>541</v>
      </c>
      <c r="E424" s="746"/>
      <c r="F424" s="788">
        <f>-(E406+E407+E410+E408+E409+F422+E411+E413+E414)*poros</f>
        <v>-69699.664968097204</v>
      </c>
      <c r="G424" s="789"/>
      <c r="H424" s="746"/>
      <c r="I424" s="788">
        <f>-(H406+H407+H410+H408+H409+I422+H411+H413+H414)*poros</f>
        <v>-67402.363130710175</v>
      </c>
      <c r="J424" s="789"/>
      <c r="K424" s="746"/>
      <c r="L424" s="788">
        <f>-(K406+K407+K410+K408+K409+L422+K411+K413+K414)*poros</f>
        <v>-67402.363130710175</v>
      </c>
      <c r="M424" s="789"/>
      <c r="N424" s="31"/>
      <c r="O424" s="31"/>
      <c r="P424" s="31"/>
      <c r="Q424" s="31"/>
      <c r="R424" s="31"/>
      <c r="S424" s="31"/>
    </row>
    <row r="425" spans="1:19" ht="16.5" hidden="1" thickBot="1">
      <c r="A425" s="31"/>
      <c r="B425" s="791">
        <v>332</v>
      </c>
      <c r="C425" s="792">
        <f t="shared" ref="C425:C426" si="105">C371</f>
        <v>0</v>
      </c>
      <c r="D425" s="793" t="s">
        <v>503</v>
      </c>
      <c r="E425" s="751"/>
      <c r="F425" s="785">
        <f>-(E406+E407+E410+E408+E409+F422+E411+E414)*poragmer-E418*poragmer</f>
        <v>0</v>
      </c>
      <c r="G425" s="794"/>
      <c r="H425" s="751"/>
      <c r="I425" s="785">
        <f>-(H406+H407+H410+H408+H409+I422+H411+H414)*poragmer-H418*poragmer</f>
        <v>0</v>
      </c>
      <c r="J425" s="794"/>
      <c r="K425" s="751"/>
      <c r="L425" s="785">
        <f>-(K406+K407+K410+K408+K409+L422+K411+K414)*poragmer-K418*poragmer</f>
        <v>0</v>
      </c>
      <c r="M425" s="794"/>
      <c r="N425" s="31"/>
      <c r="O425" s="31"/>
      <c r="P425" s="31"/>
      <c r="Q425" s="31"/>
      <c r="R425" s="31"/>
      <c r="S425" s="31"/>
    </row>
    <row r="426" spans="1:19" ht="16.5" hidden="1" thickBot="1">
      <c r="A426" s="31"/>
      <c r="B426" s="795" t="s">
        <v>504</v>
      </c>
      <c r="C426" s="792">
        <f t="shared" si="105"/>
        <v>0</v>
      </c>
      <c r="D426" s="586"/>
      <c r="E426" s="747"/>
      <c r="F426" s="788">
        <f>-(E407+E406+E410+E408+E409+F422+E411+E413+E414)*$C426</f>
        <v>0</v>
      </c>
      <c r="G426" s="748"/>
      <c r="H426" s="747"/>
      <c r="I426" s="788">
        <f>-(H407+H406+H410+H408+H409+I422+H411+H413+H414)*$C426</f>
        <v>0</v>
      </c>
      <c r="J426" s="748"/>
      <c r="K426" s="747"/>
      <c r="L426" s="788">
        <f>-(K407+K406+K410+K408+K409+L422+K411+K413+K414)*$C426</f>
        <v>0</v>
      </c>
      <c r="M426" s="748"/>
      <c r="N426" s="31"/>
      <c r="O426" s="31"/>
      <c r="P426" s="31"/>
      <c r="Q426" s="31"/>
      <c r="R426" s="31"/>
      <c r="S426" s="31"/>
    </row>
    <row r="427" spans="1:19" ht="16.5" hidden="1" thickBot="1">
      <c r="A427" s="31"/>
      <c r="B427" s="784"/>
      <c r="C427" s="784"/>
      <c r="D427" s="796" t="s">
        <v>505</v>
      </c>
      <c r="E427" s="797"/>
      <c r="F427" s="798">
        <f>SUM(F423:F426)</f>
        <v>-511130.87643271277</v>
      </c>
      <c r="G427" s="799"/>
      <c r="H427" s="797"/>
      <c r="I427" s="798">
        <f>SUM(I423:I426)</f>
        <v>-494283.99629187456</v>
      </c>
      <c r="J427" s="799"/>
      <c r="K427" s="797"/>
      <c r="L427" s="798">
        <f>SUM(L423:L426)</f>
        <v>-494283.99629187456</v>
      </c>
      <c r="M427" s="799"/>
      <c r="N427" s="31"/>
      <c r="O427" s="31"/>
      <c r="P427" s="31"/>
      <c r="Q427" s="31"/>
      <c r="R427" s="31"/>
      <c r="S427" s="31"/>
    </row>
    <row r="428" spans="1:19" ht="15.75" hidden="1" thickBot="1">
      <c r="A428" s="31"/>
      <c r="B428" s="586"/>
      <c r="C428" s="586"/>
      <c r="D428" s="586"/>
      <c r="E428" s="747"/>
      <c r="F428" s="747"/>
      <c r="G428" s="748"/>
      <c r="H428" s="747"/>
      <c r="I428" s="747"/>
      <c r="J428" s="748"/>
      <c r="K428" s="747"/>
      <c r="L428" s="747"/>
      <c r="M428" s="748"/>
      <c r="N428" s="31"/>
      <c r="O428" s="31"/>
      <c r="P428" s="31"/>
      <c r="Q428" s="31"/>
      <c r="R428" s="31"/>
      <c r="S428" s="31"/>
    </row>
    <row r="429" spans="1:19" ht="18.75" hidden="1" thickBot="1">
      <c r="A429" s="31"/>
      <c r="B429" s="787"/>
      <c r="C429" s="586"/>
      <c r="D429" s="757"/>
      <c r="E429" s="800" t="s">
        <v>509</v>
      </c>
      <c r="F429" s="801">
        <f>E421+F427</f>
        <v>2000603.2891705274</v>
      </c>
      <c r="G429" s="783"/>
      <c r="H429" s="800" t="s">
        <v>509</v>
      </c>
      <c r="I429" s="801">
        <f>H421+I427</f>
        <v>1940873.4413984646</v>
      </c>
      <c r="J429" s="783"/>
      <c r="K429" s="800" t="s">
        <v>509</v>
      </c>
      <c r="L429" s="801">
        <f>K421+L427</f>
        <v>1880873.4413984646</v>
      </c>
      <c r="M429" s="783"/>
      <c r="N429" s="31"/>
      <c r="O429" s="31"/>
      <c r="P429" s="31"/>
      <c r="Q429" s="31"/>
      <c r="R429" s="31"/>
      <c r="S429" s="31"/>
    </row>
    <row r="430" spans="1:19" ht="18.75" hidden="1" thickBot="1">
      <c r="A430" s="31"/>
      <c r="B430" s="802"/>
      <c r="C430" s="586"/>
      <c r="D430" s="757"/>
      <c r="E430" s="803"/>
      <c r="F430" s="801"/>
      <c r="G430" s="783"/>
      <c r="H430" s="803"/>
      <c r="I430" s="801"/>
      <c r="J430" s="783"/>
      <c r="K430" s="803"/>
      <c r="L430" s="801"/>
      <c r="M430" s="783"/>
      <c r="N430" s="31"/>
      <c r="O430" s="31"/>
      <c r="P430" s="31"/>
      <c r="Q430" s="31"/>
      <c r="R430" s="31"/>
      <c r="S430" s="31"/>
    </row>
    <row r="431" spans="1:19" ht="18.75" hidden="1" thickBot="1">
      <c r="A431" s="31"/>
      <c r="B431" s="787"/>
      <c r="C431" s="586"/>
      <c r="D431" s="757"/>
      <c r="E431" s="804" t="s">
        <v>511</v>
      </c>
      <c r="F431" s="406">
        <f>F429-I429</f>
        <v>59729.847772062756</v>
      </c>
      <c r="G431" s="783"/>
      <c r="H431" s="804" t="s">
        <v>511</v>
      </c>
      <c r="I431" s="406">
        <f>I429-L429</f>
        <v>60000</v>
      </c>
      <c r="J431" s="783"/>
      <c r="K431" s="804" t="s">
        <v>511</v>
      </c>
      <c r="L431" s="805"/>
      <c r="M431" s="783"/>
      <c r="N431" s="31"/>
      <c r="O431" s="31"/>
      <c r="P431" s="31"/>
      <c r="Q431" s="31"/>
      <c r="R431" s="31"/>
      <c r="S431" s="31"/>
    </row>
    <row r="432" spans="1:19" ht="18.75" hidden="1" thickBot="1">
      <c r="A432" s="31"/>
      <c r="B432" s="787"/>
      <c r="C432" s="586"/>
      <c r="D432" s="757"/>
      <c r="E432" s="804" t="s">
        <v>512</v>
      </c>
      <c r="F432" s="408">
        <f>F431/I429</f>
        <v>3.077472569722289E-2</v>
      </c>
      <c r="G432" s="783"/>
      <c r="H432" s="804" t="s">
        <v>512</v>
      </c>
      <c r="I432" s="408">
        <f>I431/L429</f>
        <v>3.1900072955141988E-2</v>
      </c>
      <c r="J432" s="783"/>
      <c r="K432" s="804" t="s">
        <v>512</v>
      </c>
      <c r="L432" s="408"/>
      <c r="M432" s="783"/>
      <c r="N432" s="31"/>
      <c r="O432" s="31"/>
      <c r="P432" s="31"/>
      <c r="Q432" s="31"/>
      <c r="R432" s="31"/>
      <c r="S432" s="31"/>
    </row>
    <row r="433" spans="1:19" ht="18.75" hidden="1" thickBot="1">
      <c r="A433" s="31"/>
      <c r="B433" s="787"/>
      <c r="C433" s="586"/>
      <c r="D433" s="757"/>
      <c r="E433" s="806"/>
      <c r="F433" s="628"/>
      <c r="G433" s="757"/>
      <c r="H433" s="806"/>
      <c r="I433" s="628"/>
      <c r="J433" s="757"/>
      <c r="K433" s="806"/>
      <c r="L433" s="628"/>
      <c r="M433" s="757"/>
      <c r="N433" s="31"/>
      <c r="O433" s="31"/>
      <c r="P433" s="31"/>
      <c r="Q433" s="31"/>
      <c r="R433" s="31"/>
      <c r="S433" s="31"/>
    </row>
    <row r="434" spans="1:19" ht="18.75" hidden="1" thickBot="1">
      <c r="A434" s="31"/>
      <c r="B434" s="807"/>
      <c r="C434" s="757"/>
      <c r="D434" s="808"/>
      <c r="E434" s="809" t="s">
        <v>457</v>
      </c>
      <c r="F434" s="417">
        <f>F429-$L429</f>
        <v>119729.84777206276</v>
      </c>
      <c r="G434" s="388"/>
      <c r="H434" s="809" t="s">
        <v>457</v>
      </c>
      <c r="I434" s="417">
        <f>I429-$L429</f>
        <v>60000</v>
      </c>
      <c r="J434" s="388"/>
      <c r="K434" s="809" t="s">
        <v>457</v>
      </c>
      <c r="L434" s="810"/>
      <c r="M434" s="388"/>
      <c r="N434" s="31"/>
      <c r="O434" s="31"/>
      <c r="P434" s="31"/>
      <c r="Q434" s="31"/>
      <c r="R434" s="31"/>
      <c r="S434" s="31"/>
    </row>
    <row r="435" spans="1:19" ht="18.75" hidden="1" thickBot="1">
      <c r="A435" s="31"/>
      <c r="B435" s="807"/>
      <c r="C435" s="757"/>
      <c r="D435" s="808"/>
      <c r="E435" s="809" t="s">
        <v>514</v>
      </c>
      <c r="F435" s="418">
        <f>F434/$L429</f>
        <v>6.3656514647280768E-2</v>
      </c>
      <c r="G435" s="388"/>
      <c r="H435" s="809" t="s">
        <v>514</v>
      </c>
      <c r="I435" s="418">
        <f>I434/$L429</f>
        <v>3.1900072955141988E-2</v>
      </c>
      <c r="J435" s="388"/>
      <c r="K435" s="809" t="s">
        <v>514</v>
      </c>
      <c r="L435" s="418"/>
      <c r="M435" s="388"/>
      <c r="N435" s="31"/>
      <c r="O435" s="31"/>
      <c r="P435" s="31"/>
      <c r="Q435" s="31"/>
      <c r="R435" s="31"/>
      <c r="S435" s="31"/>
    </row>
    <row r="436" spans="1:19" ht="16.5" hidden="1" thickBot="1">
      <c r="A436" s="31"/>
      <c r="B436" s="807"/>
      <c r="C436" s="757"/>
      <c r="D436" s="808"/>
      <c r="E436" s="586"/>
      <c r="F436" s="339"/>
      <c r="G436" s="811"/>
      <c r="H436" s="586"/>
      <c r="I436" s="339"/>
      <c r="J436" s="811"/>
      <c r="K436" s="586"/>
      <c r="L436" s="586"/>
      <c r="M436" s="811"/>
      <c r="N436" s="31"/>
      <c r="O436" s="31"/>
      <c r="P436" s="31"/>
      <c r="Q436" s="31"/>
      <c r="R436" s="31"/>
      <c r="S436" s="31"/>
    </row>
    <row r="437" spans="1:19" ht="18.75" hidden="1" thickBot="1">
      <c r="A437" s="31"/>
      <c r="B437" s="586"/>
      <c r="C437" s="586"/>
      <c r="D437" s="586"/>
      <c r="E437" s="320" t="s">
        <v>506</v>
      </c>
      <c r="F437" s="417">
        <f>(F429-E418-E419-E420)-($L429-$K418-$K419-$K420)</f>
        <v>59729.847772062756</v>
      </c>
      <c r="G437" s="748"/>
      <c r="H437" s="320" t="s">
        <v>506</v>
      </c>
      <c r="I437" s="417">
        <f>(I429-H418-H419-H420)-($L429-$K418-$K419-$K420)</f>
        <v>0</v>
      </c>
      <c r="J437" s="748"/>
      <c r="K437" s="320" t="s">
        <v>506</v>
      </c>
      <c r="L437" s="810"/>
      <c r="M437" s="748"/>
      <c r="N437" s="31"/>
      <c r="O437" s="31"/>
      <c r="P437" s="31"/>
      <c r="Q437" s="31"/>
      <c r="R437" s="31"/>
      <c r="S437" s="31"/>
    </row>
    <row r="438" spans="1:19" ht="18.75" hidden="1" thickBot="1">
      <c r="A438" s="31"/>
      <c r="B438" s="586"/>
      <c r="C438" s="586"/>
      <c r="D438" s="586"/>
      <c r="E438" s="322" t="s">
        <v>513</v>
      </c>
      <c r="F438" s="418">
        <f>F437/($L429-$K418-$K419-$K420)</f>
        <v>3.4083401985950869E-2</v>
      </c>
      <c r="G438" s="748"/>
      <c r="H438" s="322" t="s">
        <v>513</v>
      </c>
      <c r="I438" s="418">
        <f>I437/($L429-$K418-$K419-$K420)</f>
        <v>0</v>
      </c>
      <c r="J438" s="748"/>
      <c r="K438" s="322" t="s">
        <v>513</v>
      </c>
      <c r="L438" s="418"/>
      <c r="M438" s="748"/>
      <c r="N438" s="31"/>
      <c r="O438" s="31"/>
      <c r="P438" s="31"/>
      <c r="Q438" s="31"/>
      <c r="R438" s="31"/>
      <c r="S438" s="31"/>
    </row>
    <row r="439" spans="1:19" ht="18.75" hidden="1" thickBot="1">
      <c r="A439" s="31"/>
      <c r="B439" s="586"/>
      <c r="C439" s="586"/>
      <c r="D439" s="586"/>
      <c r="E439" s="757"/>
      <c r="F439" s="629"/>
      <c r="G439" s="748"/>
      <c r="H439" s="757"/>
      <c r="I439" s="629"/>
      <c r="J439" s="748"/>
      <c r="K439" s="757"/>
      <c r="L439" s="812"/>
      <c r="M439" s="748"/>
      <c r="N439" s="31"/>
      <c r="O439" s="31"/>
      <c r="P439" s="31"/>
      <c r="Q439" s="31"/>
      <c r="R439" s="31"/>
      <c r="S439" s="31"/>
    </row>
    <row r="440" spans="1:19" ht="18.75" hidden="1" thickBot="1">
      <c r="A440" s="31"/>
      <c r="B440" s="586"/>
      <c r="C440" s="586"/>
      <c r="D440" s="586"/>
      <c r="E440" s="320" t="s">
        <v>515</v>
      </c>
      <c r="F440" s="417">
        <f>(F429-E418-E419-E420)-($L429-$K418-$K419-$K420)</f>
        <v>59729.847772062756</v>
      </c>
      <c r="G440" s="748"/>
      <c r="H440" s="320" t="s">
        <v>515</v>
      </c>
      <c r="I440" s="417">
        <f>(I429-H418-H419-H420)-($L429-$K418-$K419-$K420)</f>
        <v>0</v>
      </c>
      <c r="J440" s="748"/>
      <c r="K440" s="757"/>
      <c r="L440" s="812"/>
      <c r="M440" s="748"/>
      <c r="N440" s="31"/>
      <c r="O440" s="31"/>
      <c r="P440" s="31"/>
      <c r="Q440" s="31"/>
      <c r="R440" s="31"/>
      <c r="S440" s="31"/>
    </row>
    <row r="441" spans="1:19" ht="18.75" hidden="1" thickBot="1">
      <c r="A441" s="31"/>
      <c r="B441" s="586"/>
      <c r="C441" s="586"/>
      <c r="D441" s="586"/>
      <c r="E441" s="322" t="s">
        <v>507</v>
      </c>
      <c r="F441" s="419">
        <f>F440/($L429-$K418-$K419-$K420)</f>
        <v>3.4083401985950869E-2</v>
      </c>
      <c r="G441" s="748"/>
      <c r="H441" s="322" t="s">
        <v>507</v>
      </c>
      <c r="I441" s="419">
        <f>I440/($L429-$K418-$K419-$K420)</f>
        <v>0</v>
      </c>
      <c r="J441" s="748"/>
      <c r="K441" s="757"/>
      <c r="L441" s="812"/>
      <c r="M441" s="748"/>
      <c r="N441" s="31"/>
      <c r="O441" s="31"/>
      <c r="P441" s="31"/>
      <c r="Q441" s="31"/>
      <c r="R441" s="31"/>
      <c r="S441" s="31"/>
    </row>
    <row r="442" spans="1:19" ht="16.5" hidden="1" thickBot="1">
      <c r="A442" s="31"/>
      <c r="B442" s="586"/>
      <c r="C442" s="586"/>
      <c r="D442" s="586"/>
      <c r="E442" s="757"/>
      <c r="F442" s="812"/>
      <c r="G442" s="748"/>
      <c r="H442" s="757"/>
      <c r="I442" s="812"/>
      <c r="J442" s="748"/>
      <c r="K442" s="757"/>
      <c r="L442" s="812"/>
      <c r="M442" s="748"/>
      <c r="N442" s="31"/>
      <c r="O442" s="31"/>
      <c r="P442" s="31"/>
      <c r="Q442" s="31"/>
      <c r="R442" s="31"/>
      <c r="S442" s="31"/>
    </row>
    <row r="443" spans="1:19" ht="16.5" hidden="1" thickBot="1">
      <c r="A443" s="31"/>
      <c r="B443" s="586"/>
      <c r="C443" s="586"/>
      <c r="D443" s="586"/>
      <c r="E443" s="757" t="s">
        <v>516</v>
      </c>
      <c r="F443" s="812"/>
      <c r="G443" s="748"/>
      <c r="H443" s="757" t="s">
        <v>516</v>
      </c>
      <c r="I443" s="812"/>
      <c r="J443" s="748"/>
      <c r="K443" s="757" t="s">
        <v>516</v>
      </c>
      <c r="L443" s="812"/>
      <c r="M443" s="748"/>
      <c r="N443" s="31"/>
      <c r="O443" s="31"/>
      <c r="P443" s="31"/>
      <c r="Q443" s="31"/>
      <c r="R443" s="31"/>
      <c r="S443" s="31"/>
    </row>
    <row r="444" spans="1:19" ht="16.5" hidden="1" thickBot="1">
      <c r="A444" s="78"/>
      <c r="B444" s="586"/>
      <c r="C444" s="586"/>
      <c r="D444" s="586"/>
      <c r="E444" s="741" t="s">
        <v>517</v>
      </c>
      <c r="F444" s="813">
        <f>(E406+E407+E408+E409+E410+E411+E413+E414)*0.5</f>
        <v>1161661.08280162</v>
      </c>
      <c r="G444" s="748"/>
      <c r="H444" s="741" t="s">
        <v>517</v>
      </c>
      <c r="I444" s="813">
        <f>(H406+H407+H408+H409+H410+H411+H413+H414)*0.5</f>
        <v>1123372.7188451695</v>
      </c>
      <c r="J444" s="748"/>
      <c r="K444" s="741" t="s">
        <v>517</v>
      </c>
      <c r="L444" s="813">
        <f>(K406+K407+K408+K409+K410+K411+K413+K414)*0.5</f>
        <v>1123372.7188451695</v>
      </c>
      <c r="M444" s="748"/>
      <c r="N444" s="31"/>
      <c r="O444" s="31"/>
      <c r="P444" s="31"/>
      <c r="Q444" s="31"/>
      <c r="R444" s="31"/>
      <c r="S444" s="31"/>
    </row>
    <row r="445" spans="1:19" ht="16.5" hidden="1" thickBot="1">
      <c r="A445" s="78"/>
      <c r="B445" s="586"/>
      <c r="C445" s="586"/>
      <c r="D445" s="586"/>
      <c r="E445" s="741" t="s">
        <v>518</v>
      </c>
      <c r="F445" s="812"/>
      <c r="G445" s="748"/>
      <c r="H445" s="741" t="s">
        <v>518</v>
      </c>
      <c r="I445" s="812"/>
      <c r="J445" s="748"/>
      <c r="K445" s="741" t="s">
        <v>518</v>
      </c>
      <c r="L445" s="812"/>
      <c r="M445" s="748"/>
      <c r="N445" s="31"/>
      <c r="O445" s="31"/>
      <c r="P445" s="31"/>
      <c r="Q445" s="31"/>
      <c r="R445" s="31"/>
      <c r="S445" s="31"/>
    </row>
    <row r="446" spans="1:19" ht="15.75" hidden="1" thickBot="1">
      <c r="A446" s="78"/>
      <c r="B446" s="586"/>
      <c r="C446" s="586"/>
      <c r="D446" s="586"/>
      <c r="E446" s="586" t="s">
        <v>519</v>
      </c>
      <c r="F446" s="586">
        <f>F444*0.78</f>
        <v>906095.64458526368</v>
      </c>
      <c r="G446" s="748"/>
      <c r="H446" s="586" t="s">
        <v>519</v>
      </c>
      <c r="I446" s="586">
        <f>I444*0.78</f>
        <v>876230.7206992323</v>
      </c>
      <c r="J446" s="748"/>
      <c r="K446" s="586" t="s">
        <v>519</v>
      </c>
      <c r="L446" s="586">
        <f>L444*0.78</f>
        <v>876230.7206992323</v>
      </c>
      <c r="M446" s="748"/>
      <c r="N446" s="31"/>
      <c r="O446" s="31"/>
      <c r="P446" s="31"/>
      <c r="Q446" s="31"/>
      <c r="R446" s="31"/>
      <c r="S446" s="31"/>
    </row>
    <row r="447" spans="1:19" ht="15.75" hidden="1" thickBot="1">
      <c r="A447" s="78"/>
      <c r="B447" s="586"/>
      <c r="C447" s="586"/>
      <c r="D447" s="586"/>
      <c r="E447" s="741" t="s">
        <v>520</v>
      </c>
      <c r="F447" s="741"/>
      <c r="G447" s="748"/>
      <c r="H447" s="741" t="s">
        <v>520</v>
      </c>
      <c r="I447" s="741"/>
      <c r="J447" s="748"/>
      <c r="K447" s="741" t="s">
        <v>520</v>
      </c>
      <c r="L447" s="741"/>
      <c r="M447" s="748"/>
      <c r="N447" s="31"/>
      <c r="O447" s="31"/>
      <c r="P447" s="31"/>
      <c r="Q447" s="31"/>
      <c r="R447" s="31"/>
      <c r="S447" s="31"/>
    </row>
    <row r="448" spans="1:19" ht="16.5" hidden="1" thickBot="1">
      <c r="A448" s="78"/>
      <c r="B448" s="586"/>
      <c r="C448" s="586"/>
      <c r="D448" s="586"/>
      <c r="E448" s="814">
        <v>502</v>
      </c>
      <c r="F448" s="813">
        <f>-(E406+E407+E410+E408+E409+F422+E411+E413+F444+E414)*0.19</f>
        <v>-662146.81719692342</v>
      </c>
      <c r="G448" s="748"/>
      <c r="H448" s="814">
        <v>502</v>
      </c>
      <c r="I448" s="813">
        <f>-(H406+H407+H410+H408+H409+I422+H411+H413+I444+H414)*0.19</f>
        <v>-640322.44974174665</v>
      </c>
      <c r="J448" s="748"/>
      <c r="K448" s="814">
        <v>502</v>
      </c>
      <c r="L448" s="813">
        <f>-(K406+K407+K410+K408+K409+L422+K411+K413+L444+K414)*0.19</f>
        <v>-640322.44974174665</v>
      </c>
      <c r="M448" s="748"/>
      <c r="N448" s="31"/>
      <c r="O448" s="31"/>
      <c r="P448" s="31"/>
      <c r="Q448" s="31"/>
      <c r="R448" s="31"/>
      <c r="S448" s="31"/>
    </row>
    <row r="449" spans="1:19" ht="16.5" hidden="1" thickBot="1">
      <c r="A449" s="78"/>
      <c r="B449" s="586"/>
      <c r="C449" s="586"/>
      <c r="D449" s="586"/>
      <c r="E449" s="814">
        <v>505</v>
      </c>
      <c r="F449" s="813">
        <f>-(E406+E407+E410+E408+E409+F422+E411+E413+F444+E414)*0.03</f>
        <v>-104549.49745214579</v>
      </c>
      <c r="G449" s="748"/>
      <c r="H449" s="814">
        <v>505</v>
      </c>
      <c r="I449" s="813">
        <f>-(H406+H407+H410+H408+H409+I422+H411+H413+I444+H414)*0.03</f>
        <v>-101103.54469606525</v>
      </c>
      <c r="J449" s="748"/>
      <c r="K449" s="814">
        <v>505</v>
      </c>
      <c r="L449" s="813">
        <f>-(K406+K407+K410+K408+K409+L422+K411+K413+L444+K414)*0.03</f>
        <v>-101103.54469606525</v>
      </c>
      <c r="M449" s="748"/>
      <c r="N449" s="31"/>
      <c r="O449" s="31"/>
      <c r="P449" s="31"/>
      <c r="Q449" s="31"/>
      <c r="R449" s="31"/>
      <c r="S449" s="31"/>
    </row>
    <row r="450" spans="1:19" ht="16.5" hidden="1" thickBot="1">
      <c r="A450" s="78"/>
      <c r="B450" s="586"/>
      <c r="C450" s="586"/>
      <c r="D450" s="586"/>
      <c r="E450" s="812"/>
      <c r="F450" s="812"/>
      <c r="G450" s="748"/>
      <c r="H450" s="812"/>
      <c r="I450" s="812"/>
      <c r="J450" s="748"/>
      <c r="K450" s="812"/>
      <c r="L450" s="812"/>
      <c r="M450" s="748"/>
      <c r="N450" s="31"/>
      <c r="O450" s="31"/>
      <c r="P450" s="31"/>
      <c r="Q450" s="31"/>
      <c r="R450" s="31"/>
      <c r="S450" s="31"/>
    </row>
    <row r="451" spans="1:19" ht="15.75" hidden="1" thickBot="1">
      <c r="A451" s="78"/>
      <c r="B451" s="586"/>
      <c r="C451" s="586"/>
      <c r="D451" s="586"/>
      <c r="E451" s="806" t="s">
        <v>521</v>
      </c>
      <c r="F451" s="806"/>
      <c r="G451" s="748"/>
      <c r="H451" s="806" t="s">
        <v>521</v>
      </c>
      <c r="I451" s="806"/>
      <c r="J451" s="748"/>
      <c r="K451" s="806" t="s">
        <v>521</v>
      </c>
      <c r="L451" s="806"/>
      <c r="M451" s="748"/>
      <c r="N451" s="31"/>
      <c r="O451" s="31"/>
      <c r="P451" s="31"/>
      <c r="Q451" s="31"/>
      <c r="R451" s="31"/>
      <c r="S451" s="31"/>
    </row>
    <row r="452" spans="1:19" ht="16.5" hidden="1" thickBot="1">
      <c r="A452" s="78"/>
      <c r="B452" s="586"/>
      <c r="C452" s="586"/>
      <c r="D452" s="586"/>
      <c r="E452" s="806"/>
      <c r="F452" s="812">
        <f>E421+F444+F445+F448+F449</f>
        <v>2906698.9337557908</v>
      </c>
      <c r="G452" s="748"/>
      <c r="H452" s="806"/>
      <c r="I452" s="812">
        <f>H421+I444+I445+I448+I449</f>
        <v>2817104.1620976967</v>
      </c>
      <c r="J452" s="748"/>
      <c r="K452" s="806"/>
      <c r="L452" s="812">
        <f>K421+L444+L445+L448+L449</f>
        <v>2757104.1620976967</v>
      </c>
      <c r="M452" s="748"/>
      <c r="N452" s="31"/>
      <c r="O452" s="31"/>
      <c r="P452" s="31"/>
      <c r="Q452" s="31"/>
      <c r="R452" s="31"/>
      <c r="S452" s="31"/>
    </row>
    <row r="453" spans="1:19" ht="16.5" hidden="1" thickBot="1">
      <c r="A453" s="78"/>
      <c r="B453" s="586"/>
      <c r="C453" s="586"/>
      <c r="D453" s="586"/>
      <c r="E453" s="815" t="s">
        <v>522</v>
      </c>
      <c r="F453" s="815"/>
      <c r="G453" s="748"/>
      <c r="H453" s="815" t="s">
        <v>522</v>
      </c>
      <c r="I453" s="815"/>
      <c r="J453" s="748"/>
      <c r="K453" s="815" t="s">
        <v>522</v>
      </c>
      <c r="L453" s="815"/>
      <c r="M453" s="748"/>
      <c r="N453" s="31"/>
      <c r="O453" s="31"/>
      <c r="P453" s="31"/>
      <c r="Q453" s="31"/>
      <c r="R453" s="31"/>
      <c r="S453" s="31"/>
    </row>
    <row r="454" spans="1:19" ht="18.75" hidden="1" thickBot="1">
      <c r="A454" s="78"/>
      <c r="B454" s="586"/>
      <c r="C454" s="586"/>
      <c r="D454" s="586"/>
      <c r="E454" s="586"/>
      <c r="F454" s="816">
        <f>F452-F429+F425</f>
        <v>906095.64458526345</v>
      </c>
      <c r="G454" s="817"/>
      <c r="H454" s="586"/>
      <c r="I454" s="816">
        <f>I452-I429+I425</f>
        <v>876230.72069923207</v>
      </c>
      <c r="J454" s="817"/>
      <c r="K454" s="586"/>
      <c r="L454" s="816">
        <f>L452-L429+L425</f>
        <v>876230.72069923207</v>
      </c>
      <c r="M454" s="817"/>
      <c r="N454" s="31"/>
      <c r="O454" s="31"/>
      <c r="P454" s="31"/>
      <c r="Q454" s="31"/>
      <c r="R454" s="31"/>
      <c r="S454" s="31"/>
    </row>
    <row r="455" spans="1:19" ht="15.75" hidden="1" thickBot="1">
      <c r="A455" s="78"/>
      <c r="B455" s="586"/>
      <c r="C455" s="586"/>
      <c r="D455" s="586"/>
      <c r="E455" s="586"/>
      <c r="F455" s="586"/>
      <c r="G455" s="748"/>
      <c r="H455" s="586"/>
      <c r="I455" s="586"/>
      <c r="J455" s="748"/>
      <c r="K455" s="586"/>
      <c r="L455" s="586"/>
      <c r="M455" s="748"/>
      <c r="N455" s="31"/>
      <c r="O455" s="31"/>
      <c r="P455" s="31"/>
      <c r="Q455" s="31"/>
      <c r="R455" s="31"/>
      <c r="S455" s="31"/>
    </row>
    <row r="456" spans="1:19" ht="20.25">
      <c r="A456" s="818" t="s">
        <v>545</v>
      </c>
      <c r="B456" s="31"/>
      <c r="C456" s="31"/>
      <c r="D456" s="31"/>
      <c r="E456" s="865">
        <v>46143</v>
      </c>
      <c r="F456" s="866">
        <v>3.5000000000000003E-2</v>
      </c>
      <c r="G456" s="867"/>
      <c r="H456" s="865">
        <v>46054</v>
      </c>
      <c r="I456" s="866">
        <v>0</v>
      </c>
      <c r="J456" s="867"/>
      <c r="K456" s="865">
        <v>45992</v>
      </c>
      <c r="L456" s="23"/>
      <c r="M456" s="21"/>
      <c r="N456" s="31"/>
      <c r="O456" s="31"/>
      <c r="P456" s="31"/>
      <c r="Q456" s="31"/>
      <c r="R456" s="31"/>
      <c r="S456" s="31"/>
    </row>
    <row r="457" spans="1:19" ht="18">
      <c r="A457" s="863" t="s">
        <v>546</v>
      </c>
      <c r="B457" s="864"/>
      <c r="C457" s="819"/>
      <c r="D457" s="820"/>
      <c r="E457" s="160"/>
      <c r="F457" s="160"/>
      <c r="G457" s="160"/>
      <c r="H457" s="160"/>
      <c r="I457" s="160"/>
      <c r="J457" s="160"/>
      <c r="K457" s="22">
        <v>46023</v>
      </c>
      <c r="L457" s="160"/>
      <c r="M457" s="160"/>
      <c r="N457" s="160"/>
      <c r="O457" s="160"/>
      <c r="P457" s="160"/>
      <c r="Q457" s="160"/>
      <c r="R457" s="160"/>
      <c r="S457" s="160"/>
    </row>
    <row r="458" spans="1:19" ht="15.75">
      <c r="A458" s="854" t="s">
        <v>547</v>
      </c>
      <c r="B458" s="837"/>
      <c r="C458" s="837"/>
      <c r="D458" s="160"/>
      <c r="E458" s="160"/>
      <c r="F458" s="160"/>
      <c r="G458" s="160"/>
      <c r="H458" s="160"/>
      <c r="I458" s="160"/>
      <c r="J458" s="160"/>
      <c r="K458" s="160"/>
      <c r="L458" s="160"/>
      <c r="M458" s="160"/>
      <c r="N458" s="160"/>
      <c r="O458" s="160"/>
      <c r="P458" s="160"/>
      <c r="Q458" s="160"/>
      <c r="R458" s="160"/>
      <c r="S458" s="160"/>
    </row>
    <row r="459" spans="1:19" ht="18">
      <c r="A459" s="855" t="s">
        <v>548</v>
      </c>
      <c r="B459" s="856"/>
      <c r="C459" s="856"/>
      <c r="D459" s="160"/>
      <c r="E459" s="160"/>
      <c r="F459" s="160"/>
      <c r="G459" s="160"/>
      <c r="H459" s="160"/>
      <c r="I459" s="160"/>
      <c r="J459" s="160"/>
      <c r="K459" s="160"/>
      <c r="L459" s="160"/>
      <c r="M459" s="160"/>
      <c r="N459" s="160"/>
      <c r="O459" s="160"/>
      <c r="P459" s="160"/>
      <c r="Q459" s="160"/>
      <c r="R459" s="160"/>
      <c r="S459" s="160"/>
    </row>
    <row r="460" spans="1:19" ht="15.75">
      <c r="A460" s="857" t="s">
        <v>549</v>
      </c>
      <c r="B460" s="858"/>
      <c r="C460" s="858"/>
      <c r="D460" s="821"/>
      <c r="E460" s="160"/>
      <c r="F460" s="160"/>
      <c r="G460" s="160"/>
      <c r="H460" s="160"/>
      <c r="I460" s="160"/>
      <c r="J460" s="160"/>
      <c r="K460" s="160"/>
      <c r="L460" s="160"/>
      <c r="M460" s="160"/>
      <c r="N460" s="160"/>
      <c r="O460" s="160"/>
      <c r="P460" s="160"/>
      <c r="Q460" s="160"/>
      <c r="R460" s="160"/>
      <c r="S460" s="160"/>
    </row>
    <row r="461" spans="1:19" ht="15.75">
      <c r="A461" s="859" t="s">
        <v>550</v>
      </c>
      <c r="B461" s="837"/>
      <c r="C461" s="837"/>
      <c r="D461" s="160"/>
      <c r="E461" s="160"/>
      <c r="F461" s="160"/>
      <c r="G461" s="160"/>
      <c r="H461" s="160"/>
      <c r="I461" s="160"/>
      <c r="J461" s="160"/>
      <c r="K461" s="160"/>
      <c r="L461" s="160"/>
      <c r="M461" s="160"/>
      <c r="N461" s="160"/>
      <c r="O461" s="160"/>
      <c r="P461" s="160"/>
      <c r="Q461" s="160"/>
      <c r="R461" s="160"/>
      <c r="S461" s="160"/>
    </row>
    <row r="462" spans="1:19">
      <c r="A462" s="822" t="s">
        <v>551</v>
      </c>
      <c r="B462" s="31"/>
      <c r="C462" s="31"/>
      <c r="D462" s="31"/>
      <c r="E462" s="31"/>
      <c r="F462" s="31"/>
      <c r="G462" s="31"/>
      <c r="H462" s="31"/>
      <c r="I462" s="31"/>
      <c r="J462" s="31"/>
      <c r="K462" s="39"/>
      <c r="L462" s="39"/>
      <c r="M462" s="39"/>
      <c r="N462" s="39"/>
      <c r="O462" s="39"/>
      <c r="P462" s="39"/>
      <c r="Q462" s="39"/>
      <c r="R462" s="39"/>
      <c r="S462" s="39"/>
    </row>
    <row r="463" spans="1:19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9"/>
      <c r="L463" s="39"/>
      <c r="M463" s="39"/>
      <c r="N463" s="39"/>
      <c r="O463" s="39"/>
      <c r="P463" s="39"/>
      <c r="Q463" s="39"/>
      <c r="R463" s="39"/>
      <c r="S463" s="39"/>
    </row>
    <row r="464" spans="1:19" ht="15.75">
      <c r="A464" s="31"/>
      <c r="B464" s="31"/>
      <c r="C464" s="78"/>
      <c r="D464" s="98"/>
      <c r="E464" s="98"/>
      <c r="F464" s="98"/>
      <c r="G464" s="98"/>
      <c r="H464" s="98"/>
      <c r="I464" s="98"/>
      <c r="J464" s="98"/>
      <c r="K464" s="39"/>
      <c r="L464" s="39"/>
      <c r="M464" s="39"/>
      <c r="N464" s="39"/>
      <c r="O464" s="39"/>
      <c r="P464" s="39"/>
      <c r="Q464" s="39"/>
      <c r="R464" s="39"/>
      <c r="S464" s="39"/>
    </row>
    <row r="465" spans="1:19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9"/>
      <c r="L465" s="39"/>
      <c r="M465" s="39"/>
      <c r="N465" s="39"/>
      <c r="O465" s="39"/>
      <c r="P465" s="39"/>
      <c r="Q465" s="39"/>
      <c r="R465" s="39"/>
      <c r="S465" s="39"/>
    </row>
    <row r="466" spans="1:19" ht="15.75">
      <c r="A466" s="31"/>
      <c r="B466" s="31"/>
      <c r="C466" s="78"/>
      <c r="D466" s="98"/>
      <c r="E466" s="98"/>
      <c r="F466" s="98"/>
      <c r="G466" s="98"/>
      <c r="H466" s="98"/>
      <c r="I466" s="98"/>
      <c r="J466" s="98"/>
      <c r="K466" s="39"/>
      <c r="L466" s="39"/>
      <c r="M466" s="39"/>
      <c r="N466" s="39"/>
      <c r="O466" s="39"/>
      <c r="P466" s="39"/>
      <c r="Q466" s="39"/>
      <c r="R466" s="39"/>
      <c r="S466" s="39"/>
    </row>
    <row r="467" spans="1:19" ht="18">
      <c r="A467" s="31"/>
      <c r="B467" s="823"/>
      <c r="C467" s="31"/>
      <c r="D467" s="136"/>
      <c r="E467" s="824"/>
      <c r="F467" s="824"/>
      <c r="G467" s="55"/>
      <c r="H467" s="31"/>
      <c r="I467" s="31"/>
      <c r="J467" s="31"/>
      <c r="K467" s="39"/>
      <c r="L467" s="39"/>
      <c r="M467" s="39"/>
      <c r="N467" s="39"/>
      <c r="O467" s="39"/>
      <c r="P467" s="39"/>
      <c r="Q467" s="39"/>
      <c r="R467" s="39"/>
      <c r="S467" s="39"/>
    </row>
    <row r="468" spans="1:19">
      <c r="A468" s="31"/>
      <c r="B468" s="5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1:19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</row>
    <row r="470" spans="1:19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</row>
  </sheetData>
  <sheetProtection algorithmName="SHA-512" hashValue="t5j5mF4e6kw8+JcRzrtaYPJSZs/PFiK902NduDkTbBh8bEtANrj5xqzq7lwh97yWP/LdTDzah1YYQnqpbs64+A==" saltValue="K0BL9RL6NlXZIKFuQfzyFg==" spinCount="100000" sheet="1" objects="1" scenarios="1"/>
  <mergeCells count="28">
    <mergeCell ref="A458:C458"/>
    <mergeCell ref="A459:C459"/>
    <mergeCell ref="A460:C460"/>
    <mergeCell ref="A461:C461"/>
    <mergeCell ref="B342:C342"/>
    <mergeCell ref="B345:C345"/>
    <mergeCell ref="B346:C346"/>
    <mergeCell ref="B348:C348"/>
    <mergeCell ref="B349:C349"/>
    <mergeCell ref="A457:B457"/>
    <mergeCell ref="B341:C341"/>
    <mergeCell ref="B63:C63"/>
    <mergeCell ref="B65:C65"/>
    <mergeCell ref="B66:C66"/>
    <mergeCell ref="B67:C67"/>
    <mergeCell ref="B205:C205"/>
    <mergeCell ref="B206:C206"/>
    <mergeCell ref="B209:C209"/>
    <mergeCell ref="B210:C210"/>
    <mergeCell ref="B211:C211"/>
    <mergeCell ref="B213:C213"/>
    <mergeCell ref="B215:C215"/>
    <mergeCell ref="B62:C62"/>
    <mergeCell ref="A7:C7"/>
    <mergeCell ref="F39:H39"/>
    <mergeCell ref="F40:G40"/>
    <mergeCell ref="F41:G41"/>
    <mergeCell ref="A56:D56"/>
  </mergeCells>
  <hyperlinks>
    <hyperlink ref="A5" r:id="rId1" location="Cargos!A1" xr:uid="{D8B515B3-CB13-4A4C-884F-449E9F74D2DF}"/>
    <hyperlink ref="A459" r:id="rId2" xr:uid="{141B9BE6-EE8A-403E-BD41-FC37A3F00219}"/>
    <hyperlink ref="A460" r:id="rId3" xr:uid="{013E1293-D2D3-4F7E-A6AC-C7D9B07F5C5B}"/>
    <hyperlink ref="A461" r:id="rId4" xr:uid="{D9E815E4-565D-4C5C-A7A5-BD0F71B8FEB6}"/>
    <hyperlink ref="A462" r:id="rId5" xr:uid="{E9D30235-C15F-4B10-A611-D2AAAC5999D3}"/>
  </hyperlinks>
  <pageMargins left="0.7" right="0.7" top="0.75" bottom="0.75" header="0.3" footer="0.3"/>
  <pageSetup paperSize="9"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03B1D-1A0D-4E8D-8732-92D36697B57F}">
  <dimension ref="A1:K372"/>
  <sheetViews>
    <sheetView topLeftCell="B1" zoomScale="85" zoomScaleNormal="85" workbookViewId="0">
      <selection activeCell="B13" sqref="B13"/>
    </sheetView>
  </sheetViews>
  <sheetFormatPr baseColWidth="10" defaultRowHeight="15"/>
  <cols>
    <col min="1" max="1" width="7.7109375" bestFit="1" customWidth="1"/>
    <col min="2" max="2" width="66.140625" customWidth="1"/>
    <col min="3" max="3" width="8.7109375" bestFit="1" customWidth="1"/>
    <col min="4" max="4" width="16.85546875" bestFit="1" customWidth="1"/>
    <col min="5" max="5" width="9.5703125" bestFit="1" customWidth="1"/>
    <col min="6" max="6" width="12.7109375" bestFit="1" customWidth="1"/>
    <col min="7" max="7" width="12.42578125" bestFit="1" customWidth="1"/>
    <col min="8" max="8" width="7" bestFit="1" customWidth="1"/>
    <col min="9" max="9" width="6" bestFit="1" customWidth="1"/>
    <col min="10" max="10" width="5.140625" bestFit="1" customWidth="1"/>
    <col min="11" max="11" width="11.140625" bestFit="1" customWidth="1"/>
  </cols>
  <sheetData>
    <row r="1" spans="1:11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>
      <c r="A2" s="1"/>
      <c r="B2" s="16" t="s">
        <v>11</v>
      </c>
      <c r="C2" s="17"/>
      <c r="D2" s="14"/>
      <c r="E2" s="1"/>
      <c r="F2" s="1"/>
      <c r="G2" s="14"/>
      <c r="H2" s="1" t="s">
        <v>12</v>
      </c>
      <c r="I2" s="15" t="s">
        <v>13</v>
      </c>
      <c r="J2" s="1" t="s">
        <v>14</v>
      </c>
      <c r="K2" s="17"/>
    </row>
    <row r="3" spans="1:11">
      <c r="A3" s="4">
        <v>400</v>
      </c>
      <c r="B3" s="18" t="s">
        <v>15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>
      <c r="A4" s="4">
        <v>401</v>
      </c>
      <c r="B4" s="18" t="s">
        <v>16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>
      <c r="A5" s="4">
        <v>403</v>
      </c>
      <c r="B5" s="18" t="s">
        <v>17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>
      <c r="A6" s="4">
        <v>404</v>
      </c>
      <c r="B6" s="18" t="s">
        <v>18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>
      <c r="A7" s="4">
        <v>405</v>
      </c>
      <c r="B7" s="18" t="s">
        <v>19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>
      <c r="A8" s="4">
        <v>406</v>
      </c>
      <c r="B8" s="18" t="s">
        <v>20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>
      <c r="A9" s="4">
        <v>407</v>
      </c>
      <c r="B9" s="18" t="s">
        <v>21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>
      <c r="A10" s="4">
        <v>408</v>
      </c>
      <c r="B10" s="18" t="s">
        <v>22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>
      <c r="A11" s="4">
        <v>409</v>
      </c>
      <c r="B11" s="18" t="s">
        <v>23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>
      <c r="A12" s="4">
        <v>410</v>
      </c>
      <c r="B12" s="18" t="s">
        <v>24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>
      <c r="A13" s="4">
        <v>411</v>
      </c>
      <c r="B13" s="18" t="s">
        <v>25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>
      <c r="A14" s="4">
        <v>412</v>
      </c>
      <c r="B14" s="18" t="s">
        <v>26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>
      <c r="A15" s="4">
        <v>414</v>
      </c>
      <c r="B15" s="18" t="s">
        <v>27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>
      <c r="A16" s="4">
        <v>415</v>
      </c>
      <c r="B16" s="18" t="s">
        <v>28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>
      <c r="A17" s="4">
        <v>416</v>
      </c>
      <c r="B17" s="18" t="s">
        <v>29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>
      <c r="A18" s="4">
        <v>417</v>
      </c>
      <c r="B18" s="18" t="s">
        <v>30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>
      <c r="A19" s="4">
        <v>418</v>
      </c>
      <c r="B19" s="18" t="s">
        <v>31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>
      <c r="A20" s="4">
        <v>419</v>
      </c>
      <c r="B20" s="18" t="s">
        <v>32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>
      <c r="A21" s="4">
        <v>420</v>
      </c>
      <c r="B21" s="18" t="s">
        <v>33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>
      <c r="A22" s="4">
        <v>421</v>
      </c>
      <c r="B22" s="18" t="s">
        <v>34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>
      <c r="A23" s="4">
        <v>422</v>
      </c>
      <c r="B23" s="18" t="s">
        <v>35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>
      <c r="A24" s="4">
        <v>424</v>
      </c>
      <c r="B24" s="18" t="s">
        <v>36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>
      <c r="A25" s="4">
        <v>425</v>
      </c>
      <c r="B25" s="18" t="s">
        <v>37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>
      <c r="A26" s="4">
        <v>426</v>
      </c>
      <c r="B26" s="18" t="s">
        <v>38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>
      <c r="A27" s="4">
        <v>427</v>
      </c>
      <c r="B27" s="18" t="s">
        <v>39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>
      <c r="A28" s="4">
        <v>432</v>
      </c>
      <c r="B28" s="18" t="s">
        <v>40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>
      <c r="A29" s="4">
        <v>433</v>
      </c>
      <c r="B29" s="18" t="s">
        <v>41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>
      <c r="A30" s="4">
        <v>438</v>
      </c>
      <c r="B30" s="18" t="s">
        <v>42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>
      <c r="A31" s="4">
        <v>440</v>
      </c>
      <c r="B31" s="18" t="s">
        <v>43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>
      <c r="A32" s="4">
        <v>441</v>
      </c>
      <c r="B32" s="18" t="s">
        <v>44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>
      <c r="A33" s="4">
        <v>443</v>
      </c>
      <c r="B33" s="18" t="s">
        <v>45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>
      <c r="A34" s="4">
        <v>444</v>
      </c>
      <c r="B34" s="18" t="s">
        <v>46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>
      <c r="A35" s="4">
        <v>445</v>
      </c>
      <c r="B35" s="18" t="s">
        <v>47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>
      <c r="A36" s="4">
        <v>450</v>
      </c>
      <c r="B36" s="18" t="s">
        <v>48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>
      <c r="A37" s="4">
        <v>454</v>
      </c>
      <c r="B37" s="18" t="s">
        <v>49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>
      <c r="A38" s="4">
        <v>455</v>
      </c>
      <c r="B38" s="18" t="s">
        <v>50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>
      <c r="A39" s="4">
        <v>456</v>
      </c>
      <c r="B39" s="18" t="s">
        <v>51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>
      <c r="A40" s="4">
        <v>457</v>
      </c>
      <c r="B40" s="18" t="s">
        <v>52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>
      <c r="A41" s="4">
        <v>460</v>
      </c>
      <c r="B41" s="18" t="s">
        <v>53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>
      <c r="A42" s="4">
        <v>461</v>
      </c>
      <c r="B42" s="18" t="s">
        <v>54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>
      <c r="A43" s="4">
        <v>465</v>
      </c>
      <c r="B43" s="18" t="s">
        <v>55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>
      <c r="A44" s="4">
        <v>468</v>
      </c>
      <c r="B44" s="18" t="s">
        <v>56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>
      <c r="A45" s="4">
        <v>469</v>
      </c>
      <c r="B45" s="18" t="s">
        <v>57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>
      <c r="A46" s="4">
        <v>470</v>
      </c>
      <c r="B46" s="18" t="s">
        <v>58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59</v>
      </c>
      <c r="H46" s="4"/>
      <c r="I46" s="2"/>
      <c r="J46" s="6"/>
      <c r="K46" s="7"/>
    </row>
    <row r="47" spans="1:11">
      <c r="A47" s="4">
        <v>472</v>
      </c>
      <c r="B47" s="18" t="s">
        <v>60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>
      <c r="A48" s="4">
        <v>480</v>
      </c>
      <c r="B48" s="18" t="s">
        <v>61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>
      <c r="A49" s="4">
        <v>481</v>
      </c>
      <c r="B49" s="18" t="s">
        <v>62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>
      <c r="A50" s="4">
        <v>485</v>
      </c>
      <c r="B50" s="18" t="s">
        <v>63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>
      <c r="A51" s="4">
        <v>490</v>
      </c>
      <c r="B51" s="18" t="s">
        <v>64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>
      <c r="A52" s="4">
        <v>603</v>
      </c>
      <c r="B52" s="18" t="s">
        <v>65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66</v>
      </c>
      <c r="H52" s="4"/>
      <c r="I52" s="2"/>
      <c r="J52" s="6"/>
      <c r="K52" s="7"/>
    </row>
    <row r="53" spans="1:11">
      <c r="A53" s="4">
        <v>604</v>
      </c>
      <c r="B53" s="18" t="s">
        <v>67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68</v>
      </c>
      <c r="H53" s="4"/>
      <c r="I53" s="2"/>
      <c r="J53" s="6"/>
      <c r="K53" s="7"/>
    </row>
    <row r="54" spans="1:11">
      <c r="A54" s="4">
        <v>605</v>
      </c>
      <c r="B54" s="18" t="s">
        <v>69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66</v>
      </c>
      <c r="H54" s="4"/>
      <c r="I54" s="2"/>
      <c r="J54" s="6"/>
      <c r="K54" s="7"/>
    </row>
    <row r="55" spans="1:11">
      <c r="A55" s="4">
        <v>606</v>
      </c>
      <c r="B55" s="18" t="s">
        <v>70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>
      <c r="A56" s="4">
        <v>607</v>
      </c>
      <c r="B56" s="18" t="s">
        <v>71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68</v>
      </c>
      <c r="H56" s="4"/>
      <c r="I56" s="2"/>
      <c r="J56" s="6"/>
      <c r="K56" s="7"/>
    </row>
    <row r="57" spans="1:11">
      <c r="A57" s="4">
        <v>608</v>
      </c>
      <c r="B57" s="18" t="s">
        <v>72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>
      <c r="A58" s="4">
        <v>609</v>
      </c>
      <c r="B58" s="18" t="s">
        <v>73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74</v>
      </c>
      <c r="H58" s="4"/>
      <c r="I58" s="2"/>
      <c r="J58" s="6"/>
      <c r="K58" s="7"/>
    </row>
    <row r="59" spans="1:11">
      <c r="A59" s="4">
        <v>610</v>
      </c>
      <c r="B59" s="18" t="s">
        <v>75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>
      <c r="A60" s="4">
        <v>611</v>
      </c>
      <c r="B60" s="18" t="s">
        <v>76</v>
      </c>
      <c r="C60" s="2">
        <v>1840</v>
      </c>
      <c r="D60" s="3">
        <v>57</v>
      </c>
      <c r="E60" s="4">
        <f t="shared" si="0"/>
        <v>1897</v>
      </c>
      <c r="F60" s="3" t="s">
        <v>77</v>
      </c>
      <c r="G60" s="5" t="s">
        <v>77</v>
      </c>
      <c r="H60" s="4"/>
      <c r="I60" s="2"/>
      <c r="J60" s="6"/>
      <c r="K60" s="7"/>
    </row>
    <row r="61" spans="1:11">
      <c r="A61" s="4">
        <v>612</v>
      </c>
      <c r="B61" s="18" t="s">
        <v>78</v>
      </c>
      <c r="C61" s="2">
        <v>1690</v>
      </c>
      <c r="D61" s="3">
        <v>76</v>
      </c>
      <c r="E61" s="4">
        <f t="shared" si="0"/>
        <v>1766</v>
      </c>
      <c r="F61" s="3" t="s">
        <v>79</v>
      </c>
      <c r="G61" s="5" t="s">
        <v>79</v>
      </c>
      <c r="H61" s="4"/>
      <c r="I61" s="2"/>
      <c r="J61" s="6"/>
      <c r="K61" s="7"/>
    </row>
    <row r="62" spans="1:11">
      <c r="A62" s="4">
        <v>613</v>
      </c>
      <c r="B62" s="18" t="s">
        <v>80</v>
      </c>
      <c r="C62" s="2">
        <v>1680</v>
      </c>
      <c r="D62" s="3">
        <v>77</v>
      </c>
      <c r="E62" s="4">
        <f t="shared" si="0"/>
        <v>1757</v>
      </c>
      <c r="F62" s="3" t="s">
        <v>79</v>
      </c>
      <c r="G62" s="5" t="s">
        <v>79</v>
      </c>
      <c r="H62" s="4"/>
      <c r="I62" s="2"/>
      <c r="J62" s="6">
        <v>0</v>
      </c>
      <c r="K62" s="7"/>
    </row>
    <row r="63" spans="1:11">
      <c r="A63" s="4">
        <v>614</v>
      </c>
      <c r="B63" s="18" t="s">
        <v>81</v>
      </c>
      <c r="C63" s="2">
        <v>1740</v>
      </c>
      <c r="D63" s="3">
        <v>75</v>
      </c>
      <c r="E63" s="4">
        <f t="shared" si="0"/>
        <v>1815</v>
      </c>
      <c r="F63" s="3" t="s">
        <v>82</v>
      </c>
      <c r="G63" s="5" t="s">
        <v>82</v>
      </c>
      <c r="H63" s="4"/>
      <c r="I63" s="2"/>
      <c r="J63" s="6"/>
      <c r="K63" s="7"/>
    </row>
    <row r="64" spans="1:11">
      <c r="A64" s="4">
        <v>615</v>
      </c>
      <c r="B64" s="18" t="s">
        <v>83</v>
      </c>
      <c r="C64" s="2">
        <v>1610</v>
      </c>
      <c r="D64" s="3">
        <v>87</v>
      </c>
      <c r="E64" s="4">
        <f t="shared" si="0"/>
        <v>1697</v>
      </c>
      <c r="F64" s="3" t="s">
        <v>68</v>
      </c>
      <c r="G64" s="5" t="s">
        <v>68</v>
      </c>
      <c r="H64" s="4"/>
      <c r="I64" s="2"/>
      <c r="J64" s="6"/>
      <c r="K64" s="7"/>
    </row>
    <row r="65" spans="1:11">
      <c r="A65" s="4">
        <v>616</v>
      </c>
      <c r="B65" s="18" t="s">
        <v>84</v>
      </c>
      <c r="C65" s="2">
        <v>1840</v>
      </c>
      <c r="D65" s="3">
        <v>57</v>
      </c>
      <c r="E65" s="4">
        <f t="shared" si="0"/>
        <v>1897</v>
      </c>
      <c r="F65" s="3"/>
      <c r="G65" s="5" t="s">
        <v>77</v>
      </c>
      <c r="H65" s="4"/>
      <c r="I65" s="2"/>
      <c r="J65" s="6"/>
      <c r="K65" s="7"/>
    </row>
    <row r="66" spans="1:11">
      <c r="A66" s="4">
        <v>617</v>
      </c>
      <c r="B66" s="18" t="s">
        <v>85</v>
      </c>
      <c r="C66" s="2">
        <v>1610</v>
      </c>
      <c r="D66" s="3">
        <v>87</v>
      </c>
      <c r="E66" s="4">
        <f t="shared" si="0"/>
        <v>1697</v>
      </c>
      <c r="F66" s="3"/>
      <c r="G66" s="5" t="s">
        <v>68</v>
      </c>
      <c r="H66" s="4"/>
      <c r="I66" s="2"/>
      <c r="J66" s="6"/>
      <c r="K66" s="7"/>
    </row>
    <row r="67" spans="1:11">
      <c r="A67" s="4">
        <v>618</v>
      </c>
      <c r="B67" s="18" t="s">
        <v>86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68</v>
      </c>
      <c r="H67" s="4"/>
      <c r="I67" s="2"/>
      <c r="J67" s="6"/>
      <c r="K67" s="7"/>
    </row>
    <row r="68" spans="1:11">
      <c r="A68" s="4">
        <v>619</v>
      </c>
      <c r="B68" s="18" t="s">
        <v>87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>
      <c r="A69" s="4">
        <v>620</v>
      </c>
      <c r="B69" s="18" t="s">
        <v>88</v>
      </c>
      <c r="C69" s="2">
        <v>1550</v>
      </c>
      <c r="D69" s="3">
        <v>94</v>
      </c>
      <c r="E69" s="4">
        <f t="shared" si="1"/>
        <v>1644</v>
      </c>
      <c r="F69" s="3"/>
      <c r="G69" s="5" t="s">
        <v>68</v>
      </c>
      <c r="H69" s="4"/>
      <c r="I69" s="2"/>
      <c r="J69" s="6"/>
      <c r="K69" s="7"/>
    </row>
    <row r="70" spans="1:11">
      <c r="A70" s="4">
        <v>621</v>
      </c>
      <c r="B70" s="18" t="s">
        <v>89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>
      <c r="A71" s="4">
        <v>622</v>
      </c>
      <c r="B71" s="18" t="s">
        <v>90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>
      <c r="A72" s="4">
        <v>624</v>
      </c>
      <c r="B72" s="18" t="s">
        <v>91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>
      <c r="A73" s="4">
        <v>625</v>
      </c>
      <c r="B73" s="18" t="s">
        <v>92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68</v>
      </c>
      <c r="H73" s="4"/>
      <c r="I73" s="2"/>
      <c r="J73" s="6"/>
      <c r="K73" s="7"/>
    </row>
    <row r="74" spans="1:11">
      <c r="A74" s="4">
        <v>626</v>
      </c>
      <c r="B74" s="18" t="s">
        <v>93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68</v>
      </c>
      <c r="H74" s="4"/>
      <c r="I74" s="2"/>
      <c r="J74" s="6"/>
      <c r="K74" s="7"/>
    </row>
    <row r="75" spans="1:11">
      <c r="A75" s="4">
        <v>627</v>
      </c>
      <c r="B75" s="18" t="s">
        <v>94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68</v>
      </c>
      <c r="H75" s="4"/>
      <c r="I75" s="2"/>
      <c r="J75" s="6"/>
      <c r="K75" s="7"/>
    </row>
    <row r="76" spans="1:11">
      <c r="A76" s="4">
        <v>628</v>
      </c>
      <c r="B76" s="18" t="s">
        <v>95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>
      <c r="A77" s="4">
        <v>629</v>
      </c>
      <c r="B77" s="18" t="s">
        <v>96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>
      <c r="A78" s="4">
        <v>632</v>
      </c>
      <c r="B78" s="18" t="s">
        <v>40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>
      <c r="A79" s="4">
        <v>633</v>
      </c>
      <c r="B79" s="18" t="s">
        <v>97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>
      <c r="A80" s="4">
        <v>634</v>
      </c>
      <c r="B80" s="18" t="s">
        <v>98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>
      <c r="A81" s="4">
        <v>635</v>
      </c>
      <c r="B81" s="18" t="s">
        <v>99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68</v>
      </c>
      <c r="H81" s="4"/>
      <c r="I81" s="2"/>
      <c r="J81" s="3"/>
      <c r="K81" s="7"/>
    </row>
    <row r="82" spans="1:11">
      <c r="A82" s="4">
        <v>636</v>
      </c>
      <c r="B82" s="18" t="s">
        <v>100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>
      <c r="A83" s="4">
        <v>637</v>
      </c>
      <c r="B83" s="18" t="s">
        <v>101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>
      <c r="A84" s="4">
        <v>639</v>
      </c>
      <c r="B84" s="18" t="s">
        <v>102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>
      <c r="A85" s="4">
        <v>640</v>
      </c>
      <c r="B85" s="18" t="s">
        <v>103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79</v>
      </c>
      <c r="H85" s="4"/>
      <c r="I85" s="2"/>
      <c r="J85" s="3"/>
      <c r="K85" s="7"/>
    </row>
    <row r="86" spans="1:11">
      <c r="A86" s="4">
        <v>641</v>
      </c>
      <c r="B86" s="18" t="s">
        <v>104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68</v>
      </c>
      <c r="H86" s="4"/>
      <c r="I86" s="2"/>
      <c r="J86" s="3"/>
      <c r="K86" s="7"/>
    </row>
    <row r="87" spans="1:11">
      <c r="A87" s="4">
        <v>642</v>
      </c>
      <c r="B87" s="18" t="s">
        <v>105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66</v>
      </c>
      <c r="H87" s="4"/>
      <c r="I87" s="2"/>
      <c r="J87" s="3"/>
      <c r="K87" s="7"/>
    </row>
    <row r="88" spans="1:11">
      <c r="A88" s="4">
        <v>643</v>
      </c>
      <c r="B88" s="18" t="s">
        <v>106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68</v>
      </c>
      <c r="H88" s="4"/>
      <c r="I88" s="2"/>
      <c r="J88" s="3"/>
      <c r="K88" s="7"/>
    </row>
    <row r="89" spans="1:11">
      <c r="A89" s="4">
        <v>644</v>
      </c>
      <c r="B89" s="18" t="s">
        <v>107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>
      <c r="A90" s="4">
        <v>645</v>
      </c>
      <c r="B90" s="18" t="s">
        <v>108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>
      <c r="A91" s="4">
        <v>646</v>
      </c>
      <c r="B91" s="18" t="s">
        <v>109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>
      <c r="A92" s="4">
        <v>647</v>
      </c>
      <c r="B92" s="18" t="s">
        <v>110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>
      <c r="A93" s="4">
        <v>648</v>
      </c>
      <c r="B93" s="18" t="s">
        <v>111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82</v>
      </c>
      <c r="H93" s="4"/>
      <c r="I93" s="2"/>
      <c r="J93" s="3"/>
      <c r="K93" s="7"/>
    </row>
    <row r="94" spans="1:11">
      <c r="A94" s="4">
        <v>649</v>
      </c>
      <c r="B94" s="18" t="s">
        <v>112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>
      <c r="A95" s="4">
        <v>650</v>
      </c>
      <c r="B95" s="18" t="s">
        <v>113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>
      <c r="A96" s="4">
        <v>651</v>
      </c>
      <c r="B96" s="18" t="s">
        <v>114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>
      <c r="A97" s="4">
        <v>652</v>
      </c>
      <c r="B97" s="18" t="s">
        <v>115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>
      <c r="A98" s="4">
        <v>653</v>
      </c>
      <c r="B98" s="18" t="s">
        <v>116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68</v>
      </c>
      <c r="H98" s="4"/>
      <c r="I98" s="2">
        <v>100</v>
      </c>
      <c r="J98" s="3"/>
      <c r="K98" s="7"/>
    </row>
    <row r="99" spans="1:11">
      <c r="A99" s="4">
        <v>654</v>
      </c>
      <c r="B99" s="18" t="s">
        <v>117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79</v>
      </c>
      <c r="H99" s="4"/>
      <c r="I99" s="2">
        <v>300</v>
      </c>
      <c r="J99" s="3"/>
      <c r="K99" s="7"/>
    </row>
    <row r="100" spans="1:11">
      <c r="A100" s="4">
        <v>655</v>
      </c>
      <c r="B100" s="18" t="s">
        <v>118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68</v>
      </c>
      <c r="H100" s="4"/>
      <c r="I100" s="2">
        <v>200</v>
      </c>
      <c r="J100" s="3"/>
      <c r="K100" s="7"/>
    </row>
    <row r="101" spans="1:11">
      <c r="A101" s="4">
        <v>656</v>
      </c>
      <c r="B101" s="18" t="s">
        <v>119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>
      <c r="A102" s="4">
        <v>658</v>
      </c>
      <c r="B102" s="18" t="s">
        <v>120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68</v>
      </c>
      <c r="H102" s="4"/>
      <c r="I102" s="2"/>
      <c r="J102" s="3"/>
      <c r="K102" s="7"/>
    </row>
    <row r="103" spans="1:11">
      <c r="A103" s="4">
        <v>659</v>
      </c>
      <c r="B103" s="18" t="s">
        <v>121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>
      <c r="A104" s="4">
        <v>667</v>
      </c>
      <c r="B104" s="18" t="s">
        <v>122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74</v>
      </c>
      <c r="H104" s="4"/>
      <c r="I104" s="2">
        <v>830</v>
      </c>
      <c r="J104" s="3"/>
      <c r="K104" s="7"/>
    </row>
    <row r="105" spans="1:11">
      <c r="A105" s="4">
        <v>668</v>
      </c>
      <c r="B105" s="18" t="s">
        <v>123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77</v>
      </c>
      <c r="H105" s="4"/>
      <c r="I105" s="2">
        <v>830</v>
      </c>
      <c r="J105" s="3"/>
      <c r="K105" s="7"/>
    </row>
    <row r="106" spans="1:11">
      <c r="A106" s="4">
        <v>669</v>
      </c>
      <c r="B106" s="18" t="s">
        <v>124</v>
      </c>
      <c r="C106" s="2">
        <v>1680</v>
      </c>
      <c r="D106" s="3">
        <v>77</v>
      </c>
      <c r="E106" s="4">
        <f t="shared" si="1"/>
        <v>1757</v>
      </c>
      <c r="F106" s="3" t="s">
        <v>79</v>
      </c>
      <c r="G106" s="5" t="s">
        <v>79</v>
      </c>
      <c r="H106" s="4"/>
      <c r="I106" s="2">
        <v>830</v>
      </c>
      <c r="J106" s="3"/>
      <c r="K106" s="7"/>
    </row>
    <row r="107" spans="1:11">
      <c r="A107" s="4">
        <v>670</v>
      </c>
      <c r="B107" s="18" t="s">
        <v>125</v>
      </c>
      <c r="C107" s="2">
        <v>1740</v>
      </c>
      <c r="D107" s="3">
        <v>75</v>
      </c>
      <c r="E107" s="4">
        <f t="shared" si="1"/>
        <v>1815</v>
      </c>
      <c r="F107" s="3" t="s">
        <v>82</v>
      </c>
      <c r="G107" s="5" t="s">
        <v>82</v>
      </c>
      <c r="H107" s="4"/>
      <c r="I107" s="2">
        <v>750</v>
      </c>
      <c r="J107" s="3"/>
      <c r="K107" s="7"/>
    </row>
    <row r="108" spans="1:11">
      <c r="A108" s="4">
        <v>671</v>
      </c>
      <c r="B108" s="18" t="s">
        <v>126</v>
      </c>
      <c r="C108" s="2">
        <v>1610</v>
      </c>
      <c r="D108" s="3">
        <v>87</v>
      </c>
      <c r="E108" s="4">
        <f t="shared" si="1"/>
        <v>1697</v>
      </c>
      <c r="F108" s="3" t="s">
        <v>68</v>
      </c>
      <c r="G108" s="5" t="s">
        <v>68</v>
      </c>
      <c r="H108" s="4"/>
      <c r="I108" s="2">
        <v>750</v>
      </c>
      <c r="J108" s="3"/>
      <c r="K108" s="7"/>
    </row>
    <row r="109" spans="1:11">
      <c r="A109" s="4">
        <v>675</v>
      </c>
      <c r="B109" s="18" t="s">
        <v>127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128</v>
      </c>
      <c r="H109" s="4"/>
      <c r="I109" s="2">
        <v>725</v>
      </c>
      <c r="J109" s="3"/>
      <c r="K109" s="7"/>
    </row>
    <row r="110" spans="1:11">
      <c r="A110" s="4">
        <v>676</v>
      </c>
      <c r="B110" s="18" t="s">
        <v>129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68</v>
      </c>
      <c r="H110" s="4"/>
      <c r="I110" s="2">
        <v>725</v>
      </c>
      <c r="J110" s="3"/>
      <c r="K110" s="7"/>
    </row>
    <row r="111" spans="1:11">
      <c r="A111" s="4">
        <v>677</v>
      </c>
      <c r="B111" s="18" t="s">
        <v>130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68</v>
      </c>
      <c r="H111" s="4"/>
      <c r="I111" s="2">
        <v>725</v>
      </c>
      <c r="J111" s="3"/>
      <c r="K111" s="7"/>
    </row>
    <row r="112" spans="1:11">
      <c r="A112" s="4">
        <v>678</v>
      </c>
      <c r="B112" s="18" t="s">
        <v>131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>
      <c r="A113" s="4">
        <v>679</v>
      </c>
      <c r="B113" s="18" t="s">
        <v>132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>
      <c r="A114" s="4">
        <v>684</v>
      </c>
      <c r="B114" s="18" t="s">
        <v>133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>
      <c r="A115" s="4">
        <v>686</v>
      </c>
      <c r="B115" s="18" t="s">
        <v>134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74</v>
      </c>
      <c r="H115" s="4"/>
      <c r="I115" s="2">
        <v>830</v>
      </c>
      <c r="J115" s="3"/>
      <c r="K115" s="7"/>
    </row>
    <row r="116" spans="1:11">
      <c r="A116" s="4">
        <v>687</v>
      </c>
      <c r="B116" s="18" t="s">
        <v>135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77</v>
      </c>
      <c r="H116" s="4"/>
      <c r="I116" s="2">
        <v>600</v>
      </c>
      <c r="J116" s="3"/>
      <c r="K116" s="7"/>
    </row>
    <row r="117" spans="1:11">
      <c r="A117" s="4">
        <v>688</v>
      </c>
      <c r="B117" s="18" t="s">
        <v>136</v>
      </c>
      <c r="C117" s="2">
        <v>1680</v>
      </c>
      <c r="D117" s="3">
        <v>77</v>
      </c>
      <c r="E117" s="4">
        <f t="shared" si="1"/>
        <v>1757</v>
      </c>
      <c r="F117" s="3" t="s">
        <v>79</v>
      </c>
      <c r="G117" s="5" t="s">
        <v>79</v>
      </c>
      <c r="H117" s="4"/>
      <c r="I117" s="2">
        <v>830</v>
      </c>
      <c r="J117" s="3"/>
      <c r="K117" s="7"/>
    </row>
    <row r="118" spans="1:11">
      <c r="A118" s="4">
        <v>691</v>
      </c>
      <c r="B118" s="18" t="s">
        <v>137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>
      <c r="A119" s="4">
        <v>692</v>
      </c>
      <c r="B119" s="18" t="s">
        <v>138</v>
      </c>
      <c r="C119" s="2">
        <v>1680</v>
      </c>
      <c r="D119" s="3">
        <v>77</v>
      </c>
      <c r="E119" s="4">
        <f t="shared" si="1"/>
        <v>1757</v>
      </c>
      <c r="F119" s="3" t="s">
        <v>79</v>
      </c>
      <c r="G119" s="5" t="s">
        <v>79</v>
      </c>
      <c r="H119" s="4"/>
      <c r="I119" s="2"/>
      <c r="J119" s="3"/>
      <c r="K119" s="7"/>
    </row>
    <row r="120" spans="1:11">
      <c r="A120" s="4">
        <v>693</v>
      </c>
      <c r="B120" s="18" t="s">
        <v>139</v>
      </c>
      <c r="C120" s="2">
        <v>1500</v>
      </c>
      <c r="D120" s="3">
        <v>101</v>
      </c>
      <c r="E120" s="4">
        <f t="shared" si="1"/>
        <v>1601</v>
      </c>
      <c r="F120" s="3" t="s">
        <v>79</v>
      </c>
      <c r="G120" s="5" t="s">
        <v>79</v>
      </c>
      <c r="H120" s="4"/>
      <c r="I120" s="2"/>
      <c r="J120" s="3"/>
      <c r="K120" s="7"/>
    </row>
    <row r="121" spans="1:11">
      <c r="A121" s="4">
        <v>694</v>
      </c>
      <c r="B121" s="18" t="s">
        <v>140</v>
      </c>
      <c r="C121" s="2">
        <v>1300</v>
      </c>
      <c r="D121" s="3">
        <v>127</v>
      </c>
      <c r="E121" s="4">
        <f t="shared" si="1"/>
        <v>1427</v>
      </c>
      <c r="F121" s="3" t="s">
        <v>79</v>
      </c>
      <c r="G121" s="5" t="s">
        <v>79</v>
      </c>
      <c r="H121" s="4"/>
      <c r="I121" s="2"/>
      <c r="J121" s="3"/>
      <c r="K121" s="7"/>
    </row>
    <row r="122" spans="1:11">
      <c r="A122" s="4">
        <v>696</v>
      </c>
      <c r="B122" s="18" t="s">
        <v>141</v>
      </c>
      <c r="C122" s="2">
        <v>1500</v>
      </c>
      <c r="D122" s="3">
        <v>101</v>
      </c>
      <c r="E122" s="4">
        <f t="shared" si="1"/>
        <v>1601</v>
      </c>
      <c r="F122" s="3" t="s">
        <v>79</v>
      </c>
      <c r="G122" s="5" t="s">
        <v>79</v>
      </c>
      <c r="H122" s="4"/>
      <c r="I122" s="2"/>
      <c r="J122" s="3"/>
      <c r="K122" s="7"/>
    </row>
    <row r="123" spans="1:11">
      <c r="A123" s="4">
        <v>702</v>
      </c>
      <c r="B123" s="18" t="s">
        <v>142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68</v>
      </c>
      <c r="H123" s="4">
        <v>17</v>
      </c>
      <c r="I123" s="2"/>
      <c r="J123" s="3"/>
      <c r="K123" s="7"/>
    </row>
    <row r="124" spans="1:11">
      <c r="A124" s="4">
        <v>703</v>
      </c>
      <c r="B124" s="18" t="s">
        <v>143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68</v>
      </c>
      <c r="H124" s="4">
        <v>17</v>
      </c>
      <c r="I124" s="2">
        <v>211</v>
      </c>
      <c r="J124" s="3"/>
      <c r="K124" s="7"/>
    </row>
    <row r="125" spans="1:11">
      <c r="A125" s="4">
        <v>704</v>
      </c>
      <c r="B125" s="18" t="s">
        <v>144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68</v>
      </c>
      <c r="H125" s="4">
        <v>17</v>
      </c>
      <c r="I125" s="2"/>
      <c r="J125" s="3"/>
      <c r="K125" s="7"/>
    </row>
    <row r="126" spans="1:11">
      <c r="A126" s="4">
        <v>705</v>
      </c>
      <c r="B126" s="18" t="s">
        <v>145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68</v>
      </c>
      <c r="H126" s="4">
        <v>17</v>
      </c>
      <c r="I126" s="2">
        <v>211</v>
      </c>
      <c r="J126" s="3"/>
      <c r="K126" s="7"/>
    </row>
    <row r="127" spans="1:11">
      <c r="A127" s="4">
        <v>706</v>
      </c>
      <c r="B127" s="18" t="s">
        <v>146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68</v>
      </c>
      <c r="H127" s="4">
        <v>17</v>
      </c>
      <c r="I127" s="2"/>
      <c r="J127" s="3"/>
      <c r="K127" s="7"/>
    </row>
    <row r="128" spans="1:11">
      <c r="A128" s="4">
        <v>707</v>
      </c>
      <c r="B128" s="18" t="s">
        <v>147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66</v>
      </c>
      <c r="H128" s="4"/>
      <c r="I128" s="2"/>
      <c r="J128" s="3"/>
      <c r="K128" s="7"/>
    </row>
    <row r="129" spans="1:11">
      <c r="A129" s="4">
        <v>708</v>
      </c>
      <c r="B129" s="18" t="s">
        <v>148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66</v>
      </c>
      <c r="H129" s="4"/>
      <c r="I129" s="2"/>
      <c r="J129" s="3"/>
      <c r="K129" s="7"/>
    </row>
    <row r="130" spans="1:11">
      <c r="A130" s="4">
        <v>709</v>
      </c>
      <c r="B130" s="18" t="s">
        <v>149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66</v>
      </c>
      <c r="H130" s="4"/>
      <c r="I130" s="2"/>
      <c r="J130" s="3"/>
      <c r="K130" s="7"/>
    </row>
    <row r="131" spans="1:11">
      <c r="A131" s="4">
        <v>710</v>
      </c>
      <c r="B131" s="18" t="s">
        <v>150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66</v>
      </c>
      <c r="H131" s="4">
        <v>20</v>
      </c>
      <c r="I131" s="2"/>
      <c r="J131" s="3"/>
      <c r="K131" s="7"/>
    </row>
    <row r="132" spans="1:11">
      <c r="A132" s="4">
        <v>711</v>
      </c>
      <c r="B132" s="18" t="s">
        <v>151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66</v>
      </c>
      <c r="H132" s="4"/>
      <c r="I132" s="2"/>
      <c r="J132" s="3"/>
      <c r="K132" s="7"/>
    </row>
    <row r="133" spans="1:11">
      <c r="A133" s="4">
        <v>712</v>
      </c>
      <c r="B133" s="18" t="s">
        <v>152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66</v>
      </c>
      <c r="H133" s="4"/>
      <c r="I133" s="2"/>
      <c r="J133" s="3"/>
      <c r="K133" s="7"/>
    </row>
    <row r="134" spans="1:11">
      <c r="A134" s="4">
        <v>713</v>
      </c>
      <c r="B134" s="18" t="s">
        <v>153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66</v>
      </c>
      <c r="H134" s="4"/>
      <c r="I134" s="2"/>
      <c r="J134" s="3"/>
      <c r="K134" s="7"/>
    </row>
    <row r="135" spans="1:11">
      <c r="A135" s="4">
        <v>714</v>
      </c>
      <c r="B135" s="18" t="s">
        <v>154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>
      <c r="A136" s="4">
        <v>716</v>
      </c>
      <c r="B136" s="18" t="s">
        <v>155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74</v>
      </c>
      <c r="H136" s="4"/>
      <c r="I136" s="2"/>
      <c r="J136" s="8">
        <v>782</v>
      </c>
      <c r="K136" s="9">
        <v>744</v>
      </c>
    </row>
    <row r="137" spans="1:11">
      <c r="A137" s="4">
        <v>717</v>
      </c>
      <c r="B137" s="18" t="s">
        <v>156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74</v>
      </c>
      <c r="H137" s="4">
        <v>150</v>
      </c>
      <c r="I137" s="2"/>
      <c r="J137" s="3"/>
      <c r="K137" s="7"/>
    </row>
    <row r="138" spans="1:11">
      <c r="A138" s="4">
        <v>718</v>
      </c>
      <c r="B138" s="18" t="s">
        <v>157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74</v>
      </c>
      <c r="H138" s="4">
        <v>17</v>
      </c>
      <c r="I138" s="2"/>
      <c r="J138" s="3"/>
      <c r="K138" s="7"/>
    </row>
    <row r="139" spans="1:11">
      <c r="A139" s="4">
        <v>719</v>
      </c>
      <c r="B139" s="18" t="s">
        <v>158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77</v>
      </c>
      <c r="H139" s="4"/>
      <c r="I139" s="2"/>
      <c r="J139" s="8">
        <v>782</v>
      </c>
      <c r="K139" s="9">
        <v>744</v>
      </c>
    </row>
    <row r="140" spans="1:11">
      <c r="A140" s="4">
        <v>720</v>
      </c>
      <c r="B140" s="18" t="s">
        <v>159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77</v>
      </c>
      <c r="H140" s="4">
        <v>17</v>
      </c>
      <c r="I140" s="2"/>
      <c r="J140" s="3"/>
      <c r="K140" s="7"/>
    </row>
    <row r="141" spans="1:11">
      <c r="A141" s="4">
        <v>721</v>
      </c>
      <c r="B141" s="18" t="s">
        <v>160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74</v>
      </c>
      <c r="H141" s="4">
        <v>150</v>
      </c>
      <c r="I141" s="2"/>
      <c r="J141" s="3"/>
      <c r="K141" s="7"/>
    </row>
    <row r="142" spans="1:11">
      <c r="A142" s="4">
        <v>722</v>
      </c>
      <c r="B142" s="18" t="s">
        <v>161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79</v>
      </c>
      <c r="H142" s="4"/>
      <c r="I142" s="2"/>
      <c r="J142" s="8">
        <v>744</v>
      </c>
      <c r="K142" s="9">
        <v>744</v>
      </c>
    </row>
    <row r="143" spans="1:11">
      <c r="A143" s="4">
        <v>723</v>
      </c>
      <c r="B143" s="18" t="s">
        <v>162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68</v>
      </c>
      <c r="H143" s="4"/>
      <c r="I143" s="2"/>
      <c r="J143" s="8">
        <v>769</v>
      </c>
      <c r="K143" s="9">
        <v>650</v>
      </c>
    </row>
    <row r="144" spans="1:11">
      <c r="A144" s="4">
        <v>724</v>
      </c>
      <c r="B144" s="18" t="s">
        <v>163</v>
      </c>
      <c r="C144" s="2">
        <v>971</v>
      </c>
      <c r="D144" s="3">
        <v>414.7</v>
      </c>
      <c r="E144" s="4">
        <f t="shared" si="2"/>
        <v>1385.7</v>
      </c>
      <c r="F144" s="3"/>
      <c r="G144" s="5"/>
      <c r="H144" s="4"/>
      <c r="I144" s="2">
        <v>620</v>
      </c>
      <c r="J144" s="3"/>
      <c r="K144" s="7"/>
    </row>
    <row r="145" spans="1:11">
      <c r="A145" s="4">
        <v>725</v>
      </c>
      <c r="B145" s="18" t="s">
        <v>164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68</v>
      </c>
      <c r="H145" s="4"/>
      <c r="I145" s="2"/>
      <c r="J145" s="8">
        <v>738</v>
      </c>
      <c r="K145" s="9">
        <v>744</v>
      </c>
    </row>
    <row r="146" spans="1:11">
      <c r="A146" s="4">
        <v>726</v>
      </c>
      <c r="B146" s="18" t="s">
        <v>165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>
      <c r="A147" s="4">
        <v>727</v>
      </c>
      <c r="B147" s="18" t="s">
        <v>166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68</v>
      </c>
      <c r="H147" s="4"/>
      <c r="I147" s="2"/>
      <c r="J147" s="8">
        <v>738</v>
      </c>
      <c r="K147" s="10">
        <v>650</v>
      </c>
    </row>
    <row r="148" spans="1:11">
      <c r="A148" s="4">
        <v>728</v>
      </c>
      <c r="B148" s="18" t="s">
        <v>167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74</v>
      </c>
      <c r="H148" s="4">
        <v>17</v>
      </c>
      <c r="I148" s="2"/>
      <c r="J148" s="3"/>
      <c r="K148" s="7"/>
    </row>
    <row r="149" spans="1:11">
      <c r="A149" s="4">
        <v>729</v>
      </c>
      <c r="B149" s="18" t="s">
        <v>168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74</v>
      </c>
      <c r="H149" s="4"/>
      <c r="I149" s="2"/>
      <c r="J149" s="3"/>
      <c r="K149" s="7"/>
    </row>
    <row r="150" spans="1:11">
      <c r="A150" s="4">
        <v>730</v>
      </c>
      <c r="B150" s="18" t="s">
        <v>169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74</v>
      </c>
      <c r="H150" s="4"/>
      <c r="I150" s="2"/>
      <c r="J150" s="3"/>
      <c r="K150" s="7"/>
    </row>
    <row r="151" spans="1:11">
      <c r="A151" s="4">
        <v>731</v>
      </c>
      <c r="B151" s="18" t="s">
        <v>170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77</v>
      </c>
      <c r="H151" s="4"/>
      <c r="I151" s="2"/>
      <c r="J151" s="3"/>
      <c r="K151" s="7"/>
    </row>
    <row r="152" spans="1:11">
      <c r="A152" s="4">
        <v>735</v>
      </c>
      <c r="B152" s="18" t="s">
        <v>171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>
      <c r="A153" s="4">
        <v>736</v>
      </c>
      <c r="B153" s="18" t="s">
        <v>172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74</v>
      </c>
      <c r="H153" s="4"/>
      <c r="I153" s="2"/>
      <c r="J153" s="3"/>
      <c r="K153" s="7"/>
    </row>
    <row r="154" spans="1:11">
      <c r="A154" s="4">
        <v>738</v>
      </c>
      <c r="B154" s="18" t="s">
        <v>173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>
      <c r="A155" s="4">
        <v>739</v>
      </c>
      <c r="B155" s="18" t="s">
        <v>174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>
      <c r="A156" s="4">
        <v>741</v>
      </c>
      <c r="B156" s="18" t="s">
        <v>175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68</v>
      </c>
      <c r="H156" s="4"/>
      <c r="I156" s="2"/>
      <c r="J156" s="3"/>
      <c r="K156" s="9">
        <v>580</v>
      </c>
    </row>
    <row r="157" spans="1:11">
      <c r="A157" s="4">
        <v>742</v>
      </c>
      <c r="B157" s="18" t="s">
        <v>176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>
      <c r="A158" s="4">
        <v>744</v>
      </c>
      <c r="B158" s="18" t="s">
        <v>177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68</v>
      </c>
      <c r="H158" s="4"/>
      <c r="I158" s="2"/>
      <c r="J158" s="3"/>
      <c r="K158" s="9">
        <v>580</v>
      </c>
    </row>
    <row r="159" spans="1:11">
      <c r="A159" s="4">
        <v>745</v>
      </c>
      <c r="B159" s="18" t="s">
        <v>178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>
      <c r="A160" s="4">
        <v>746</v>
      </c>
      <c r="B160" s="18" t="s">
        <v>179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>
      <c r="A161" s="4">
        <v>747</v>
      </c>
      <c r="B161" s="18" t="s">
        <v>180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>
      <c r="A162" s="4">
        <v>748</v>
      </c>
      <c r="B162" s="18" t="s">
        <v>181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68</v>
      </c>
      <c r="H162" s="4"/>
      <c r="I162" s="2"/>
      <c r="J162" s="3"/>
      <c r="K162" s="7"/>
    </row>
    <row r="163" spans="1:11">
      <c r="A163" s="4">
        <v>749</v>
      </c>
      <c r="B163" s="18" t="s">
        <v>182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>
      <c r="A164" s="4">
        <v>750</v>
      </c>
      <c r="B164" s="18" t="s">
        <v>97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>
      <c r="A165" s="4">
        <v>751</v>
      </c>
      <c r="B165" s="18" t="s">
        <v>183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>
      <c r="A166" s="4">
        <v>752</v>
      </c>
      <c r="B166" s="18" t="s">
        <v>184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>
      <c r="A167" s="4">
        <v>753</v>
      </c>
      <c r="B167" s="18" t="s">
        <v>185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>
      <c r="A168" s="4">
        <v>754</v>
      </c>
      <c r="B168" s="18" t="s">
        <v>186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>
      <c r="A169" s="4">
        <v>755</v>
      </c>
      <c r="B169" s="18" t="s">
        <v>187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>
      <c r="A170" s="4">
        <v>756</v>
      </c>
      <c r="B170" s="18" t="s">
        <v>188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>
      <c r="A171" s="4">
        <v>758</v>
      </c>
      <c r="B171" s="18" t="s">
        <v>189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>
      <c r="A172" s="4">
        <v>759</v>
      </c>
      <c r="B172" s="18" t="s">
        <v>190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>
      <c r="A173" s="4">
        <v>760</v>
      </c>
      <c r="B173" s="18" t="s">
        <v>191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>
      <c r="A174" s="4">
        <v>761</v>
      </c>
      <c r="B174" s="18" t="s">
        <v>192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>
      <c r="A175" s="4">
        <v>763</v>
      </c>
      <c r="B175" s="18" t="s">
        <v>193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>
      <c r="A176" s="4">
        <v>764</v>
      </c>
      <c r="B176" s="18" t="s">
        <v>194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>
      <c r="A177" s="4">
        <v>765</v>
      </c>
      <c r="B177" s="18" t="s">
        <v>195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>
      <c r="A178" s="4">
        <v>767</v>
      </c>
      <c r="B178" s="18" t="s">
        <v>196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>
      <c r="A179" s="4">
        <v>768</v>
      </c>
      <c r="B179" s="18" t="s">
        <v>197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>
      <c r="A180" s="4">
        <v>769</v>
      </c>
      <c r="B180" s="18" t="s">
        <v>198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>
      <c r="A181" s="4">
        <v>770</v>
      </c>
      <c r="B181" s="18" t="s">
        <v>199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>
      <c r="A182" s="4">
        <v>771</v>
      </c>
      <c r="B182" s="18" t="s">
        <v>200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>
      <c r="A183" s="4">
        <v>773</v>
      </c>
      <c r="B183" s="18" t="s">
        <v>201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>
      <c r="A184" s="4">
        <v>774</v>
      </c>
      <c r="B184" s="18" t="s">
        <v>202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>
      <c r="A185" s="4">
        <v>775</v>
      </c>
      <c r="B185" s="18" t="s">
        <v>203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>
      <c r="A186" s="4">
        <v>776</v>
      </c>
      <c r="B186" s="18" t="s">
        <v>204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>
      <c r="A187" s="4">
        <v>777</v>
      </c>
      <c r="B187" s="18" t="s">
        <v>205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>
      <c r="A188" s="4">
        <v>778</v>
      </c>
      <c r="B188" s="18" t="s">
        <v>206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>
      <c r="A189" s="4">
        <v>779</v>
      </c>
      <c r="B189" s="18" t="s">
        <v>207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>
      <c r="A190" s="4">
        <v>780</v>
      </c>
      <c r="B190" s="18" t="s">
        <v>208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>
      <c r="A191" s="4">
        <v>781</v>
      </c>
      <c r="B191" s="18" t="s">
        <v>209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>
      <c r="A192" s="4">
        <v>783</v>
      </c>
      <c r="B192" s="18" t="s">
        <v>210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>
      <c r="A193" s="4">
        <v>787</v>
      </c>
      <c r="B193" s="18" t="s">
        <v>211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>
      <c r="A194" s="4">
        <v>788</v>
      </c>
      <c r="B194" s="18" t="s">
        <v>212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>
      <c r="A195" s="4">
        <v>790</v>
      </c>
      <c r="B195" s="18" t="s">
        <v>213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>
      <c r="A196" s="4">
        <v>791</v>
      </c>
      <c r="B196" s="18" t="s">
        <v>214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>
      <c r="A197" s="4">
        <v>793</v>
      </c>
      <c r="B197" s="18" t="s">
        <v>215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>
      <c r="A198" s="4">
        <v>794</v>
      </c>
      <c r="B198" s="18" t="s">
        <v>216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>
      <c r="A199" s="4">
        <v>795</v>
      </c>
      <c r="B199" s="18" t="s">
        <v>217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>
      <c r="A200" s="4">
        <v>796</v>
      </c>
      <c r="B200" s="18" t="s">
        <v>218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>
      <c r="A201" s="4">
        <v>797</v>
      </c>
      <c r="B201" s="18" t="s">
        <v>219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>
      <c r="A202" s="4">
        <v>799</v>
      </c>
      <c r="B202" s="18" t="s">
        <v>220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>
      <c r="A203" s="4">
        <v>800</v>
      </c>
      <c r="B203" s="18" t="s">
        <v>221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>
      <c r="A204" s="4">
        <v>802</v>
      </c>
      <c r="B204" s="18" t="s">
        <v>222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>
      <c r="A205" s="4">
        <v>803</v>
      </c>
      <c r="B205" s="18" t="s">
        <v>223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>
      <c r="A206" s="4">
        <v>804</v>
      </c>
      <c r="B206" s="18" t="s">
        <v>224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>
      <c r="A207" s="4">
        <v>805</v>
      </c>
      <c r="B207" s="18" t="s">
        <v>225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>
      <c r="A208" s="4">
        <v>806</v>
      </c>
      <c r="B208" s="18" t="s">
        <v>226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>
      <c r="A209" s="4">
        <v>807</v>
      </c>
      <c r="B209" s="18" t="s">
        <v>227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>
      <c r="A210" s="4">
        <v>808</v>
      </c>
      <c r="B210" s="18" t="s">
        <v>228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>
      <c r="A211" s="4">
        <v>809</v>
      </c>
      <c r="B211" s="18" t="s">
        <v>229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>
      <c r="A212" s="4">
        <v>810</v>
      </c>
      <c r="B212" s="18" t="s">
        <v>230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>
      <c r="A213" s="4">
        <v>811</v>
      </c>
      <c r="B213" s="18" t="s">
        <v>231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>
      <c r="A214" s="4">
        <v>812</v>
      </c>
      <c r="B214" s="18" t="s">
        <v>232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>
      <c r="A215" s="4">
        <v>813</v>
      </c>
      <c r="B215" s="18" t="s">
        <v>233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>
      <c r="A216" s="4">
        <v>814</v>
      </c>
      <c r="B216" s="18" t="s">
        <v>234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>
      <c r="A217" s="4">
        <v>816</v>
      </c>
      <c r="B217" s="18" t="s">
        <v>235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>
      <c r="A218" s="4">
        <v>817</v>
      </c>
      <c r="B218" s="18" t="s">
        <v>236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>
      <c r="A219" s="4">
        <v>818</v>
      </c>
      <c r="B219" s="18" t="s">
        <v>237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>
      <c r="A220" s="4">
        <v>819</v>
      </c>
      <c r="B220" s="18" t="s">
        <v>238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>
      <c r="A221" s="4">
        <v>820</v>
      </c>
      <c r="B221" s="18" t="s">
        <v>239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>
      <c r="A222" s="4">
        <v>821</v>
      </c>
      <c r="B222" s="18" t="s">
        <v>240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>
      <c r="A223" s="4">
        <v>822</v>
      </c>
      <c r="B223" s="18" t="s">
        <v>241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>
      <c r="A224" s="4">
        <v>823</v>
      </c>
      <c r="B224" s="18" t="s">
        <v>242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>
      <c r="A225" s="4">
        <v>824</v>
      </c>
      <c r="B225" s="18" t="s">
        <v>243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>
      <c r="A226" s="4">
        <v>825</v>
      </c>
      <c r="B226" s="18" t="s">
        <v>244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>
      <c r="A227" s="4">
        <v>826</v>
      </c>
      <c r="B227" s="18" t="s">
        <v>245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>
      <c r="A228" s="4">
        <v>827</v>
      </c>
      <c r="B228" s="18" t="s">
        <v>246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>
      <c r="A229" s="4">
        <v>828</v>
      </c>
      <c r="B229" s="18" t="s">
        <v>247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>
      <c r="A230" s="4">
        <v>829</v>
      </c>
      <c r="B230" s="18" t="s">
        <v>248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>
      <c r="A231" s="4">
        <v>830</v>
      </c>
      <c r="B231" s="18" t="s">
        <v>249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>
      <c r="A232" s="4">
        <v>831</v>
      </c>
      <c r="B232" s="18" t="s">
        <v>250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>
      <c r="A233" s="4">
        <v>833</v>
      </c>
      <c r="B233" s="18" t="s">
        <v>251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>
      <c r="A234" s="4">
        <v>834</v>
      </c>
      <c r="B234" s="18" t="s">
        <v>252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>
      <c r="A235" s="4">
        <v>835</v>
      </c>
      <c r="B235" s="18" t="s">
        <v>253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>
      <c r="A236" s="4">
        <v>836</v>
      </c>
      <c r="B236" s="18" t="s">
        <v>254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>
      <c r="A237" s="4">
        <v>837</v>
      </c>
      <c r="B237" s="18" t="s">
        <v>255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>
      <c r="A238" s="4">
        <v>838</v>
      </c>
      <c r="B238" s="18" t="s">
        <v>256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>
      <c r="A239" s="4">
        <v>839</v>
      </c>
      <c r="B239" s="18" t="s">
        <v>257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>
      <c r="A240" s="4">
        <v>840</v>
      </c>
      <c r="B240" s="18" t="s">
        <v>258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>
      <c r="A241" s="4">
        <v>841</v>
      </c>
      <c r="B241" s="18" t="s">
        <v>259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>
      <c r="A242" s="4">
        <v>842</v>
      </c>
      <c r="B242" s="18" t="s">
        <v>260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>
      <c r="A243" s="4">
        <v>843</v>
      </c>
      <c r="B243" s="18" t="s">
        <v>261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>
      <c r="A244" s="4">
        <v>844</v>
      </c>
      <c r="B244" s="18" t="s">
        <v>262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>
      <c r="A245" s="4">
        <v>847</v>
      </c>
      <c r="B245" s="18" t="s">
        <v>263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>
      <c r="A246" s="4">
        <v>848</v>
      </c>
      <c r="B246" s="18" t="s">
        <v>264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>
      <c r="A247" s="4">
        <v>849</v>
      </c>
      <c r="B247" s="18" t="s">
        <v>265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>
      <c r="A248" s="4">
        <v>850</v>
      </c>
      <c r="B248" s="18" t="s">
        <v>266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>
      <c r="A249" s="4">
        <v>851</v>
      </c>
      <c r="B249" s="18" t="s">
        <v>267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>
      <c r="A250" s="4">
        <v>852</v>
      </c>
      <c r="B250" s="18" t="s">
        <v>268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>
      <c r="A251" s="4">
        <v>853</v>
      </c>
      <c r="B251" s="18" t="s">
        <v>269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>
      <c r="A252" s="4">
        <v>855</v>
      </c>
      <c r="B252" s="18" t="s">
        <v>270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>
      <c r="A253" s="4">
        <v>856</v>
      </c>
      <c r="B253" s="18" t="s">
        <v>271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>
      <c r="A254" s="4">
        <v>857</v>
      </c>
      <c r="B254" s="18" t="s">
        <v>272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66</v>
      </c>
      <c r="H254" s="4"/>
      <c r="I254" s="2"/>
      <c r="J254" s="3"/>
      <c r="K254" s="7"/>
    </row>
    <row r="255" spans="1:11">
      <c r="A255" s="4">
        <v>858</v>
      </c>
      <c r="B255" s="18" t="s">
        <v>273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>
      <c r="A256" s="4">
        <v>859</v>
      </c>
      <c r="B256" s="18" t="s">
        <v>274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>
      <c r="A257" s="4">
        <v>860</v>
      </c>
      <c r="B257" s="18" t="s">
        <v>275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>
      <c r="A258" s="4">
        <v>861</v>
      </c>
      <c r="B258" s="18" t="s">
        <v>276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>
      <c r="A259" s="4">
        <v>862</v>
      </c>
      <c r="B259" s="18" t="s">
        <v>277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>
      <c r="A260" s="4">
        <v>863</v>
      </c>
      <c r="B260" s="18" t="s">
        <v>278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>
      <c r="A261" s="4">
        <v>864</v>
      </c>
      <c r="B261" s="18" t="s">
        <v>279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>
      <c r="A262" s="4">
        <v>868</v>
      </c>
      <c r="B262" s="18" t="s">
        <v>280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>
      <c r="A263" s="4">
        <v>869</v>
      </c>
      <c r="B263" s="18" t="s">
        <v>281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>
      <c r="A264" s="4">
        <v>870</v>
      </c>
      <c r="B264" s="18" t="s">
        <v>282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>
      <c r="A265" s="4">
        <v>871</v>
      </c>
      <c r="B265" s="18" t="s">
        <v>283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>
      <c r="A266" s="4">
        <v>872</v>
      </c>
      <c r="B266" s="18" t="s">
        <v>284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>
      <c r="A267" s="4">
        <v>873</v>
      </c>
      <c r="B267" s="18" t="s">
        <v>285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>
      <c r="A268" s="4">
        <v>874</v>
      </c>
      <c r="B268" s="18" t="s">
        <v>286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>
      <c r="A269" s="4">
        <v>875</v>
      </c>
      <c r="B269" s="18" t="s">
        <v>287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>
      <c r="A270" s="4">
        <v>880</v>
      </c>
      <c r="B270" s="18" t="s">
        <v>288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>
      <c r="A271" s="4">
        <v>881</v>
      </c>
      <c r="B271" s="18" t="s">
        <v>289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>
      <c r="A272" s="4">
        <v>882</v>
      </c>
      <c r="B272" s="18" t="s">
        <v>290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>
      <c r="A273" s="4">
        <v>883</v>
      </c>
      <c r="B273" s="18" t="s">
        <v>291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>
      <c r="A274" s="4">
        <v>884</v>
      </c>
      <c r="B274" s="18" t="s">
        <v>292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>
      <c r="A275" s="4">
        <v>885</v>
      </c>
      <c r="B275" s="18" t="s">
        <v>293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>
      <c r="A276" s="4">
        <v>886</v>
      </c>
      <c r="B276" s="18" t="s">
        <v>294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>
      <c r="A277" s="4">
        <v>887</v>
      </c>
      <c r="B277" s="18" t="s">
        <v>295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>
      <c r="A278" s="4">
        <v>888</v>
      </c>
      <c r="B278" s="18" t="s">
        <v>296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>
      <c r="A279" s="4">
        <v>889</v>
      </c>
      <c r="B279" s="18" t="s">
        <v>297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>
      <c r="A280" s="4">
        <v>890</v>
      </c>
      <c r="B280" s="18" t="s">
        <v>298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>
      <c r="A281" s="4">
        <v>891</v>
      </c>
      <c r="B281" s="18" t="s">
        <v>299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>
      <c r="A282" s="4">
        <v>892</v>
      </c>
      <c r="B282" s="18" t="s">
        <v>300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>
      <c r="A283" s="4">
        <v>893</v>
      </c>
      <c r="B283" s="18" t="s">
        <v>301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>
      <c r="A284" s="4">
        <v>903</v>
      </c>
      <c r="B284" s="18" t="s">
        <v>302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>
      <c r="A285" s="4">
        <v>904</v>
      </c>
      <c r="B285" s="18" t="s">
        <v>303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>
      <c r="A286" s="4">
        <v>905</v>
      </c>
      <c r="B286" s="18" t="s">
        <v>304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>
      <c r="A287" s="4">
        <v>906</v>
      </c>
      <c r="B287" s="18" t="s">
        <v>305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>
      <c r="A288" s="4">
        <v>907</v>
      </c>
      <c r="B288" s="18" t="s">
        <v>306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>
      <c r="A289" s="4">
        <v>908</v>
      </c>
      <c r="B289" s="18" t="s">
        <v>307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79</v>
      </c>
      <c r="H289" s="4"/>
      <c r="I289" s="2"/>
      <c r="J289" s="3"/>
      <c r="K289" s="7"/>
    </row>
    <row r="290" spans="1:11">
      <c r="A290" s="4">
        <v>909</v>
      </c>
      <c r="B290" s="18" t="s">
        <v>308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>
      <c r="A291" s="4">
        <v>910</v>
      </c>
      <c r="B291" s="18" t="s">
        <v>309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>
      <c r="A292" s="4">
        <v>911</v>
      </c>
      <c r="B292" s="18" t="s">
        <v>310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>
      <c r="A293" s="4">
        <v>912</v>
      </c>
      <c r="B293" s="18" t="s">
        <v>311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>
      <c r="A294" s="4">
        <v>913</v>
      </c>
      <c r="B294" s="18" t="s">
        <v>312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>
      <c r="A295" s="4">
        <v>914</v>
      </c>
      <c r="B295" s="18" t="s">
        <v>313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>
      <c r="A296" s="4">
        <v>915</v>
      </c>
      <c r="B296" s="18" t="s">
        <v>314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>
      <c r="A297" s="4">
        <v>916</v>
      </c>
      <c r="B297" s="18" t="s">
        <v>315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>
      <c r="A298" s="4">
        <v>917</v>
      </c>
      <c r="B298" s="18" t="s">
        <v>182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>
      <c r="A299" s="4">
        <v>918</v>
      </c>
      <c r="B299" s="18" t="s">
        <v>316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>
      <c r="A300" s="4">
        <v>919</v>
      </c>
      <c r="B300" s="18" t="s">
        <v>317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>
      <c r="A301" s="4">
        <v>920</v>
      </c>
      <c r="B301" s="18" t="s">
        <v>318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>
      <c r="A302" s="4">
        <v>921</v>
      </c>
      <c r="B302" s="18" t="s">
        <v>319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>
      <c r="A303" s="4">
        <v>922</v>
      </c>
      <c r="B303" s="18" t="s">
        <v>320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>
      <c r="A304" s="4">
        <v>923</v>
      </c>
      <c r="B304" s="18" t="s">
        <v>321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>
      <c r="A305" s="4">
        <v>924</v>
      </c>
      <c r="B305" s="18" t="s">
        <v>322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>
      <c r="A306" s="4">
        <v>925</v>
      </c>
      <c r="B306" s="18" t="s">
        <v>97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>
      <c r="A307" s="4">
        <v>926</v>
      </c>
      <c r="B307" s="18" t="s">
        <v>323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>
      <c r="A308" s="4">
        <v>927</v>
      </c>
      <c r="B308" s="18" t="s">
        <v>324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>
      <c r="A309" s="4">
        <v>928</v>
      </c>
      <c r="B309" s="18" t="s">
        <v>325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>
      <c r="A310" s="4">
        <v>929</v>
      </c>
      <c r="B310" s="18" t="s">
        <v>326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>
      <c r="A311" s="4">
        <v>930</v>
      </c>
      <c r="B311" s="18" t="s">
        <v>327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68</v>
      </c>
      <c r="H311" s="4"/>
      <c r="I311" s="2"/>
      <c r="J311" s="3"/>
      <c r="K311" s="7"/>
    </row>
    <row r="312" spans="1:11">
      <c r="A312" s="4">
        <v>931</v>
      </c>
      <c r="B312" s="18" t="s">
        <v>328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>
      <c r="A313" s="4">
        <v>932</v>
      </c>
      <c r="B313" s="18" t="s">
        <v>329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>
      <c r="A314" s="4">
        <v>933</v>
      </c>
      <c r="B314" s="18" t="s">
        <v>330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>
      <c r="A315" s="4">
        <v>934</v>
      </c>
      <c r="B315" s="18" t="s">
        <v>331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>
      <c r="A316" s="4">
        <v>935</v>
      </c>
      <c r="B316" s="18" t="s">
        <v>332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>
      <c r="A317" s="4">
        <v>936</v>
      </c>
      <c r="B317" s="18" t="s">
        <v>333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>
      <c r="A318" s="4">
        <v>937</v>
      </c>
      <c r="B318" s="18" t="s">
        <v>334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>
      <c r="A319" s="4">
        <v>938</v>
      </c>
      <c r="B319" s="18" t="s">
        <v>335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>
      <c r="A320" s="4">
        <v>939</v>
      </c>
      <c r="B320" s="18" t="s">
        <v>336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>
      <c r="A321" s="4">
        <v>940</v>
      </c>
      <c r="B321" s="18" t="s">
        <v>337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79</v>
      </c>
      <c r="H321" s="4"/>
      <c r="I321" s="2"/>
      <c r="J321" s="3"/>
      <c r="K321" s="7"/>
    </row>
    <row r="322" spans="1:11">
      <c r="A322" s="4">
        <v>941</v>
      </c>
      <c r="B322" s="18" t="s">
        <v>338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74</v>
      </c>
      <c r="H322" s="4"/>
      <c r="I322" s="2"/>
      <c r="J322" s="3"/>
      <c r="K322" s="7"/>
    </row>
    <row r="323" spans="1:11">
      <c r="A323" s="4">
        <v>942</v>
      </c>
      <c r="B323" s="18" t="s">
        <v>339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77</v>
      </c>
      <c r="H323" s="4"/>
      <c r="I323" s="2"/>
      <c r="J323" s="3"/>
      <c r="K323" s="7"/>
    </row>
    <row r="324" spans="1:11">
      <c r="A324" s="4">
        <v>943</v>
      </c>
      <c r="B324" s="18" t="s">
        <v>340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>
      <c r="A325" s="4">
        <v>944</v>
      </c>
      <c r="B325" s="18" t="s">
        <v>341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68</v>
      </c>
      <c r="H325" s="4"/>
      <c r="I325" s="2"/>
      <c r="J325" s="3"/>
      <c r="K325" s="7"/>
    </row>
    <row r="326" spans="1:11">
      <c r="A326" s="4">
        <v>945</v>
      </c>
      <c r="B326" s="18" t="s">
        <v>342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68</v>
      </c>
      <c r="H326" s="4"/>
      <c r="I326" s="2">
        <v>669</v>
      </c>
      <c r="J326" s="3"/>
      <c r="K326" s="7"/>
    </row>
    <row r="327" spans="1:11">
      <c r="A327" s="4">
        <v>946</v>
      </c>
      <c r="B327" s="18" t="s">
        <v>343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>
      <c r="A328" s="4">
        <v>947</v>
      </c>
      <c r="B328" s="18" t="s">
        <v>344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>
      <c r="A329" s="4">
        <v>948</v>
      </c>
      <c r="B329" s="18" t="s">
        <v>345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68</v>
      </c>
      <c r="H329" s="4"/>
      <c r="I329" s="2">
        <v>620</v>
      </c>
      <c r="J329" s="3"/>
      <c r="K329" s="7"/>
    </row>
    <row r="330" spans="1:11">
      <c r="A330" s="4">
        <v>949</v>
      </c>
      <c r="B330" s="18" t="s">
        <v>346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>
      <c r="A331" s="4">
        <v>950</v>
      </c>
      <c r="B331" s="18" t="s">
        <v>347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>
      <c r="A332" s="4">
        <v>951</v>
      </c>
      <c r="B332" s="18" t="s">
        <v>348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>
      <c r="A333" s="4">
        <v>952</v>
      </c>
      <c r="B333" s="18" t="s">
        <v>349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>
      <c r="A334" s="4">
        <v>953</v>
      </c>
      <c r="B334" s="18" t="s">
        <v>350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>
      <c r="A335" s="4">
        <v>954</v>
      </c>
      <c r="B335" s="18" t="s">
        <v>351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>
      <c r="A336" s="4">
        <v>955</v>
      </c>
      <c r="B336" s="18" t="s">
        <v>352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>
      <c r="A337" s="4">
        <v>956</v>
      </c>
      <c r="B337" s="18" t="s">
        <v>353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>
      <c r="A338" s="4">
        <v>957</v>
      </c>
      <c r="B338" s="18" t="s">
        <v>354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>
      <c r="A339" s="4">
        <v>959</v>
      </c>
      <c r="B339" s="18" t="s">
        <v>355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>
      <c r="A340" s="4">
        <v>960</v>
      </c>
      <c r="B340" s="18" t="s">
        <v>356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>
      <c r="A341" s="4">
        <v>961</v>
      </c>
      <c r="B341" s="18" t="s">
        <v>357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>
      <c r="A342" s="4">
        <v>962</v>
      </c>
      <c r="B342" s="18" t="s">
        <v>358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>
      <c r="A343" s="4">
        <v>963</v>
      </c>
      <c r="B343" s="18" t="s">
        <v>359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>
      <c r="A344" s="4">
        <v>964</v>
      </c>
      <c r="B344" s="18" t="s">
        <v>360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>
      <c r="A345" s="4">
        <v>965</v>
      </c>
      <c r="B345" s="18" t="s">
        <v>361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>
      <c r="A346" s="4">
        <v>966</v>
      </c>
      <c r="B346" s="18" t="s">
        <v>362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>
      <c r="A347" s="4">
        <v>967</v>
      </c>
      <c r="B347" s="18" t="s">
        <v>363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>
      <c r="A348" s="4">
        <v>969</v>
      </c>
      <c r="B348" s="18" t="s">
        <v>364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>
      <c r="A349" s="4">
        <v>970</v>
      </c>
      <c r="B349" s="18" t="s">
        <v>365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>
      <c r="A350" s="4">
        <v>971</v>
      </c>
      <c r="B350" s="18" t="s">
        <v>366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>
      <c r="A351" s="4">
        <v>972</v>
      </c>
      <c r="B351" s="18" t="s">
        <v>367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>
      <c r="A352" s="4">
        <v>973</v>
      </c>
      <c r="B352" s="18" t="s">
        <v>368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>
      <c r="A353" s="4">
        <v>974</v>
      </c>
      <c r="B353" s="18" t="s">
        <v>369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>
      <c r="A354" s="4">
        <v>976</v>
      </c>
      <c r="B354" s="18" t="s">
        <v>193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>
      <c r="A355" s="4">
        <v>977</v>
      </c>
      <c r="B355" s="18" t="s">
        <v>370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>
      <c r="A356" s="4">
        <v>978</v>
      </c>
      <c r="B356" s="18" t="s">
        <v>194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>
      <c r="A357" s="4">
        <v>979</v>
      </c>
      <c r="B357" s="18" t="s">
        <v>371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>
      <c r="A358" s="4">
        <v>980</v>
      </c>
      <c r="B358" s="18" t="s">
        <v>372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>
      <c r="A359" s="4">
        <v>981</v>
      </c>
      <c r="B359" s="18" t="s">
        <v>373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>
      <c r="A360" s="4">
        <v>982</v>
      </c>
      <c r="B360" s="18" t="s">
        <v>374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>
      <c r="A361" s="4">
        <v>983</v>
      </c>
      <c r="B361" s="18" t="s">
        <v>375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>
      <c r="A362" s="4">
        <v>984</v>
      </c>
      <c r="B362" s="18" t="s">
        <v>376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>
      <c r="A363" s="4">
        <v>985</v>
      </c>
      <c r="B363" s="18" t="s">
        <v>377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>
      <c r="A364" s="4">
        <v>986</v>
      </c>
      <c r="B364" s="18" t="s">
        <v>378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>
      <c r="A365" s="4">
        <v>987</v>
      </c>
      <c r="B365" s="18" t="s">
        <v>379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>
      <c r="A366" s="4">
        <v>990</v>
      </c>
      <c r="B366" s="18" t="s">
        <v>380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>
      <c r="A367" s="4">
        <v>991</v>
      </c>
      <c r="B367" s="18" t="s">
        <v>381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>
      <c r="A368" s="4">
        <v>992</v>
      </c>
      <c r="B368" s="18" t="s">
        <v>382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>
      <c r="A369" s="4">
        <v>993</v>
      </c>
      <c r="B369" s="18" t="s">
        <v>383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>
      <c r="A370" s="4">
        <v>994</v>
      </c>
      <c r="B370" s="18" t="s">
        <v>384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>
      <c r="A371" s="4">
        <v>995</v>
      </c>
      <c r="B371" s="18" t="s">
        <v>385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>
      <c r="A372" s="4">
        <v>999</v>
      </c>
      <c r="B372" s="18" t="s">
        <v>386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X3S9KxZhBF+47d4tacP0Y3riglK8kQ4/ws2sFavp0vV+c8pfP7e0Nq2TVBWaFzy9j//U3kf1bclMI56ohifeLw==" saltValue="MXIcdOjJTNkefdMyqHRp9Q==" spinCount="100000" sheet="1" objects="1" scenarios="1"/>
  <conditionalFormatting sqref="K146 K144 K140:K141 K137:K138 K5:K135 K1:K2 K148:K372">
    <cfRule type="cellIs" dxfId="6" priority="7" operator="greaterThan">
      <formula>0</formula>
    </cfRule>
  </conditionalFormatting>
  <conditionalFormatting sqref="K136">
    <cfRule type="cellIs" dxfId="5" priority="6" operator="greaterThan">
      <formula>0</formula>
    </cfRule>
  </conditionalFormatting>
  <conditionalFormatting sqref="K139">
    <cfRule type="cellIs" dxfId="4" priority="5" operator="greaterThan">
      <formula>0</formula>
    </cfRule>
  </conditionalFormatting>
  <conditionalFormatting sqref="K142">
    <cfRule type="cellIs" dxfId="3" priority="4" operator="greaterThan">
      <formula>0</formula>
    </cfRule>
  </conditionalFormatting>
  <conditionalFormatting sqref="K143">
    <cfRule type="cellIs" dxfId="2" priority="3" operator="greaterThan">
      <formula>0</formula>
    </cfRule>
  </conditionalFormatting>
  <conditionalFormatting sqref="K145">
    <cfRule type="cellIs" dxfId="1" priority="2" operator="greaterThan">
      <formula>0</formula>
    </cfRule>
  </conditionalFormatting>
  <conditionalFormatting sqref="K147">
    <cfRule type="cellIs" dxfId="0" priority="1" operator="greaterThan">
      <formula>0</formula>
    </cfRule>
  </conditionalFormatting>
  <hyperlinks>
    <hyperlink ref="B2" r:id="rId1" location="'recibo de sueldo'!A1" xr:uid="{48A3F6C9-3E4D-4CDC-A15B-643649176B2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54</vt:i4>
      </vt:variant>
    </vt:vector>
  </HeadingPairs>
  <TitlesOfParts>
    <vt:vector size="56" baseType="lpstr">
      <vt:lpstr>Recibo</vt:lpstr>
      <vt:lpstr>Cargos</vt:lpstr>
      <vt:lpstr>adicdir2016</vt:lpstr>
      <vt:lpstr>adicdir2022</vt:lpstr>
      <vt:lpstr>adichsmedia</vt:lpstr>
      <vt:lpstr>adicnina</vt:lpstr>
      <vt:lpstr>Aumentomayo26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codigo06cargosdic25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indicedic25</vt:lpstr>
      <vt:lpstr>indicemay26</vt:lpstr>
      <vt:lpstr>Indiceproljordic25</vt:lpstr>
      <vt:lpstr>Indiceproljormay26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totalremdic25</vt:lpstr>
      <vt:lpstr>totalremmay26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2026-03-29T22:32:13Z</dcterms:created>
  <dcterms:modified xsi:type="dcterms:W3CDTF">2026-05-27T04:25:30Z</dcterms:modified>
</cp:coreProperties>
</file>